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xternalLinks/externalLink1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19200" windowHeight="6430" tabRatio="902" firstSheet="1" activeTab="6"/>
  </bookViews>
  <sheets>
    <sheet name="奖金发放表 " sheetId="19" state="hidden" r:id="rId1"/>
    <sheet name="奖金发放表  (修改)" sheetId="49" r:id="rId2"/>
    <sheet name="杭州回款未完成负激励" sheetId="29" state="hidden" r:id="rId3"/>
    <sheet name="杭州回款未完成负激励 (修改)" sheetId="50" state="hidden" r:id="rId4"/>
    <sheet name="厨电" sheetId="54" r:id="rId5"/>
    <sheet name="回款整体汇总" sheetId="18" r:id="rId6"/>
    <sheet name="杭州大区回款" sheetId="4" r:id="rId7"/>
    <sheet name="金华办回款" sheetId="7" r:id="rId8"/>
    <sheet name="湖州办回款" sheetId="52" r:id="rId9"/>
    <sheet name="杭州大区 (2023)" sheetId="47" state="hidden" r:id="rId10"/>
    <sheet name="杭州大区 (2)" sheetId="30" state="hidden" r:id="rId11"/>
    <sheet name="金华办 (2)" sheetId="31" state="hidden" r:id="rId12"/>
    <sheet name="整体汇总 (2)" sheetId="34" state="hidden" r:id="rId13"/>
    <sheet name="金华、杭州、湖州任务" sheetId="35" r:id="rId14"/>
    <sheet name="金华营收" sheetId="36" state="hidden" r:id="rId15"/>
    <sheet name="Sheet2 (2)" sheetId="37" state="hidden" r:id="rId16"/>
    <sheet name="杭州业务考核" sheetId="38" r:id="rId17"/>
    <sheet name="Sheet1" sheetId="39" r:id="rId18"/>
    <sheet name="Sheet2" sheetId="55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_xlnm._FilterDatabase" localSheetId="4" hidden="1">厨电!$A$2:$XEY$39</definedName>
    <definedName name="_xlnm._FilterDatabase" localSheetId="5" hidden="1">回款整体汇总!$A$3:$DI$16</definedName>
    <definedName name="_xlnm._FilterDatabase" localSheetId="6" hidden="1">杭州大区回款!$A$3:$W$83</definedName>
    <definedName name="_xlnm._FilterDatabase" localSheetId="7" hidden="1">金华办回款!$A$3:$Z$69</definedName>
    <definedName name="_xlnm._FilterDatabase" localSheetId="9" hidden="1">'杭州大区 (2023)'!$A$3:$AF$105</definedName>
    <definedName name="_xlnm._FilterDatabase" localSheetId="10" hidden="1">'杭州大区 (2)'!$A$3:$AE$94</definedName>
    <definedName name="_xlnm._FilterDatabase" localSheetId="11" hidden="1">'金华办 (2)'!$T$3:$U$56</definedName>
    <definedName name="_xlnm._FilterDatabase" localSheetId="12" hidden="1">'整体汇总 (2)'!$A$3:$DK$19</definedName>
    <definedName name="_xlnm._FilterDatabase" localSheetId="2" hidden="1">杭州回款未完成负激励!$A$2:$XEZ$25</definedName>
    <definedName name="_xlnm.Print_Area" localSheetId="2">杭州回款未完成负激励!$A$1:$I$23</definedName>
    <definedName name="_xlnm.Print_Area" localSheetId="5">回款整体汇总!$A$1:$AU$14</definedName>
    <definedName name="_xlnm.Print_Area" localSheetId="12">'整体汇总 (2)'!$A$3:$V$37</definedName>
    <definedName name="_xlnm.Print_Area" localSheetId="0">'奖金发放表 '!$A$32:$H$47</definedName>
    <definedName name="_xlnm.Print_Area" localSheetId="1">'奖金发放表  (修改)'!$A$305:$I$325</definedName>
    <definedName name="_xlnm._FilterDatabase" localSheetId="3" hidden="1">'杭州回款未完成负激励 (修改)'!$A$3:$XFC$23</definedName>
    <definedName name="_xlnm.Print_Area" localSheetId="8">湖州办回款!$A$1:$BY$8</definedName>
    <definedName name="_xlnm.Print_Area" localSheetId="4">厨电!$A$1:$I$54</definedName>
    <definedName name="_xlnm.Print_Area" localSheetId="6">杭州大区回款!$A$1:$J$86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111</author>
  </authors>
  <commentList>
    <comment ref="H2" authorId="0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回款完成50%以下8折，80%以下按9折</t>
        </r>
      </text>
    </comment>
  </commentList>
</comments>
</file>

<file path=xl/comments10.xml><?xml version="1.0" encoding="utf-8"?>
<comments xmlns="http://schemas.openxmlformats.org/spreadsheetml/2006/main">
  <authors>
    <author>Administrator</author>
    <author>111</author>
    <author>Admini</author>
    <author>AutoBVT</author>
  </authors>
  <commentList>
    <comment ref="C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胡威2012.9.3入职，负责五星时间：2012.9.3-2022.8.26，2022年度绩效考核2022.1-8月
董培培2022.8月起薪资调整为65级
董培培2022.9月起绩效考核五星。</t>
        </r>
      </text>
    </comment>
    <comment ref="K4" authorId="1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司一博回款1万扣除</t>
        </r>
      </text>
    </comment>
    <comment ref="C5" authorId="1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王灵武2022.9.1入职,2022.10.1转正，薪级70级，绩效考核2022.10.1开始
负责区域临安、临平、余杭、富阳、桐庐、建德、淳安
</t>
        </r>
      </text>
    </comment>
    <comment ref="C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吕一凡2020.4.28入职，60级，2022.2.11离职，负责临安临平余杭时间：2021.4.1-2022.1.31，2022年度绩效考核到2022.1月。
王灵武2022.9.1入职,2022.10.1转正，薪级70级，绩效考核2022.10.1开始
负责区域临安、临平、余杭、富阳、桐庐、建德、淳安</t>
        </r>
      </text>
    </comment>
    <comment ref="BJ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按最终76万考核</t>
        </r>
      </text>
    </comment>
    <comment ref="BO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按最终任务68万考核</t>
        </r>
      </text>
    </comment>
    <comment ref="BS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按最终任务81万考核</t>
        </r>
      </text>
    </comment>
    <comment ref="C7" authorId="2">
      <text>
        <r>
          <rPr>
            <b/>
            <sz val="9"/>
            <rFont val="宋体"/>
            <charset val="134"/>
          </rPr>
          <t>周敏，2019.09.16入职，无试用期，60级</t>
        </r>
        <r>
          <rPr>
            <sz val="9"/>
            <rFont val="宋体"/>
            <charset val="134"/>
          </rPr>
          <t xml:space="preserve">
严韩磊，50级，2021.7开始计算
张文生2021.9.6入职，2022.3.31离职，负责富阳桐庐建德淳安时间：2021.9.6-2022.3.31绩效考核2022.1-3月。
王灵武2022.9.1入职，2022.10.1转正，70级，绩效2022.10.1起考核，负责区域另含临安、临平</t>
        </r>
      </text>
    </comment>
    <comment ref="C8" authorId="3">
      <text>
        <r>
          <rPr>
            <sz val="9"/>
            <rFont val="宋体"/>
            <charset val="134"/>
          </rPr>
          <t>吕一凡2020.4.28入职负责萧山，2020.6月转正，60级,萧山负责时间：2020.4.28-2021.2.31
董培培，2021.03.09入职，4月转正60级，2022.8月起调整为65级
负责萧山时间：2022.3.9-2022.8.31，2022年度绩效考核到2022.1-8月。
2022.9月起划入外围王伟管。
童海平2022.11.7入职管萧山汇德隆
绩效考核自2022.12月起算</t>
        </r>
      </text>
    </comment>
    <comment ref="C9" authorId="1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陈磊2023.2.16入职
负责杭州专卖店</t>
        </r>
      </text>
    </comment>
    <comment ref="P9" authorId="1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3.16-3.31计发奖金</t>
        </r>
      </text>
    </comment>
    <comment ref="C11" authorId="3">
      <text>
        <r>
          <rPr>
            <sz val="9"/>
            <rFont val="宋体"/>
            <charset val="134"/>
          </rPr>
          <t>潘杏，2020.03.16入职，4月15日转正38级
1-2月38级，3月起40级，于2022.4.15离职，负责市区武义兰溪永康时间：2020.3.16-2022.4.15，2022年度绩效考核2022.1-4月。
邱悦2022.4.8入职，2022.6.1转正，40级，负责市区武义兰溪永康区域。</t>
        </r>
      </text>
    </comment>
    <comment ref="U11" authorId="1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季度奖金算：2023.2-3月</t>
        </r>
      </text>
    </comment>
    <comment ref="C12" authorId="3">
      <text>
        <r>
          <rPr>
            <sz val="9"/>
            <rFont val="宋体"/>
            <charset val="134"/>
          </rPr>
          <t>潘杏，2020.03.16入职，4月15日转正38级
1-2月38级，3月起40级，于2022.4.15离职，负责市区武义兰溪永康时间：2020.3.16-2022.4.15，2022年度绩效考核2022.1-4月。
邱悦2022.4.8入职，2022.6.1转正，40级，负责市区武义兰溪永康区域。</t>
        </r>
      </text>
    </comment>
    <comment ref="U12" authorId="1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季度奖金算：2023.2-3月</t>
        </r>
      </text>
    </comment>
    <comment ref="C14" authorId="3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陈实2022年1月起调整为60级，2022.2月起接手衢州，考核从2022.3月起核算奖金计发2022.3月起，2022.8-11月负责市区、武义、兰溪、永康、衢州
2022.12月起负责衢州</t>
        </r>
      </text>
    </comment>
    <comment ref="C15" authorId="3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叶鑫晨2020.12.1入职，2021.03月转正，38级，于2022.7.31离职，负责义乌东阳浦江磐安时间：2020.12.1-2022.7.31，2022年度绩效考核2022.1-6月。
王杰文2022.8.1入职起负责义乌东阳浦江磐安，绩效考核2022.9月起。</t>
        </r>
      </text>
    </comment>
  </commentList>
</comments>
</file>

<file path=xl/comments2.xml><?xml version="1.0" encoding="utf-8"?>
<comments xmlns="http://schemas.openxmlformats.org/spreadsheetml/2006/main">
  <authors>
    <author>111</author>
  </authors>
  <commentList>
    <comment ref="H3" authorId="0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回款完成50%以下8折，80%以下按9折</t>
        </r>
      </text>
    </comment>
  </commentList>
</comments>
</file>

<file path=xl/comments3.xml><?xml version="1.0" encoding="utf-8"?>
<comments xmlns="http://schemas.openxmlformats.org/spreadsheetml/2006/main">
  <authors>
    <author>17108</author>
    <author>111</author>
    <author>AutoBVT</author>
    <author>Administrator</author>
  </authors>
  <commentList>
    <comment ref="C5" authorId="0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2024年5月接管五星，但是6月开始考核</t>
        </r>
      </text>
    </comment>
    <comment ref="D5" authorId="0">
      <text>
        <r>
          <rPr>
            <b/>
            <sz val="9"/>
            <rFont val="宋体"/>
            <charset val="134"/>
          </rPr>
          <t xml:space="preserve">17108:
</t>
        </r>
        <r>
          <rPr>
            <sz val="9"/>
            <rFont val="宋体"/>
            <charset val="134"/>
          </rPr>
          <t>底薪6500
2025.2月调整为7000</t>
        </r>
      </text>
    </comment>
    <comment ref="C6" authorId="1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王灵武2022.9.1入职,2022.10.1转正，薪级70级，绩效考核2022.10.1开始
负责区域临安、临平、余杭、富阳、桐庐、建德、淳安
2023.7.31离职
陈实202.8.1开始负责杭州外围，按整个外围进行考核60级,陈实2023.9.17离职
党营军2023.9.4入职，10月开始考核70级
党营军2024年4.30离职
贾乐乐2025年1月开始负责-3月31离职
张卓朗4.1独立负责外围</t>
        </r>
      </text>
    </comment>
    <comment ref="C9" authorId="1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潘杏，2020.03.16入职，4月15日转正38级
1-2月38级，3月起40级，负责市区武义兰溪永康时间：2020.3.16-2022.4.15，2022年度绩效考核2022.1-4月。于2022.4.15离职
邱悦2022.4.8入职，2022.6.1转正，40级，负责市区武义兰溪永康区域。
2022.8.15离职
张韵威2022.12.15入职，2月转正，40级，2023.1-3月负责金华市区（含专卖店：龙腾、八一）、兰溪，负责该区域截止时间2023.3月
潘杏2023.7.15入职，管理市区不含专卖店、兰溪永康武义</t>
        </r>
      </text>
    </comment>
    <comment ref="C10" authorId="2">
      <text>
        <r>
          <rPr>
            <b/>
            <sz val="9"/>
            <rFont val="宋体"/>
            <charset val="134"/>
          </rPr>
          <t xml:space="preserve">Administrator:
</t>
        </r>
        <r>
          <rPr>
            <sz val="9"/>
            <rFont val="宋体"/>
            <charset val="134"/>
          </rPr>
          <t>余海飞2016.4.18入职，37级，2022.2.28离职
负责衢州时间：2016.4.18-2022.2.28,2022年度绩效考核2022.1-2月。</t>
        </r>
        <r>
          <rPr>
            <b/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陈实2022年1月起调整为60级，2022.2月起接手衢州，考核从2022.3月起核算奖金计发2022.3月起，2022.8-11月负责市区、武义、兰溪、永康、衢州
2022.12月起负责衢州，2023.8.1转入杭州大区，2023.9.17离职
江雯2023.8月起负责衢州，按50级考核
2024年4月开始调整为55级</t>
        </r>
      </text>
    </comment>
    <comment ref="C11" authorId="0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2025.3.5入职</t>
        </r>
      </text>
    </comment>
    <comment ref="AH11" authorId="0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5.5转正，5月份目标按26/31计算</t>
        </r>
      </text>
    </comment>
    <comment ref="AI11" authorId="0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5.5转正，5月份回款按26/31计算
</t>
        </r>
      </text>
    </comment>
    <comment ref="C14" authorId="3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23年起
</t>
        </r>
      </text>
    </comment>
  </commentList>
</comments>
</file>

<file path=xl/comments4.xml><?xml version="1.0" encoding="utf-8"?>
<comments xmlns="http://schemas.openxmlformats.org/spreadsheetml/2006/main">
  <authors>
    <author>Administrator</author>
    <author>xbany</author>
    <author>17108</author>
    <author>Admini</author>
    <author>111</author>
    <author>AutoBVT</author>
  </authors>
  <commentList>
    <comment ref="B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原为
杭州萧山华祥家电有限公司
</t>
        </r>
      </text>
    </comment>
    <comment ref="B7" authorId="1">
      <text>
        <r>
          <rPr>
            <b/>
            <sz val="9"/>
            <rFont val="宋体"/>
            <charset val="134"/>
          </rPr>
          <t xml:space="preserve">暖通
</t>
        </r>
        <r>
          <rPr>
            <sz val="9"/>
            <rFont val="宋体"/>
            <charset val="134"/>
          </rPr>
          <t xml:space="preserve">
</t>
        </r>
      </text>
    </comment>
    <comment ref="J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走二轻以旧换新账户</t>
        </r>
      </text>
    </comment>
    <comment ref="K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走二轻以旧换新</t>
        </r>
      </text>
    </comment>
    <comment ref="B11" authorId="3">
      <text>
        <r>
          <rPr>
            <b/>
            <sz val="9"/>
            <rFont val="宋体"/>
            <charset val="134"/>
          </rPr>
          <t>（银泰）</t>
        </r>
        <r>
          <rPr>
            <sz val="9"/>
            <rFont val="宋体"/>
            <charset val="134"/>
          </rPr>
          <t xml:space="preserve">
现更名为：
浙江百诚家居科技有限公司
原：浙江世纪百诚电器连锁有限公司</t>
        </r>
      </text>
    </comment>
    <comment ref="B13" authorId="4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2023.9月新合作客户</t>
        </r>
      </text>
    </comment>
    <comment ref="I16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6万场地费</t>
        </r>
      </text>
    </comment>
    <comment ref="J17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恒大7579+金蝶零售3986=11565
</t>
        </r>
      </text>
    </comment>
    <comment ref="K17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挂靠8090管10738
金蝶零售5434
</t>
        </r>
      </text>
    </comment>
    <comment ref="M17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4909走金蝶零售，10033走恒大建材
</t>
        </r>
      </text>
    </comment>
    <comment ref="B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系统名称：
杭州临平专卖店（杭州伟隆家电有限公司）</t>
        </r>
      </text>
    </comment>
    <comment ref="B32" authorId="3">
      <text>
        <r>
          <rPr>
            <b/>
            <sz val="9"/>
            <rFont val="宋体"/>
            <charset val="134"/>
          </rPr>
          <t>杭州洪金贸易有限公司</t>
        </r>
        <r>
          <rPr>
            <sz val="9"/>
            <rFont val="宋体"/>
            <charset val="134"/>
          </rPr>
          <t xml:space="preserve">
</t>
        </r>
      </text>
    </comment>
    <comment ref="B3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原：杭州新容机电有限公司</t>
        </r>
      </text>
    </comment>
    <comment ref="M36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杭州金蝶零售</t>
        </r>
      </text>
    </comment>
    <comment ref="G43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五星4542</t>
        </r>
      </text>
    </comment>
    <comment ref="J43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扣除五星回款7579，云顶13000</t>
        </r>
      </text>
    </comment>
    <comment ref="K43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9392.4是家装挂靠
</t>
        </r>
      </text>
    </comment>
    <comment ref="M43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10033是杭州五星的
2560是云顶，家装的。</t>
        </r>
      </text>
    </comment>
    <comment ref="N43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3470  云顶</t>
        </r>
      </text>
    </comment>
    <comment ref="I44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1300五星
</t>
        </r>
      </text>
    </comment>
    <comment ref="N44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5061  8090的</t>
        </r>
      </text>
    </comment>
    <comment ref="G47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6093 五星
10797 家装
</t>
        </r>
      </text>
    </comment>
    <comment ref="I47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3045五星</t>
        </r>
      </text>
    </comment>
    <comment ref="G49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8090  五星5000</t>
        </r>
      </text>
    </comment>
    <comment ref="I49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五星4650
</t>
        </r>
      </text>
    </comment>
    <comment ref="K49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10738元为五星挂靠</t>
        </r>
      </text>
    </comment>
    <comment ref="N49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17758刷在二轻以旧换新，算8090业绩
5061刷在恒大，8090的业绩
</t>
        </r>
      </text>
    </comment>
    <comment ref="M5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7200  二轻</t>
        </r>
      </text>
    </comment>
    <comment ref="G59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4.4到款
SKD250406003 </t>
        </r>
      </text>
    </comment>
    <comment ref="J59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走二轻以旧换新账户
</t>
        </r>
      </text>
    </comment>
    <comment ref="K59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22510走二轻以旧换新账户</t>
        </r>
      </text>
    </comment>
    <comment ref="M59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17931二轻</t>
        </r>
      </text>
    </comment>
    <comment ref="N59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刷在二轻</t>
        </r>
      </text>
    </comment>
    <comment ref="B60" authorId="4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回款在杭州金蝶零售里面</t>
        </r>
      </text>
    </comment>
    <comment ref="J61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走二轻以旧换新账户
</t>
        </r>
      </text>
    </comment>
    <comment ref="K61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29400走二轻以旧换新
2355走金蝶零售</t>
        </r>
      </text>
    </comment>
    <comment ref="M61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19130走金蝶零售</t>
        </r>
      </text>
    </comment>
    <comment ref="N61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金蝶零售
</t>
        </r>
      </text>
    </comment>
    <comment ref="J63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走二轻以旧换新账户
</t>
        </r>
      </text>
    </comment>
    <comment ref="K63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52194 走二轻以旧换新账户</t>
        </r>
      </text>
    </comment>
    <comment ref="N63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11274刷在二轻</t>
        </r>
      </text>
    </comment>
    <comment ref="K65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挂在恒大</t>
        </r>
      </text>
    </comment>
    <comment ref="M65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恒大
</t>
        </r>
      </text>
    </comment>
    <comment ref="N65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刷在恒大</t>
        </r>
      </text>
    </comment>
    <comment ref="E6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天猫790，
五星3848
家装零售7580</t>
        </r>
      </text>
    </comment>
    <comment ref="F6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五星1250
家装零售3678</t>
        </r>
      </text>
    </comment>
    <comment ref="G6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五星58856
家装零售15781</t>
        </r>
      </text>
    </comment>
    <comment ref="I6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杭州五星5000
</t>
        </r>
      </text>
    </comment>
    <comment ref="J6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五星3986</t>
        </r>
      </text>
    </comment>
    <comment ref="K6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五星5434
家装2355
</t>
        </r>
      </text>
    </comment>
    <comment ref="M6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1、杭州外围，790元
2、汇德隆8090元
3、杭州五星4909元
4、杭州家装19130</t>
        </r>
      </text>
    </comment>
    <comment ref="N68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杭州五星2002
家装零售19242
汇德隆退款8090
</t>
        </r>
      </text>
    </comment>
    <comment ref="B69" authorId="1">
      <text>
        <r>
          <rPr>
            <b/>
            <sz val="9"/>
            <rFont val="宋体"/>
            <charset val="134"/>
          </rPr>
          <t>壁挂炉
西湖区</t>
        </r>
      </text>
    </comment>
    <comment ref="B70" authorId="1">
      <text>
        <r>
          <rPr>
            <sz val="9"/>
            <rFont val="宋体"/>
            <charset val="134"/>
          </rPr>
          <t>暖通
滨江区</t>
        </r>
      </text>
    </comment>
    <comment ref="B71" authorId="5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B72" authorId="5">
      <text>
        <r>
          <rPr>
            <b/>
            <sz val="9"/>
            <rFont val="宋体"/>
            <charset val="134"/>
          </rPr>
          <t>暖通</t>
        </r>
      </text>
    </comment>
    <comment ref="B73" authorId="5">
      <text>
        <r>
          <rPr>
            <sz val="9"/>
            <rFont val="宋体"/>
            <charset val="134"/>
          </rPr>
          <t xml:space="preserve">暖通
</t>
        </r>
      </text>
    </comment>
    <comment ref="B74" authorId="5">
      <text>
        <r>
          <rPr>
            <b/>
            <sz val="9"/>
            <rFont val="宋体"/>
            <charset val="134"/>
          </rPr>
          <t>暖通</t>
        </r>
      </text>
    </comment>
    <comment ref="B75" authorId="5">
      <text>
        <r>
          <rPr>
            <b/>
            <sz val="9"/>
            <rFont val="宋体"/>
            <charset val="134"/>
          </rPr>
          <t>暖通
同圣凯一家</t>
        </r>
      </text>
    </comment>
    <comment ref="B76" authorId="5">
      <text>
        <r>
          <rPr>
            <b/>
            <sz val="9"/>
            <rFont val="宋体"/>
            <charset val="134"/>
          </rPr>
          <t>暖通</t>
        </r>
      </text>
    </comment>
    <comment ref="B77" authorId="5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B79" authorId="5">
      <text>
        <r>
          <rPr>
            <sz val="9"/>
            <rFont val="宋体"/>
            <charset val="134"/>
          </rPr>
          <t xml:space="preserve">暖通
江干区
</t>
        </r>
      </text>
    </comment>
    <comment ref="G86" authorId="2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这个金额是罗清回款金额，差异金额为25132，4月回款算在了3月
</t>
        </r>
      </text>
    </comment>
  </commentList>
</comments>
</file>

<file path=xl/comments5.xml><?xml version="1.0" encoding="utf-8"?>
<comments xmlns="http://schemas.openxmlformats.org/spreadsheetml/2006/main">
  <authors>
    <author>AutoBVT</author>
    <author>17108</author>
    <author>111</author>
    <author>Administrator</author>
  </authors>
  <commentList>
    <comment ref="B9" authorId="0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B10" authorId="0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B11" authorId="0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G15" authorId="1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8894是五星的</t>
        </r>
      </text>
    </comment>
    <comment ref="B16" authorId="2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5月新增</t>
        </r>
      </text>
    </comment>
    <comment ref="B17" authorId="2">
      <text>
        <r>
          <rPr>
            <b/>
            <sz val="9"/>
            <rFont val="宋体"/>
            <charset val="134"/>
          </rPr>
          <t xml:space="preserve">111:
</t>
        </r>
        <r>
          <rPr>
            <sz val="9"/>
            <rFont val="宋体"/>
            <charset val="134"/>
          </rPr>
          <t>原兰溪专卖店，转加盟</t>
        </r>
      </text>
    </comment>
    <comment ref="B20" authorId="0">
      <text>
        <r>
          <rPr>
            <b/>
            <sz val="9"/>
            <rFont val="宋体"/>
            <charset val="134"/>
          </rPr>
          <t>暖通</t>
        </r>
      </text>
    </comment>
    <comment ref="G31" authorId="1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8894+12000  </t>
        </r>
      </text>
    </comment>
    <comment ref="I31" authorId="1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金蝶零售2502</t>
        </r>
      </text>
    </comment>
    <comment ref="B38" authorId="3">
      <text>
        <r>
          <rPr>
            <b/>
            <sz val="9"/>
            <rFont val="宋体"/>
            <charset val="134"/>
          </rPr>
          <t>衢州普农</t>
        </r>
        <r>
          <rPr>
            <sz val="9"/>
            <rFont val="宋体"/>
            <charset val="134"/>
          </rPr>
          <t xml:space="preserve">
</t>
        </r>
      </text>
    </comment>
    <comment ref="B41" authorId="3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不合作了</t>
        </r>
      </text>
    </comment>
    <comment ref="B42" authorId="3">
      <text>
        <r>
          <rPr>
            <b/>
            <sz val="9"/>
            <rFont val="宋体"/>
            <charset val="134"/>
          </rPr>
          <t>衢州专卖店</t>
        </r>
      </text>
    </comment>
    <comment ref="B43" authorId="3">
      <text>
        <r>
          <rPr>
            <b/>
            <sz val="9"/>
            <rFont val="宋体"/>
            <charset val="134"/>
          </rPr>
          <t>8月新增</t>
        </r>
        <r>
          <rPr>
            <sz val="9"/>
            <rFont val="宋体"/>
            <charset val="134"/>
          </rPr>
          <t xml:space="preserve">
</t>
        </r>
      </text>
    </comment>
    <comment ref="B44" authorId="2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4月新增</t>
        </r>
      </text>
    </comment>
    <comment ref="B45" authorId="2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2023.9月新合作客户</t>
        </r>
      </text>
    </comment>
    <comment ref="B56" authorId="0">
      <text>
        <r>
          <rPr>
            <b/>
            <sz val="9"/>
            <rFont val="宋体"/>
            <charset val="134"/>
          </rPr>
          <t>暖通</t>
        </r>
      </text>
    </comment>
    <comment ref="B66" authorId="3">
      <text>
        <r>
          <rPr>
            <sz val="9"/>
            <rFont val="宋体"/>
            <charset val="134"/>
          </rPr>
          <t>原石桥头专卖店（11月转为代理商加盟）
义乌丹溪路专卖店
金蝶名称：义乌艾欧机电设备有限公司</t>
        </r>
      </text>
    </comment>
    <comment ref="C71" authorId="1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金华五星3668</t>
        </r>
      </text>
    </comment>
    <comment ref="E71" authorId="1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金华五星5945</t>
        </r>
      </text>
    </comment>
    <comment ref="G71" authorId="1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五星12000</t>
        </r>
      </text>
    </comment>
    <comment ref="I71" authorId="1">
      <text>
        <r>
          <rPr>
            <b/>
            <sz val="9"/>
            <rFont val="宋体"/>
            <charset val="134"/>
          </rPr>
          <t>17108:</t>
        </r>
        <r>
          <rPr>
            <sz val="9"/>
            <rFont val="宋体"/>
            <charset val="134"/>
          </rPr>
          <t xml:space="preserve">
2502计入五星零售</t>
        </r>
      </text>
    </comment>
  </commentList>
</comments>
</file>

<file path=xl/comments6.xml><?xml version="1.0" encoding="utf-8"?>
<comments xmlns="http://schemas.openxmlformats.org/spreadsheetml/2006/main">
  <authors>
    <author>Administrator</author>
  </authors>
  <commentList>
    <comment ref="B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湖州浙北五交化有限公司</t>
        </r>
      </text>
    </comment>
    <comment ref="B2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湖州瑷嘉冷暖设备有限公司</t>
        </r>
      </text>
    </comment>
    <comment ref="B2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德清智跃电子科技有限公司
浙江郡德环境科技有限公司</t>
        </r>
      </text>
    </comment>
    <comment ref="B3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湖州浙北五交化有限公司</t>
        </r>
      </text>
    </comment>
  </commentList>
</comments>
</file>

<file path=xl/comments7.xml><?xml version="1.0" encoding="utf-8"?>
<comments xmlns="http://schemas.openxmlformats.org/spreadsheetml/2006/main">
  <authors>
    <author>Administrator</author>
    <author>xbany</author>
    <author>AutoBVT</author>
    <author>Admini</author>
    <author>111</author>
  </authors>
  <commentList>
    <comment ref="B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原为
杭州萧山华祥家电有限公司
</t>
        </r>
      </text>
    </comment>
    <comment ref="B11" authorId="1">
      <text>
        <r>
          <rPr>
            <b/>
            <sz val="9"/>
            <rFont val="宋体"/>
            <charset val="134"/>
          </rPr>
          <t xml:space="preserve">暖通
</t>
        </r>
        <r>
          <rPr>
            <sz val="9"/>
            <rFont val="宋体"/>
            <charset val="134"/>
          </rPr>
          <t xml:space="preserve">
</t>
        </r>
      </text>
    </comment>
    <comment ref="B12" authorId="2">
      <text>
        <r>
          <rPr>
            <b/>
            <sz val="9"/>
            <rFont val="宋体"/>
            <charset val="134"/>
          </rPr>
          <t>暖通</t>
        </r>
      </text>
    </comment>
    <comment ref="B16" authorId="3">
      <text>
        <r>
          <rPr>
            <b/>
            <sz val="9"/>
            <rFont val="宋体"/>
            <charset val="134"/>
          </rPr>
          <t>（银泰）</t>
        </r>
        <r>
          <rPr>
            <sz val="9"/>
            <rFont val="宋体"/>
            <charset val="134"/>
          </rPr>
          <t xml:space="preserve">
现更名为：
浙江百诚家居科技有限公司
原：浙江世纪百诚电器连锁有限公司</t>
        </r>
      </text>
    </comment>
    <comment ref="B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系统名称：
杭州临平专卖店（杭州伟隆家电有限公司）</t>
        </r>
      </text>
    </comment>
    <comment ref="B37" authorId="2">
      <text>
        <r>
          <rPr>
            <sz val="9"/>
            <rFont val="宋体"/>
            <charset val="134"/>
          </rPr>
          <t xml:space="preserve">原伟鹏
</t>
        </r>
      </text>
    </comment>
    <comment ref="B41" authorId="3">
      <text>
        <r>
          <rPr>
            <b/>
            <sz val="9"/>
            <rFont val="宋体"/>
            <charset val="134"/>
          </rPr>
          <t>杭州洪金贸易有限公司</t>
        </r>
        <r>
          <rPr>
            <sz val="9"/>
            <rFont val="宋体"/>
            <charset val="134"/>
          </rPr>
          <t xml:space="preserve">
</t>
        </r>
      </text>
    </comment>
    <comment ref="B4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原：杭州新容机电有限公司</t>
        </r>
      </text>
    </comment>
    <comment ref="B48" authorId="0">
      <text>
        <r>
          <rPr>
            <sz val="9"/>
            <rFont val="宋体"/>
            <charset val="134"/>
          </rPr>
          <t xml:space="preserve">暖通
</t>
        </r>
      </text>
    </comment>
    <comment ref="B51" authorId="2">
      <text>
        <r>
          <rPr>
            <b/>
            <sz val="9"/>
            <rFont val="宋体"/>
            <charset val="134"/>
          </rPr>
          <t>暖通</t>
        </r>
      </text>
    </comment>
    <comment ref="B63" authorId="4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2023.9月新合作客户</t>
        </r>
      </text>
    </comment>
    <comment ref="B67" authorId="1">
      <text>
        <r>
          <rPr>
            <b/>
            <sz val="9"/>
            <rFont val="宋体"/>
            <charset val="134"/>
          </rPr>
          <t>壁挂炉
西湖区</t>
        </r>
      </text>
    </comment>
    <comment ref="B68" authorId="1">
      <text>
        <r>
          <rPr>
            <sz val="9"/>
            <rFont val="宋体"/>
            <charset val="134"/>
          </rPr>
          <t>暖通
滨江区</t>
        </r>
      </text>
    </comment>
    <comment ref="B69" authorId="2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B70" authorId="2">
      <text>
        <r>
          <rPr>
            <b/>
            <sz val="9"/>
            <rFont val="宋体"/>
            <charset val="134"/>
          </rPr>
          <t>暖通</t>
        </r>
      </text>
    </comment>
    <comment ref="B71" authorId="2">
      <text>
        <r>
          <rPr>
            <sz val="9"/>
            <rFont val="宋体"/>
            <charset val="134"/>
          </rPr>
          <t xml:space="preserve">暖通
</t>
        </r>
      </text>
    </comment>
    <comment ref="B72" authorId="2">
      <text>
        <r>
          <rPr>
            <b/>
            <sz val="9"/>
            <rFont val="宋体"/>
            <charset val="134"/>
          </rPr>
          <t>暖通</t>
        </r>
      </text>
    </comment>
    <comment ref="B73" authorId="2">
      <text>
        <r>
          <rPr>
            <b/>
            <sz val="9"/>
            <rFont val="宋体"/>
            <charset val="134"/>
          </rPr>
          <t>暖通
同圣凯一家</t>
        </r>
      </text>
    </comment>
    <comment ref="B74" authorId="2">
      <text>
        <r>
          <rPr>
            <b/>
            <sz val="9"/>
            <rFont val="宋体"/>
            <charset val="134"/>
          </rPr>
          <t>暖通</t>
        </r>
      </text>
    </comment>
    <comment ref="B75" authorId="2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B77" authorId="2">
      <text>
        <r>
          <rPr>
            <sz val="9"/>
            <rFont val="宋体"/>
            <charset val="134"/>
          </rPr>
          <t xml:space="preserve">暖通
江干区
</t>
        </r>
      </text>
    </comment>
    <comment ref="B104" authorId="4">
      <text>
        <r>
          <rPr>
            <b/>
            <sz val="9"/>
            <rFont val="宋体"/>
            <charset val="134"/>
          </rPr>
          <t>111:</t>
        </r>
        <r>
          <rPr>
            <sz val="9"/>
            <rFont val="宋体"/>
            <charset val="134"/>
          </rPr>
          <t xml:space="preserve">
回款在杭州金蝶零售里面</t>
        </r>
      </text>
    </comment>
  </commentList>
</comments>
</file>

<file path=xl/comments8.xml><?xml version="1.0" encoding="utf-8"?>
<comments xmlns="http://schemas.openxmlformats.org/spreadsheetml/2006/main">
  <authors>
    <author>Administrator</author>
    <author>xbany</author>
    <author>AutoBVT</author>
    <author>Admini</author>
  </authors>
  <commentList>
    <comment ref="B6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原为
杭州萧山华祥家电有限公司
</t>
        </r>
      </text>
    </comment>
    <comment ref="B11" authorId="1">
      <text>
        <r>
          <rPr>
            <b/>
            <sz val="9"/>
            <rFont val="宋体"/>
            <charset val="134"/>
          </rPr>
          <t xml:space="preserve">暖通
</t>
        </r>
        <r>
          <rPr>
            <sz val="9"/>
            <rFont val="宋体"/>
            <charset val="134"/>
          </rPr>
          <t xml:space="preserve">
</t>
        </r>
      </text>
    </comment>
    <comment ref="B12" authorId="2">
      <text>
        <r>
          <rPr>
            <b/>
            <sz val="9"/>
            <rFont val="宋体"/>
            <charset val="134"/>
          </rPr>
          <t>暖通</t>
        </r>
      </text>
    </comment>
    <comment ref="B16" authorId="3">
      <text>
        <r>
          <rPr>
            <b/>
            <sz val="9"/>
            <rFont val="宋体"/>
            <charset val="134"/>
          </rPr>
          <t>（银泰）</t>
        </r>
        <r>
          <rPr>
            <sz val="9"/>
            <rFont val="宋体"/>
            <charset val="134"/>
          </rPr>
          <t xml:space="preserve">
现更名为：
浙江百诚家居科技有限公司
原：浙江世纪百诚电器连锁有限公司</t>
        </r>
      </text>
    </comment>
    <comment ref="B24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系统名称：
杭州临平专卖店（杭州伟隆家电有限公司）</t>
        </r>
      </text>
    </comment>
    <comment ref="B36" authorId="2">
      <text>
        <r>
          <rPr>
            <sz val="9"/>
            <rFont val="宋体"/>
            <charset val="134"/>
          </rPr>
          <t xml:space="preserve">原伟鹏
</t>
        </r>
      </text>
    </comment>
    <comment ref="B40" authorId="3">
      <text>
        <r>
          <rPr>
            <b/>
            <sz val="9"/>
            <rFont val="宋体"/>
            <charset val="134"/>
          </rPr>
          <t>杭州洪金贸易有限公司</t>
        </r>
        <r>
          <rPr>
            <sz val="9"/>
            <rFont val="宋体"/>
            <charset val="134"/>
          </rPr>
          <t xml:space="preserve">
</t>
        </r>
      </text>
    </comment>
    <comment ref="B45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原：杭州新容机电有限公司</t>
        </r>
      </text>
    </comment>
    <comment ref="B47" authorId="0">
      <text>
        <r>
          <rPr>
            <sz val="9"/>
            <rFont val="宋体"/>
            <charset val="134"/>
          </rPr>
          <t xml:space="preserve">暖通
</t>
        </r>
      </text>
    </comment>
    <comment ref="B50" authorId="2">
      <text>
        <r>
          <rPr>
            <b/>
            <sz val="9"/>
            <rFont val="宋体"/>
            <charset val="134"/>
          </rPr>
          <t>暖通</t>
        </r>
      </text>
    </comment>
    <comment ref="B66" authorId="1">
      <text>
        <r>
          <rPr>
            <b/>
            <sz val="9"/>
            <rFont val="宋体"/>
            <charset val="134"/>
          </rPr>
          <t>壁挂炉
西湖区</t>
        </r>
      </text>
    </comment>
    <comment ref="B67" authorId="1">
      <text>
        <r>
          <rPr>
            <sz val="9"/>
            <rFont val="宋体"/>
            <charset val="134"/>
          </rPr>
          <t>暖通
滨江区</t>
        </r>
      </text>
    </comment>
    <comment ref="B68" authorId="2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B69" authorId="2">
      <text>
        <r>
          <rPr>
            <b/>
            <sz val="9"/>
            <rFont val="宋体"/>
            <charset val="134"/>
          </rPr>
          <t>暖通</t>
        </r>
      </text>
    </comment>
    <comment ref="B70" authorId="2">
      <text>
        <r>
          <rPr>
            <sz val="9"/>
            <rFont val="宋体"/>
            <charset val="134"/>
          </rPr>
          <t xml:space="preserve">暖通
</t>
        </r>
      </text>
    </comment>
    <comment ref="B71" authorId="2">
      <text>
        <r>
          <rPr>
            <b/>
            <sz val="9"/>
            <rFont val="宋体"/>
            <charset val="134"/>
          </rPr>
          <t>暖通</t>
        </r>
      </text>
    </comment>
    <comment ref="B72" authorId="2">
      <text>
        <r>
          <rPr>
            <b/>
            <sz val="9"/>
            <rFont val="宋体"/>
            <charset val="134"/>
          </rPr>
          <t>暖通
同圣凯一家</t>
        </r>
      </text>
    </comment>
    <comment ref="B73" authorId="2">
      <text>
        <r>
          <rPr>
            <b/>
            <sz val="9"/>
            <rFont val="宋体"/>
            <charset val="134"/>
          </rPr>
          <t>暖通</t>
        </r>
      </text>
    </comment>
    <comment ref="B74" authorId="2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B76" authorId="2">
      <text>
        <r>
          <rPr>
            <sz val="9"/>
            <rFont val="宋体"/>
            <charset val="134"/>
          </rPr>
          <t xml:space="preserve">暖通
江干区
</t>
        </r>
      </text>
    </comment>
  </commentList>
</comments>
</file>

<file path=xl/comments9.xml><?xml version="1.0" encoding="utf-8"?>
<comments xmlns="http://schemas.openxmlformats.org/spreadsheetml/2006/main">
  <authors>
    <author>AutoBVT</author>
    <author>Administrator</author>
  </authors>
  <commentList>
    <comment ref="B9" authorId="0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B10" authorId="0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B11" authorId="0">
      <text>
        <r>
          <rPr>
            <b/>
            <sz val="9"/>
            <rFont val="宋体"/>
            <charset val="134"/>
          </rPr>
          <t>暖通</t>
        </r>
        <r>
          <rPr>
            <sz val="9"/>
            <rFont val="宋体"/>
            <charset val="134"/>
          </rPr>
          <t xml:space="preserve">
</t>
        </r>
      </text>
    </comment>
    <comment ref="B19" authorId="1">
      <text>
        <r>
          <rPr>
            <b/>
            <sz val="9"/>
            <rFont val="宋体"/>
            <charset val="134"/>
          </rPr>
          <t>衢州普农</t>
        </r>
        <r>
          <rPr>
            <sz val="9"/>
            <rFont val="宋体"/>
            <charset val="134"/>
          </rPr>
          <t xml:space="preserve">
</t>
        </r>
      </text>
    </comment>
    <comment ref="B22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不合作了</t>
        </r>
      </text>
    </comment>
    <comment ref="B23" authorId="1">
      <text>
        <r>
          <rPr>
            <b/>
            <sz val="9"/>
            <rFont val="宋体"/>
            <charset val="134"/>
          </rPr>
          <t>衢州专卖店</t>
        </r>
      </text>
    </comment>
    <comment ref="B24" authorId="1">
      <text>
        <r>
          <rPr>
            <b/>
            <sz val="9"/>
            <rFont val="宋体"/>
            <charset val="134"/>
          </rPr>
          <t>8月新增</t>
        </r>
        <r>
          <rPr>
            <sz val="9"/>
            <rFont val="宋体"/>
            <charset val="134"/>
          </rPr>
          <t xml:space="preserve">
</t>
        </r>
      </text>
    </comment>
    <comment ref="B34" authorId="0">
      <text>
        <r>
          <rPr>
            <b/>
            <sz val="9"/>
            <rFont val="宋体"/>
            <charset val="134"/>
          </rPr>
          <t>暖通</t>
        </r>
      </text>
    </comment>
    <comment ref="B44" authorId="1">
      <text>
        <r>
          <rPr>
            <sz val="9"/>
            <rFont val="宋体"/>
            <charset val="134"/>
          </rPr>
          <t>原石桥头专卖店（11月转为代理商加盟）</t>
        </r>
      </text>
    </comment>
    <comment ref="B50" authorId="0">
      <text>
        <r>
          <rPr>
            <b/>
            <sz val="9"/>
            <rFont val="宋体"/>
            <charset val="134"/>
          </rPr>
          <t>暖通</t>
        </r>
      </text>
    </comment>
  </commentList>
</comments>
</file>

<file path=xl/sharedStrings.xml><?xml version="1.0" encoding="utf-8"?>
<sst xmlns="http://schemas.openxmlformats.org/spreadsheetml/2006/main" count="2593" uniqueCount="702">
  <si>
    <t>杭州中冠电器有限公司</t>
  </si>
  <si>
    <r>
      <rPr>
        <b/>
        <sz val="12"/>
        <rFont val="Times New Roman"/>
        <charset val="134"/>
      </rPr>
      <t>2024</t>
    </r>
    <r>
      <rPr>
        <b/>
        <sz val="12"/>
        <rFont val="微软雅黑"/>
        <charset val="134"/>
      </rPr>
      <t>年业务</t>
    </r>
    <r>
      <rPr>
        <b/>
        <sz val="12"/>
        <rFont val="Times New Roman"/>
        <charset val="134"/>
      </rPr>
      <t>1</t>
    </r>
    <r>
      <rPr>
        <b/>
        <sz val="12"/>
        <rFont val="微软雅黑"/>
        <charset val="134"/>
      </rPr>
      <t>月</t>
    </r>
    <r>
      <rPr>
        <b/>
        <sz val="12"/>
        <rFont val="Times New Roman"/>
        <charset val="134"/>
      </rPr>
      <t>-3</t>
    </r>
    <r>
      <rPr>
        <b/>
        <sz val="12"/>
        <rFont val="微软雅黑"/>
        <charset val="134"/>
      </rPr>
      <t>月及季度绩效奖金发放表</t>
    </r>
  </si>
  <si>
    <r>
      <rPr>
        <b/>
        <sz val="9"/>
        <rFont val="Times New Roman"/>
        <charset val="134"/>
      </rPr>
      <t>2024</t>
    </r>
    <r>
      <rPr>
        <b/>
        <sz val="9"/>
        <rFont val="微软雅黑"/>
        <charset val="134"/>
      </rPr>
      <t>年</t>
    </r>
    <r>
      <rPr>
        <b/>
        <sz val="9"/>
        <rFont val="Times New Roman"/>
        <charset val="134"/>
      </rPr>
      <t>04</t>
    </r>
    <r>
      <rPr>
        <b/>
        <sz val="9"/>
        <rFont val="微软雅黑"/>
        <charset val="134"/>
      </rPr>
      <t>月</t>
    </r>
    <r>
      <rPr>
        <b/>
        <sz val="9"/>
        <rFont val="Times New Roman"/>
        <charset val="134"/>
      </rPr>
      <t>25</t>
    </r>
    <r>
      <rPr>
        <b/>
        <sz val="9"/>
        <rFont val="微软雅黑"/>
        <charset val="134"/>
      </rPr>
      <t>日计发</t>
    </r>
  </si>
  <si>
    <t>序号</t>
  </si>
  <si>
    <t>部门</t>
  </si>
  <si>
    <t>姓名</t>
  </si>
  <si>
    <r>
      <rPr>
        <b/>
        <sz val="11"/>
        <color theme="1"/>
        <rFont val="Times New Roman"/>
        <charset val="134"/>
      </rPr>
      <t>1</t>
    </r>
    <r>
      <rPr>
        <b/>
        <sz val="11"/>
        <color theme="1"/>
        <rFont val="微软雅黑"/>
        <charset val="134"/>
      </rPr>
      <t>月</t>
    </r>
  </si>
  <si>
    <r>
      <rPr>
        <b/>
        <sz val="10"/>
        <rFont val="Times New Roman"/>
        <charset val="134"/>
      </rPr>
      <t>2</t>
    </r>
    <r>
      <rPr>
        <b/>
        <sz val="10"/>
        <rFont val="微软雅黑"/>
        <charset val="134"/>
      </rPr>
      <t>月</t>
    </r>
  </si>
  <si>
    <r>
      <rPr>
        <b/>
        <sz val="10"/>
        <rFont val="Times New Roman"/>
        <charset val="134"/>
      </rPr>
      <t>3</t>
    </r>
    <r>
      <rPr>
        <b/>
        <sz val="10"/>
        <rFont val="微软雅黑"/>
        <charset val="134"/>
      </rPr>
      <t>月</t>
    </r>
  </si>
  <si>
    <r>
      <rPr>
        <b/>
        <sz val="10"/>
        <rFont val="Times New Roman"/>
        <charset val="134"/>
      </rPr>
      <t>Q1</t>
    </r>
    <r>
      <rPr>
        <b/>
        <sz val="10"/>
        <rFont val="微软雅黑"/>
        <charset val="134"/>
      </rPr>
      <t>季度奖金</t>
    </r>
  </si>
  <si>
    <t>个税</t>
  </si>
  <si>
    <t>合计</t>
  </si>
  <si>
    <t>备注</t>
  </si>
  <si>
    <r>
      <rPr>
        <sz val="10"/>
        <rFont val="微软雅黑"/>
        <charset val="134"/>
      </rPr>
      <t>杭州大区</t>
    </r>
  </si>
  <si>
    <r>
      <rPr>
        <sz val="10"/>
        <rFont val="微软雅黑"/>
        <charset val="134"/>
      </rPr>
      <t>董培培</t>
    </r>
  </si>
  <si>
    <r>
      <rPr>
        <sz val="10"/>
        <rFont val="微软雅黑"/>
        <charset val="134"/>
      </rPr>
      <t>奖金：</t>
    </r>
    <r>
      <rPr>
        <sz val="10"/>
        <rFont val="Times New Roman"/>
        <charset val="134"/>
      </rPr>
      <t xml:space="preserve">
1.2024.1-3</t>
    </r>
    <r>
      <rPr>
        <sz val="10"/>
        <rFont val="微软雅黑"/>
        <charset val="134"/>
      </rPr>
      <t>月度奖金</t>
    </r>
    <r>
      <rPr>
        <sz val="10"/>
        <rFont val="Times New Roman"/>
        <charset val="134"/>
      </rPr>
      <t xml:space="preserve">
2.Q1</t>
    </r>
    <r>
      <rPr>
        <sz val="10"/>
        <rFont val="微软雅黑"/>
        <charset val="134"/>
      </rPr>
      <t>季度奖金</t>
    </r>
  </si>
  <si>
    <r>
      <rPr>
        <sz val="10"/>
        <rFont val="微软雅黑"/>
        <charset val="134"/>
      </rPr>
      <t>黄颖</t>
    </r>
  </si>
  <si>
    <r>
      <rPr>
        <sz val="10"/>
        <rFont val="微软雅黑"/>
        <charset val="134"/>
      </rPr>
      <t>党营军</t>
    </r>
  </si>
  <si>
    <r>
      <rPr>
        <sz val="10"/>
        <rFont val="微软雅黑"/>
        <charset val="134"/>
      </rPr>
      <t>张剑</t>
    </r>
  </si>
  <si>
    <r>
      <rPr>
        <sz val="10"/>
        <rFont val="微软雅黑"/>
        <charset val="134"/>
      </rPr>
      <t>奖金：</t>
    </r>
    <r>
      <rPr>
        <sz val="10"/>
        <rFont val="Times New Roman"/>
        <charset val="134"/>
      </rPr>
      <t xml:space="preserve">
1.2024.2-3</t>
    </r>
    <r>
      <rPr>
        <sz val="10"/>
        <rFont val="微软雅黑"/>
        <charset val="134"/>
      </rPr>
      <t>月度奖金</t>
    </r>
    <r>
      <rPr>
        <sz val="10"/>
        <rFont val="Times New Roman"/>
        <charset val="134"/>
      </rPr>
      <t xml:space="preserve">
2.Q1</t>
    </r>
    <r>
      <rPr>
        <sz val="10"/>
        <rFont val="微软雅黑"/>
        <charset val="134"/>
      </rPr>
      <t>季度奖金</t>
    </r>
  </si>
  <si>
    <r>
      <rPr>
        <sz val="10"/>
        <rFont val="微软雅黑"/>
        <charset val="134"/>
      </rPr>
      <t>金华办事处</t>
    </r>
  </si>
  <si>
    <r>
      <rPr>
        <sz val="10"/>
        <rFont val="微软雅黑"/>
        <charset val="134"/>
      </rPr>
      <t>潘杏</t>
    </r>
  </si>
  <si>
    <r>
      <rPr>
        <sz val="10"/>
        <rFont val="微软雅黑"/>
        <charset val="134"/>
      </rPr>
      <t>江雯</t>
    </r>
  </si>
  <si>
    <r>
      <rPr>
        <sz val="11"/>
        <color theme="1"/>
        <rFont val="微软雅黑"/>
        <charset val="134"/>
      </rPr>
      <t>张韵威</t>
    </r>
  </si>
  <si>
    <r>
      <rPr>
        <sz val="10"/>
        <rFont val="微软雅黑"/>
        <charset val="134"/>
      </rPr>
      <t>结算部</t>
    </r>
  </si>
  <si>
    <r>
      <rPr>
        <sz val="10"/>
        <rFont val="微软雅黑"/>
        <charset val="134"/>
      </rPr>
      <t>毛银萍</t>
    </r>
  </si>
  <si>
    <r>
      <rPr>
        <sz val="10"/>
        <color theme="1"/>
        <rFont val="微软雅黑"/>
        <charset val="134"/>
      </rPr>
      <t>季度奖金</t>
    </r>
    <r>
      <rPr>
        <sz val="10"/>
        <color theme="1"/>
        <rFont val="Times New Roman"/>
        <charset val="134"/>
      </rPr>
      <t>3000*70%*</t>
    </r>
    <r>
      <rPr>
        <sz val="10"/>
        <color theme="1"/>
        <rFont val="微软雅黑"/>
        <charset val="134"/>
      </rPr>
      <t>结算率</t>
    </r>
    <r>
      <rPr>
        <sz val="10"/>
        <color theme="1"/>
        <rFont val="Times New Roman"/>
        <charset val="134"/>
      </rPr>
      <t>+</t>
    </r>
    <r>
      <rPr>
        <sz val="10"/>
        <color theme="1"/>
        <rFont val="微软雅黑"/>
        <charset val="134"/>
      </rPr>
      <t>季度奖金</t>
    </r>
    <r>
      <rPr>
        <sz val="10"/>
        <color theme="1"/>
        <rFont val="Times New Roman"/>
        <charset val="134"/>
      </rPr>
      <t>3000*30%*</t>
    </r>
    <r>
      <rPr>
        <sz val="10"/>
        <color theme="1"/>
        <rFont val="微软雅黑"/>
        <charset val="134"/>
      </rPr>
      <t>回款完成率</t>
    </r>
    <r>
      <rPr>
        <sz val="10"/>
        <color theme="1"/>
        <rFont val="Times New Roman"/>
        <charset val="134"/>
      </rPr>
      <t xml:space="preserve">
</t>
    </r>
    <r>
      <rPr>
        <sz val="10"/>
        <color theme="1"/>
        <rFont val="微软雅黑"/>
        <charset val="134"/>
      </rPr>
      <t>两项指标（封顶</t>
    </r>
    <r>
      <rPr>
        <sz val="10"/>
        <color theme="1"/>
        <rFont val="Times New Roman"/>
        <charset val="134"/>
      </rPr>
      <t>100%</t>
    </r>
    <r>
      <rPr>
        <sz val="10"/>
        <color theme="1"/>
        <rFont val="微软雅黑"/>
        <charset val="134"/>
      </rPr>
      <t>）</t>
    </r>
  </si>
  <si>
    <r>
      <rPr>
        <sz val="10"/>
        <rFont val="微软雅黑"/>
        <charset val="134"/>
      </rPr>
      <t>合计</t>
    </r>
  </si>
  <si>
    <t>总经理：                 财务经理：                     出纳：                      制表：李燕霞</t>
  </si>
  <si>
    <r>
      <rPr>
        <b/>
        <sz val="12"/>
        <rFont val="Times New Roman"/>
        <charset val="134"/>
      </rPr>
      <t>2024</t>
    </r>
    <r>
      <rPr>
        <b/>
        <sz val="12"/>
        <rFont val="微软雅黑"/>
        <charset val="134"/>
      </rPr>
      <t>年业务</t>
    </r>
    <r>
      <rPr>
        <b/>
        <sz val="12"/>
        <rFont val="Times New Roman"/>
        <charset val="134"/>
      </rPr>
      <t>4</t>
    </r>
    <r>
      <rPr>
        <b/>
        <sz val="12"/>
        <rFont val="微软雅黑"/>
        <charset val="134"/>
      </rPr>
      <t>月度绩效奖金发放表</t>
    </r>
  </si>
  <si>
    <r>
      <rPr>
        <b/>
        <sz val="9"/>
        <rFont val="Times New Roman"/>
        <charset val="134"/>
      </rPr>
      <t>2024</t>
    </r>
    <r>
      <rPr>
        <b/>
        <sz val="9"/>
        <rFont val="微软雅黑"/>
        <charset val="134"/>
      </rPr>
      <t>年</t>
    </r>
    <r>
      <rPr>
        <b/>
        <sz val="9"/>
        <rFont val="Times New Roman"/>
        <charset val="134"/>
      </rPr>
      <t>05</t>
    </r>
    <r>
      <rPr>
        <b/>
        <sz val="9"/>
        <rFont val="微软雅黑"/>
        <charset val="134"/>
      </rPr>
      <t>月</t>
    </r>
    <r>
      <rPr>
        <b/>
        <sz val="9"/>
        <rFont val="Times New Roman"/>
        <charset val="134"/>
      </rPr>
      <t>15</t>
    </r>
    <r>
      <rPr>
        <b/>
        <sz val="9"/>
        <rFont val="微软雅黑"/>
        <charset val="134"/>
      </rPr>
      <t>日计发</t>
    </r>
  </si>
  <si>
    <t>4月</t>
  </si>
  <si>
    <r>
      <rPr>
        <sz val="12"/>
        <rFont val="宋体"/>
        <charset val="134"/>
      </rPr>
      <t>总经理：</t>
    </r>
    <r>
      <rPr>
        <sz val="12"/>
        <rFont val="Times New Roman"/>
        <charset val="134"/>
      </rPr>
      <t xml:space="preserve">                 </t>
    </r>
    <r>
      <rPr>
        <sz val="12"/>
        <rFont val="宋体"/>
        <charset val="134"/>
      </rPr>
      <t>财务经理：</t>
    </r>
    <r>
      <rPr>
        <sz val="12"/>
        <rFont val="Times New Roman"/>
        <charset val="134"/>
      </rPr>
      <t xml:space="preserve">                     </t>
    </r>
    <r>
      <rPr>
        <sz val="12"/>
        <rFont val="宋体"/>
        <charset val="134"/>
      </rPr>
      <t>出纳：</t>
    </r>
    <r>
      <rPr>
        <sz val="12"/>
        <rFont val="Times New Roman"/>
        <charset val="134"/>
      </rPr>
      <t xml:space="preserve">                      </t>
    </r>
    <r>
      <rPr>
        <sz val="12"/>
        <rFont val="宋体"/>
        <charset val="134"/>
      </rPr>
      <t>制表：姜丽丽</t>
    </r>
  </si>
  <si>
    <r>
      <rPr>
        <b/>
        <sz val="12"/>
        <rFont val="Times New Roman"/>
        <charset val="134"/>
      </rPr>
      <t>2024</t>
    </r>
    <r>
      <rPr>
        <b/>
        <sz val="12"/>
        <rFont val="微软雅黑"/>
        <charset val="134"/>
      </rPr>
      <t>年业务</t>
    </r>
    <r>
      <rPr>
        <b/>
        <sz val="12"/>
        <rFont val="Times New Roman"/>
        <charset val="134"/>
      </rPr>
      <t>5</t>
    </r>
    <r>
      <rPr>
        <b/>
        <sz val="12"/>
        <rFont val="微软雅黑"/>
        <charset val="134"/>
      </rPr>
      <t>月度绩效奖金发放表</t>
    </r>
  </si>
  <si>
    <r>
      <rPr>
        <b/>
        <sz val="9"/>
        <rFont val="Times New Roman"/>
        <charset val="134"/>
      </rPr>
      <t>2024</t>
    </r>
    <r>
      <rPr>
        <b/>
        <sz val="9"/>
        <rFont val="微软雅黑"/>
        <charset val="134"/>
      </rPr>
      <t>年</t>
    </r>
    <r>
      <rPr>
        <b/>
        <sz val="9"/>
        <rFont val="Times New Roman"/>
        <charset val="134"/>
      </rPr>
      <t>06</t>
    </r>
    <r>
      <rPr>
        <b/>
        <sz val="9"/>
        <rFont val="微软雅黑"/>
        <charset val="134"/>
      </rPr>
      <t>月</t>
    </r>
    <r>
      <rPr>
        <b/>
        <sz val="9"/>
        <rFont val="Times New Roman"/>
        <charset val="134"/>
      </rPr>
      <t>15</t>
    </r>
    <r>
      <rPr>
        <b/>
        <sz val="9"/>
        <rFont val="微软雅黑"/>
        <charset val="134"/>
      </rPr>
      <t>日计发</t>
    </r>
  </si>
  <si>
    <t>5月</t>
  </si>
  <si>
    <t>其他增项</t>
  </si>
  <si>
    <r>
      <rPr>
        <sz val="11"/>
        <color theme="1"/>
        <rFont val="宋体"/>
        <charset val="134"/>
      </rPr>
      <t>从</t>
    </r>
    <r>
      <rPr>
        <sz val="11"/>
        <color theme="1"/>
        <rFont val="Times New Roman"/>
        <charset val="134"/>
      </rPr>
      <t>4</t>
    </r>
    <r>
      <rPr>
        <sz val="11"/>
        <color theme="1"/>
        <rFont val="宋体"/>
        <charset val="134"/>
      </rPr>
      <t>月份起薪资调整为</t>
    </r>
    <r>
      <rPr>
        <sz val="11"/>
        <color theme="1"/>
        <rFont val="Times New Roman"/>
        <charset val="134"/>
      </rPr>
      <t>55</t>
    </r>
    <r>
      <rPr>
        <sz val="11"/>
        <color theme="1"/>
        <rFont val="宋体"/>
        <charset val="134"/>
      </rPr>
      <t>级，补4月绩效差额175.89，体现在其他增项</t>
    </r>
  </si>
  <si>
    <t>杭州大区</t>
  </si>
  <si>
    <t>董培培</t>
  </si>
  <si>
    <t>黄颖</t>
  </si>
  <si>
    <t>张剑</t>
  </si>
  <si>
    <t>李玺宗</t>
  </si>
  <si>
    <t>金华办事处</t>
  </si>
  <si>
    <t>潘杏</t>
  </si>
  <si>
    <t>江雯</t>
  </si>
  <si>
    <t>从4月份起薪资调整为55级，补4月绩效差额175.89，体现在其他增项</t>
  </si>
  <si>
    <t>张韵威</t>
  </si>
  <si>
    <r>
      <rPr>
        <sz val="11"/>
        <rFont val="宋体"/>
        <charset val="134"/>
      </rPr>
      <t>总经理：</t>
    </r>
    <r>
      <rPr>
        <sz val="11"/>
        <rFont val="Times New Roman"/>
        <charset val="134"/>
      </rPr>
      <t xml:space="preserve">                 </t>
    </r>
    <r>
      <rPr>
        <sz val="11"/>
        <rFont val="宋体"/>
        <charset val="134"/>
      </rPr>
      <t>财务经理：</t>
    </r>
    <r>
      <rPr>
        <sz val="11"/>
        <rFont val="Times New Roman"/>
        <charset val="134"/>
      </rPr>
      <t xml:space="preserve">                     </t>
    </r>
    <r>
      <rPr>
        <sz val="11"/>
        <rFont val="宋体"/>
        <charset val="134"/>
      </rPr>
      <t>出纳：</t>
    </r>
    <r>
      <rPr>
        <sz val="11"/>
        <rFont val="Times New Roman"/>
        <charset val="134"/>
      </rPr>
      <t xml:space="preserve">                      </t>
    </r>
    <r>
      <rPr>
        <sz val="11"/>
        <rFont val="宋体"/>
        <charset val="134"/>
      </rPr>
      <t>制表：姜丽丽</t>
    </r>
  </si>
  <si>
    <r>
      <rPr>
        <b/>
        <sz val="12"/>
        <rFont val="Times New Roman"/>
        <charset val="134"/>
      </rPr>
      <t>2024</t>
    </r>
    <r>
      <rPr>
        <b/>
        <sz val="12"/>
        <rFont val="微软雅黑"/>
        <charset val="134"/>
      </rPr>
      <t>年业务</t>
    </r>
    <r>
      <rPr>
        <b/>
        <sz val="12"/>
        <rFont val="Times New Roman"/>
        <charset val="134"/>
      </rPr>
      <t>6</t>
    </r>
    <r>
      <rPr>
        <b/>
        <sz val="12"/>
        <rFont val="微软雅黑"/>
        <charset val="134"/>
      </rPr>
      <t>月及</t>
    </r>
    <r>
      <rPr>
        <b/>
        <sz val="12"/>
        <rFont val="Times New Roman"/>
        <charset val="134"/>
      </rPr>
      <t>Q2</t>
    </r>
    <r>
      <rPr>
        <b/>
        <sz val="12"/>
        <rFont val="微软雅黑"/>
        <charset val="134"/>
      </rPr>
      <t>季度绩效奖金发放表</t>
    </r>
  </si>
  <si>
    <r>
      <rPr>
        <b/>
        <sz val="9"/>
        <rFont val="Times New Roman"/>
        <charset val="134"/>
      </rPr>
      <t>2024</t>
    </r>
    <r>
      <rPr>
        <b/>
        <sz val="9"/>
        <rFont val="微软雅黑"/>
        <charset val="134"/>
      </rPr>
      <t>年</t>
    </r>
    <r>
      <rPr>
        <b/>
        <sz val="9"/>
        <rFont val="Times New Roman"/>
        <charset val="134"/>
      </rPr>
      <t>07</t>
    </r>
    <r>
      <rPr>
        <b/>
        <sz val="9"/>
        <rFont val="微软雅黑"/>
        <charset val="134"/>
      </rPr>
      <t>月</t>
    </r>
    <r>
      <rPr>
        <b/>
        <sz val="9"/>
        <rFont val="Times New Roman"/>
        <charset val="134"/>
      </rPr>
      <t>15</t>
    </r>
    <r>
      <rPr>
        <b/>
        <sz val="9"/>
        <rFont val="微软雅黑"/>
        <charset val="134"/>
      </rPr>
      <t>日计发</t>
    </r>
  </si>
  <si>
    <t>6月</t>
  </si>
  <si>
    <t>Q2季度</t>
  </si>
  <si>
    <t>奖金：
1.2024.6月度奖金
2.Q2季度奖金：
4月算五星和汇德隆两个渠道
5月和6月算汇德隆一个渠道</t>
  </si>
  <si>
    <t>李燕霞</t>
  </si>
  <si>
    <t>奖金：
1.2024.6月度奖金
2.Q2季度奖金：6月五星渠道</t>
  </si>
  <si>
    <t>奖金：
1.2024.6月度奖金
2.Q2季度奖金</t>
  </si>
  <si>
    <t>奖金：
1.2024.5.22-6月奖金算小区推广的奖金
2.Q2季度奖金：4.1-5.21季度奖金</t>
  </si>
  <si>
    <t>奖金：
1.2024.6月奖金
2.Q2季度奖金：5.22-6.30季度奖金</t>
  </si>
  <si>
    <t>结算部</t>
  </si>
  <si>
    <t>毛银萍</t>
  </si>
  <si>
    <t>季度奖金3000*70%*结算率+季度奖金3000*30%*回款完成率
两项指标（封顶100%）</t>
  </si>
  <si>
    <r>
      <rPr>
        <b/>
        <sz val="12"/>
        <rFont val="Times New Roman"/>
        <charset val="134"/>
      </rPr>
      <t>2024</t>
    </r>
    <r>
      <rPr>
        <b/>
        <sz val="12"/>
        <rFont val="微软雅黑"/>
        <charset val="134"/>
      </rPr>
      <t>年业务</t>
    </r>
    <r>
      <rPr>
        <b/>
        <sz val="12"/>
        <rFont val="Times New Roman"/>
        <charset val="134"/>
      </rPr>
      <t>7</t>
    </r>
    <r>
      <rPr>
        <b/>
        <sz val="12"/>
        <rFont val="微软雅黑"/>
        <charset val="134"/>
      </rPr>
      <t>月度绩效奖金发放表</t>
    </r>
  </si>
  <si>
    <r>
      <rPr>
        <b/>
        <sz val="9"/>
        <rFont val="Times New Roman"/>
        <charset val="134"/>
      </rPr>
      <t>2024</t>
    </r>
    <r>
      <rPr>
        <b/>
        <sz val="9"/>
        <rFont val="微软雅黑"/>
        <charset val="134"/>
      </rPr>
      <t>年</t>
    </r>
    <r>
      <rPr>
        <b/>
        <sz val="9"/>
        <rFont val="Times New Roman"/>
        <charset val="134"/>
      </rPr>
      <t>08</t>
    </r>
    <r>
      <rPr>
        <b/>
        <sz val="9"/>
        <rFont val="微软雅黑"/>
        <charset val="134"/>
      </rPr>
      <t>月</t>
    </r>
    <r>
      <rPr>
        <b/>
        <sz val="9"/>
        <rFont val="Times New Roman"/>
        <charset val="134"/>
      </rPr>
      <t>15</t>
    </r>
    <r>
      <rPr>
        <b/>
        <sz val="9"/>
        <rFont val="微软雅黑"/>
        <charset val="134"/>
      </rPr>
      <t>日计发</t>
    </r>
  </si>
  <si>
    <t>7月</t>
  </si>
  <si>
    <t>其他负激励</t>
  </si>
  <si>
    <t>7.16离职，7月份按奖金的50%发放</t>
  </si>
  <si>
    <t>湖州办事处</t>
  </si>
  <si>
    <t>翁昕</t>
  </si>
  <si>
    <t>6月奖金应发1387.93，实发590，差额797.93元在7月份补发</t>
  </si>
  <si>
    <t>张正芳</t>
  </si>
  <si>
    <r>
      <rPr>
        <b/>
        <sz val="12"/>
        <rFont val="Times New Roman"/>
        <charset val="134"/>
      </rPr>
      <t>2024</t>
    </r>
    <r>
      <rPr>
        <b/>
        <sz val="12"/>
        <rFont val="微软雅黑"/>
        <charset val="134"/>
      </rPr>
      <t>年业务</t>
    </r>
    <r>
      <rPr>
        <b/>
        <sz val="12"/>
        <rFont val="Times New Roman"/>
        <charset val="134"/>
      </rPr>
      <t>8</t>
    </r>
    <r>
      <rPr>
        <b/>
        <sz val="12"/>
        <rFont val="微软雅黑"/>
        <charset val="134"/>
      </rPr>
      <t>月度绩效奖金发放表</t>
    </r>
  </si>
  <si>
    <r>
      <rPr>
        <b/>
        <sz val="9"/>
        <rFont val="Times New Roman"/>
        <charset val="134"/>
      </rPr>
      <t>2024</t>
    </r>
    <r>
      <rPr>
        <b/>
        <sz val="9"/>
        <rFont val="微软雅黑"/>
        <charset val="134"/>
      </rPr>
      <t>年</t>
    </r>
    <r>
      <rPr>
        <b/>
        <sz val="9"/>
        <rFont val="Times New Roman"/>
        <charset val="134"/>
      </rPr>
      <t>09</t>
    </r>
    <r>
      <rPr>
        <b/>
        <sz val="9"/>
        <rFont val="微软雅黑"/>
        <charset val="134"/>
      </rPr>
      <t>月</t>
    </r>
    <r>
      <rPr>
        <b/>
        <sz val="9"/>
        <rFont val="Times New Roman"/>
        <charset val="134"/>
      </rPr>
      <t>15</t>
    </r>
    <r>
      <rPr>
        <b/>
        <sz val="9"/>
        <rFont val="微软雅黑"/>
        <charset val="134"/>
      </rPr>
      <t>日计发</t>
    </r>
  </si>
  <si>
    <t>8月</t>
  </si>
  <si>
    <t>应扣负激励</t>
  </si>
  <si>
    <t>7月应发2397.88元，实发2637.67元，多发239.79元在本月中扣回</t>
  </si>
  <si>
    <r>
      <rPr>
        <b/>
        <sz val="12"/>
        <rFont val="Times New Roman"/>
        <charset val="134"/>
      </rPr>
      <t>2024</t>
    </r>
    <r>
      <rPr>
        <b/>
        <sz val="12"/>
        <rFont val="微软雅黑"/>
        <charset val="134"/>
      </rPr>
      <t>年业务</t>
    </r>
    <r>
      <rPr>
        <b/>
        <sz val="12"/>
        <rFont val="Times New Roman"/>
        <charset val="134"/>
      </rPr>
      <t>9</t>
    </r>
    <r>
      <rPr>
        <b/>
        <sz val="12"/>
        <rFont val="微软雅黑"/>
        <charset val="134"/>
      </rPr>
      <t>月及</t>
    </r>
    <r>
      <rPr>
        <b/>
        <sz val="12"/>
        <rFont val="Times New Roman"/>
        <charset val="134"/>
      </rPr>
      <t>Q3</t>
    </r>
    <r>
      <rPr>
        <b/>
        <sz val="12"/>
        <rFont val="微软雅黑"/>
        <charset val="134"/>
      </rPr>
      <t>季度绩效奖金发放表</t>
    </r>
  </si>
  <si>
    <r>
      <rPr>
        <b/>
        <sz val="9"/>
        <rFont val="Times New Roman"/>
        <charset val="134"/>
      </rPr>
      <t>2024</t>
    </r>
    <r>
      <rPr>
        <b/>
        <sz val="9"/>
        <rFont val="微软雅黑"/>
        <charset val="134"/>
      </rPr>
      <t>年</t>
    </r>
    <r>
      <rPr>
        <b/>
        <sz val="9"/>
        <rFont val="Times New Roman"/>
        <charset val="134"/>
      </rPr>
      <t>10</t>
    </r>
    <r>
      <rPr>
        <b/>
        <sz val="9"/>
        <rFont val="微软雅黑"/>
        <charset val="134"/>
      </rPr>
      <t>月</t>
    </r>
    <r>
      <rPr>
        <b/>
        <sz val="9"/>
        <rFont val="Times New Roman"/>
        <charset val="134"/>
      </rPr>
      <t>15</t>
    </r>
    <r>
      <rPr>
        <b/>
        <sz val="9"/>
        <rFont val="微软雅黑"/>
        <charset val="134"/>
      </rPr>
      <t>日计发</t>
    </r>
  </si>
  <si>
    <t>奖金
9月</t>
  </si>
  <si>
    <t>季度奖金
Q3</t>
  </si>
  <si>
    <t>其他负激励
9月</t>
  </si>
  <si>
    <t>返还负激励
（季度完成回款80%）</t>
  </si>
  <si>
    <t>8月奖金调整项</t>
  </si>
  <si>
    <t>奖金：
1.2024.9月度奖金
2.Q3季度奖金：
3.季度回款完成率83.91%，返还8月负激励700元
4.扣8月少发的211负激励53.33元</t>
  </si>
  <si>
    <t>奖金：
1.2024.9月度奖金
2.Q3季度奖金：
3.季度回款完成率84.95%，返还8月、9月负激励1300元
4、补8月多扣负激励266.67元（211扣款）</t>
  </si>
  <si>
    <t>奖金：
1.2024.9月度奖金
2.Q3季度奖金：</t>
  </si>
  <si>
    <t>奖金：
1.2024.9月度奖金
2.Q3季度奖金：
3.扣8月少发的211负激励75.42元</t>
  </si>
  <si>
    <t>季度回款率34.57%，低于50%，暂不发放</t>
  </si>
  <si>
    <t>销管部</t>
  </si>
  <si>
    <t>刘元平</t>
  </si>
  <si>
    <t>奖金：
1.2024.9月度奖金</t>
  </si>
  <si>
    <r>
      <rPr>
        <b/>
        <sz val="12"/>
        <rFont val="Times New Roman"/>
        <charset val="134"/>
      </rPr>
      <t>2024</t>
    </r>
    <r>
      <rPr>
        <b/>
        <sz val="12"/>
        <rFont val="微软雅黑"/>
        <charset val="134"/>
      </rPr>
      <t>年业务</t>
    </r>
    <r>
      <rPr>
        <b/>
        <sz val="12"/>
        <rFont val="Times New Roman"/>
        <charset val="134"/>
      </rPr>
      <t>10</t>
    </r>
    <r>
      <rPr>
        <b/>
        <sz val="12"/>
        <rFont val="微软雅黑"/>
        <charset val="134"/>
      </rPr>
      <t>月</t>
    </r>
  </si>
  <si>
    <r>
      <rPr>
        <b/>
        <sz val="9"/>
        <rFont val="Times New Roman"/>
        <charset val="134"/>
      </rPr>
      <t>2024</t>
    </r>
    <r>
      <rPr>
        <b/>
        <sz val="9"/>
        <rFont val="微软雅黑"/>
        <charset val="134"/>
      </rPr>
      <t>年</t>
    </r>
    <r>
      <rPr>
        <b/>
        <sz val="9"/>
        <rFont val="Times New Roman"/>
        <charset val="134"/>
      </rPr>
      <t>11</t>
    </r>
    <r>
      <rPr>
        <b/>
        <sz val="9"/>
        <rFont val="微软雅黑"/>
        <charset val="134"/>
      </rPr>
      <t>月</t>
    </r>
    <r>
      <rPr>
        <b/>
        <sz val="9"/>
        <rFont val="Times New Roman"/>
        <charset val="134"/>
      </rPr>
      <t>15</t>
    </r>
    <r>
      <rPr>
        <b/>
        <sz val="9"/>
        <rFont val="微软雅黑"/>
        <charset val="134"/>
      </rPr>
      <t>日计发</t>
    </r>
  </si>
  <si>
    <t>奖金</t>
  </si>
  <si>
    <t>10月奖金应发8648.32，实发5765.55元
(10.31离职，10.21开始与陈林利交接，奖金按2/3发放，陈林利发放1/3)</t>
  </si>
  <si>
    <t>陈林利</t>
  </si>
  <si>
    <t>10.21开始负责专卖店，10月发放1/3奖金</t>
  </si>
  <si>
    <r>
      <rPr>
        <b/>
        <sz val="12"/>
        <rFont val="Times New Roman"/>
        <charset val="134"/>
      </rPr>
      <t>2024</t>
    </r>
    <r>
      <rPr>
        <b/>
        <sz val="12"/>
        <rFont val="微软雅黑"/>
        <charset val="134"/>
      </rPr>
      <t>年业务</t>
    </r>
    <r>
      <rPr>
        <b/>
        <sz val="12"/>
        <rFont val="Times New Roman"/>
        <charset val="134"/>
      </rPr>
      <t>11</t>
    </r>
    <r>
      <rPr>
        <b/>
        <sz val="12"/>
        <rFont val="微软雅黑"/>
        <charset val="134"/>
      </rPr>
      <t>月</t>
    </r>
  </si>
  <si>
    <r>
      <rPr>
        <b/>
        <sz val="9"/>
        <rFont val="Times New Roman"/>
        <charset val="134"/>
      </rPr>
      <t>2024</t>
    </r>
    <r>
      <rPr>
        <b/>
        <sz val="9"/>
        <rFont val="微软雅黑"/>
        <charset val="134"/>
      </rPr>
      <t>年</t>
    </r>
    <r>
      <rPr>
        <b/>
        <sz val="9"/>
        <rFont val="Times New Roman"/>
        <charset val="134"/>
      </rPr>
      <t>12</t>
    </r>
    <r>
      <rPr>
        <b/>
        <sz val="9"/>
        <rFont val="微软雅黑"/>
        <charset val="134"/>
      </rPr>
      <t>月</t>
    </r>
    <r>
      <rPr>
        <b/>
        <sz val="9"/>
        <rFont val="Times New Roman"/>
        <charset val="134"/>
      </rPr>
      <t>15</t>
    </r>
    <r>
      <rPr>
        <b/>
        <sz val="9"/>
        <rFont val="微软雅黑"/>
        <charset val="134"/>
      </rPr>
      <t>日计发</t>
    </r>
  </si>
  <si>
    <r>
      <rPr>
        <b/>
        <sz val="12"/>
        <rFont val="Times New Roman"/>
        <charset val="134"/>
      </rPr>
      <t>2024</t>
    </r>
    <r>
      <rPr>
        <b/>
        <sz val="12"/>
        <rFont val="微软雅黑"/>
        <charset val="134"/>
      </rPr>
      <t>年业务</t>
    </r>
    <r>
      <rPr>
        <b/>
        <sz val="12"/>
        <rFont val="Times New Roman"/>
        <charset val="134"/>
      </rPr>
      <t>12</t>
    </r>
    <r>
      <rPr>
        <b/>
        <sz val="12"/>
        <rFont val="微软雅黑"/>
        <charset val="134"/>
      </rPr>
      <t>月及</t>
    </r>
    <r>
      <rPr>
        <b/>
        <sz val="12"/>
        <rFont val="Times New Roman"/>
        <charset val="134"/>
      </rPr>
      <t>Q4</t>
    </r>
    <r>
      <rPr>
        <b/>
        <sz val="12"/>
        <rFont val="微软雅黑"/>
        <charset val="134"/>
      </rPr>
      <t>季度绩效奖金发放表</t>
    </r>
  </si>
  <si>
    <r>
      <rPr>
        <b/>
        <sz val="9"/>
        <rFont val="Times New Roman"/>
        <charset val="134"/>
      </rPr>
      <t>2025</t>
    </r>
    <r>
      <rPr>
        <b/>
        <sz val="9"/>
        <rFont val="微软雅黑"/>
        <charset val="134"/>
      </rPr>
      <t>年</t>
    </r>
    <r>
      <rPr>
        <b/>
        <sz val="9"/>
        <rFont val="Times New Roman"/>
        <charset val="134"/>
      </rPr>
      <t>1</t>
    </r>
    <r>
      <rPr>
        <b/>
        <sz val="9"/>
        <rFont val="微软雅黑"/>
        <charset val="134"/>
      </rPr>
      <t>月</t>
    </r>
    <r>
      <rPr>
        <b/>
        <sz val="9"/>
        <rFont val="Times New Roman"/>
        <charset val="134"/>
      </rPr>
      <t>15</t>
    </r>
    <r>
      <rPr>
        <b/>
        <sz val="9"/>
        <rFont val="微软雅黑"/>
        <charset val="134"/>
      </rPr>
      <t>日计发</t>
    </r>
  </si>
  <si>
    <t>奖金
12月</t>
  </si>
  <si>
    <t>季度奖金
Q4</t>
  </si>
  <si>
    <t>其他负激励
12月</t>
  </si>
  <si>
    <t>奖金调整项</t>
  </si>
  <si>
    <t>奖金：
1.2024.12月度奖金
2.Q4季度奖金：
3.季度回款完成率87.04%，返还12月负激励1400元</t>
  </si>
  <si>
    <t>奖金：
1.2024.12月度奖金
2.Q4季度奖金：
3.季度回款完成率113.77%，返还12月1300元</t>
  </si>
  <si>
    <t>奖金：
1.2024.12月度奖金
2.Q4季度奖金：</t>
  </si>
  <si>
    <r>
      <rPr>
        <sz val="11"/>
        <color theme="1"/>
        <rFont val="微软雅黑"/>
        <charset val="134"/>
      </rPr>
      <t>奖金：
1.2024.12月度奖金</t>
    </r>
    <r>
      <rPr>
        <sz val="11"/>
        <color rgb="FFFF0000"/>
        <rFont val="微软雅黑"/>
        <charset val="134"/>
      </rPr>
      <t>（12.20离职，12月发放2/3）</t>
    </r>
    <r>
      <rPr>
        <sz val="11"/>
        <color theme="1"/>
        <rFont val="微软雅黑"/>
        <charset val="134"/>
      </rPr>
      <t xml:space="preserve">
2.Q4季度奖金：不发放
3.11-12月份完成率93%，返还负激励11月700。</t>
    </r>
  </si>
  <si>
    <t>奖金：
1.2024.12月度奖金（回款率173.08%）
2.Q4季度奖金：（回款率152.76%）</t>
  </si>
  <si>
    <t>季度奖金3000*70%*结算率97.5%+季度奖金3000*30%*回款完成率92.22%
两项指标（封顶100%）</t>
  </si>
  <si>
    <t>奖金：
1.2024.12月度奖金</t>
  </si>
  <si>
    <t>2025年业务1月-3月及季度绩效奖金发放表</t>
  </si>
  <si>
    <t>2025年04月15日计发</t>
  </si>
  <si>
    <t>1月</t>
  </si>
  <si>
    <t>2月</t>
  </si>
  <si>
    <t>3月</t>
  </si>
  <si>
    <t>Q1季度奖金</t>
  </si>
  <si>
    <t>月回款未达成负激励</t>
  </si>
  <si>
    <t>211负激励</t>
  </si>
  <si>
    <t xml:space="preserve">1、季度回款率42.66%，低于公司要求的50%，季度提成2687.78元不发放
2、3月回款18.73%，负激励20%为1400
</t>
  </si>
  <si>
    <t>贾乐乐</t>
  </si>
  <si>
    <t>1月份回款率50.44%。负激励10%600元；2月份回款率45.75%,负激励20%为1200元；3月份回款率67.88%，负激励10%为600；
季度回款率49.61%，无季度奖金</t>
  </si>
  <si>
    <t>3月回款率24.09%，负激励20%为1400元</t>
  </si>
  <si>
    <t>总经理：                 财务经理：                     出纳：                      制表：姜丽丽</t>
  </si>
  <si>
    <t>季度奖金发放规则：季度完成率低于50%无奖金，年底统一再算，完成50%以上按比例补回。</t>
  </si>
  <si>
    <t>杭州业务考核：</t>
  </si>
  <si>
    <t>1.月度回款50%（含）以下，按绩效工资的20%进行负激励；月度回款80%（含）以下，按绩效工资的10%进行负激励</t>
  </si>
  <si>
    <t>2.211：按照公司要求，所辖门店所有导购每月实际达成211指标6分/人*在职人数（以销管部公布积分为准），给予奖励500元/月</t>
  </si>
  <si>
    <t>2024年7月份起，211达成3分每人，如未达成，按完成率*负激励800元</t>
  </si>
  <si>
    <t>2025年业4月奖金发放表</t>
  </si>
  <si>
    <t>2025年05月15日计发</t>
  </si>
  <si>
    <t>1、211，任务15分，完成11分，完成率73%</t>
  </si>
  <si>
    <t>211，任务15分，完成8分，完成率53%</t>
  </si>
  <si>
    <t>1、4月份回款率22%，低于50%负激励20%
2、211，任务9分，完成2分，完成率22%</t>
  </si>
  <si>
    <t>2025年业务1-4月绩效奖金发放表</t>
  </si>
  <si>
    <t>2025年业5月奖金发放表</t>
  </si>
  <si>
    <t>2025年06月15日计发</t>
  </si>
  <si>
    <t>奖金合计</t>
  </si>
  <si>
    <t>5月份回款率低于50%负激励20%</t>
  </si>
  <si>
    <t>2025年业6月及Q2奖金发放表</t>
  </si>
  <si>
    <t>2025年07月15日计发</t>
  </si>
  <si>
    <t>月回款未达成
负激励</t>
  </si>
  <si>
    <t>Q2</t>
  </si>
  <si>
    <t>返还月回款未完成负激励</t>
  </si>
  <si>
    <t>1、6月份回款率低于50%（44.41%），负激励20%
2、Q2季度回款率高于80%（96.31%），回款未完成负激励的1400返还。</t>
  </si>
  <si>
    <t>1、6月份回款率低于80%（50.79%），负激励10%
2、Q2季度回款率低于50%（39.55%），季度奖金2491.9不发。年度回款超过50%补发未发奖金。</t>
  </si>
  <si>
    <t>林青云</t>
  </si>
  <si>
    <r>
      <rPr>
        <sz val="10"/>
        <color rgb="FFFF0000"/>
        <rFont val="微软雅黑"/>
        <charset val="134"/>
      </rPr>
      <t>奖金做在劳务派遣</t>
    </r>
    <r>
      <rPr>
        <sz val="10"/>
        <rFont val="微软雅黑"/>
        <charset val="134"/>
      </rPr>
      <t xml:space="preserve">
1、5.5转正，Q2季度按5月/31*26+6月计算，Q2完成率32%，回款率低于50%，奖金961.67不发。年度回款超过50%补发未发奖金。</t>
    </r>
  </si>
  <si>
    <r>
      <rPr>
        <sz val="10"/>
        <color rgb="FFFF0000"/>
        <rFont val="微软雅黑"/>
        <charset val="134"/>
      </rPr>
      <t>奖金做在湖州启瑞</t>
    </r>
    <r>
      <rPr>
        <sz val="10"/>
        <rFont val="微软雅黑"/>
        <charset val="134"/>
      </rPr>
      <t xml:space="preserve">
1、季度回款率低于50%（13%），季度奖金235.50不发。</t>
    </r>
  </si>
  <si>
    <t>2025年业7月奖金发放表</t>
  </si>
  <si>
    <t>2025年08月15日计发</t>
  </si>
  <si>
    <t>230.68%回款率</t>
  </si>
  <si>
    <t>45.89%回款率，低于50%，负激励20%</t>
  </si>
  <si>
    <t>96.17%回款率</t>
  </si>
  <si>
    <t>66.63%回款率</t>
  </si>
  <si>
    <t>57.22%回款率</t>
  </si>
  <si>
    <t>7.68%回款率
走劳务派遣</t>
  </si>
  <si>
    <t>78.46%回款率</t>
  </si>
  <si>
    <t>2025年业8月奖金发放表</t>
  </si>
  <si>
    <t>2025年09月15日计发</t>
  </si>
  <si>
    <t>0.5%回款率，低于50%，负激励20%，1400，8月申请不扣</t>
  </si>
  <si>
    <t>44.66%回款率，低于50%，负激励20%，1400，8月申请不扣</t>
  </si>
  <si>
    <t>吴海林</t>
  </si>
  <si>
    <t>44.18%回款率，低于50%，负激励20%，1200，8月申请不扣</t>
  </si>
  <si>
    <t>1.64%回款率</t>
  </si>
  <si>
    <t>36.36%回款率</t>
  </si>
  <si>
    <t>35.18%回款率</t>
  </si>
  <si>
    <t>走劳务派遣</t>
  </si>
  <si>
    <t>52.75%回款率</t>
  </si>
  <si>
    <t>2024.1-12月回款未完成负激励</t>
  </si>
  <si>
    <t>月份</t>
  </si>
  <si>
    <t>具体地区</t>
  </si>
  <si>
    <t>业务人员</t>
  </si>
  <si>
    <t>目标任务</t>
  </si>
  <si>
    <t>实际回款</t>
  </si>
  <si>
    <t>完成率</t>
  </si>
  <si>
    <t>基本工资</t>
  </si>
  <si>
    <t>负激励</t>
  </si>
  <si>
    <t>杭州五星</t>
  </si>
  <si>
    <t>杭州汇德隆</t>
  </si>
  <si>
    <t>杭州外围</t>
  </si>
  <si>
    <t>党营军</t>
  </si>
  <si>
    <t>杭州专卖店</t>
  </si>
  <si>
    <t>1月不享受绩效</t>
  </si>
  <si>
    <t>杭州家装</t>
  </si>
  <si>
    <t>其他规定：</t>
  </si>
  <si>
    <t>2025.1-12月回款未完成负激励</t>
  </si>
  <si>
    <t>基本奖金</t>
  </si>
  <si>
    <t>应负激励</t>
  </si>
  <si>
    <t>奖励</t>
  </si>
  <si>
    <t>实际负激励合计</t>
  </si>
  <si>
    <t>211完成率</t>
  </si>
  <si>
    <t>回款负激励</t>
  </si>
  <si>
    <t>任务15分，完成3分</t>
  </si>
  <si>
    <t>任务6分，完成0分</t>
  </si>
  <si>
    <t>汇德隆</t>
  </si>
  <si>
    <t>任务15分，完成1分</t>
  </si>
  <si>
    <t>外围</t>
  </si>
  <si>
    <t>任务21分，完成5分</t>
  </si>
  <si>
    <t>任务15分，完成2分</t>
  </si>
  <si>
    <t>任务6分，完成1分</t>
  </si>
  <si>
    <t>任务21分，完成6分</t>
  </si>
  <si>
    <t>任务12分，完成8分</t>
  </si>
  <si>
    <t>任务15分，完成0分</t>
  </si>
  <si>
    <t>任务21分，完成7分</t>
  </si>
  <si>
    <r>
      <rPr>
        <b/>
        <sz val="16"/>
        <rFont val="微软雅黑"/>
        <charset val="134"/>
      </rPr>
      <t xml:space="preserve">2025.1-12月厨电未完成负激励
</t>
    </r>
    <r>
      <rPr>
        <b/>
        <sz val="12"/>
        <rFont val="微软雅黑"/>
        <charset val="134"/>
      </rPr>
      <t>标准：每人5分，月考核金额800</t>
    </r>
  </si>
  <si>
    <t>任务</t>
  </si>
  <si>
    <t>完成</t>
  </si>
  <si>
    <t>第一季度合计</t>
  </si>
  <si>
    <t>季度任务45分，完成3分</t>
  </si>
  <si>
    <t>季度任务18分，完成1分</t>
  </si>
  <si>
    <t>季度任务63分，完成18分</t>
  </si>
  <si>
    <t>季度任务42分，完成13分</t>
  </si>
  <si>
    <t>任务15分，完成11分</t>
  </si>
  <si>
    <t>任务15分，完成8分</t>
  </si>
  <si>
    <t>任务9分，完成2分</t>
  </si>
  <si>
    <t>张卓朗</t>
  </si>
  <si>
    <t>任务21分，完成12分，试用期无考核奖金，负激励342.86不扣</t>
  </si>
  <si>
    <t>试用期无考核奖金，负激励不扣</t>
  </si>
  <si>
    <t>4月合计</t>
  </si>
  <si>
    <t>2025年 业务月度考核 明细表</t>
  </si>
  <si>
    <t>单位：元</t>
  </si>
  <si>
    <t>完成率不封顶，结算率按封顶100%</t>
  </si>
  <si>
    <t>地区</t>
  </si>
  <si>
    <t>月奖金基数</t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</si>
  <si>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</si>
  <si>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1</t>
    </r>
    <r>
      <rPr>
        <sz val="10"/>
        <rFont val="宋体"/>
        <charset val="134"/>
      </rPr>
      <t>月实际回款</t>
    </r>
  </si>
  <si>
    <t>绩效奖金</t>
  </si>
  <si>
    <r>
      <rPr>
        <sz val="10"/>
        <rFont val="Times New Roman"/>
        <charset val="134"/>
      </rPr>
      <t>2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</si>
  <si>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2</t>
    </r>
    <r>
      <rPr>
        <sz val="10"/>
        <rFont val="宋体"/>
        <charset val="134"/>
      </rPr>
      <t>月实际回款</t>
    </r>
  </si>
  <si>
    <r>
      <rPr>
        <sz val="10"/>
        <rFont val="Times New Roman"/>
        <charset val="134"/>
      </rPr>
      <t>3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</si>
  <si>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3</t>
    </r>
    <r>
      <rPr>
        <sz val="10"/>
        <rFont val="宋体"/>
        <charset val="134"/>
      </rPr>
      <t>月实际回款</t>
    </r>
  </si>
  <si>
    <r>
      <rPr>
        <sz val="10"/>
        <rFont val="Times New Roman"/>
        <charset val="134"/>
      </rPr>
      <t>Q1</t>
    </r>
    <r>
      <rPr>
        <sz val="10"/>
        <rFont val="宋体"/>
        <charset val="134"/>
      </rPr>
      <t>目标任务</t>
    </r>
  </si>
  <si>
    <r>
      <rPr>
        <sz val="10"/>
        <rFont val="Times New Roman"/>
        <charset val="134"/>
      </rPr>
      <t>Q1</t>
    </r>
    <r>
      <rPr>
        <sz val="10"/>
        <rFont val="宋体"/>
        <charset val="134"/>
      </rPr>
      <t>实际回款</t>
    </r>
  </si>
  <si>
    <r>
      <rPr>
        <sz val="10"/>
        <rFont val="Times New Roman"/>
        <charset val="134"/>
      </rPr>
      <t>Q1</t>
    </r>
    <r>
      <rPr>
        <sz val="10"/>
        <rFont val="宋体"/>
        <charset val="134"/>
      </rPr>
      <t>完成率</t>
    </r>
  </si>
  <si>
    <t>季度奖金基数</t>
  </si>
  <si>
    <t>绩效奖金（季度）</t>
  </si>
  <si>
    <r>
      <rPr>
        <sz val="10"/>
        <rFont val="Times New Roman"/>
        <charset val="134"/>
      </rPr>
      <t>4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</si>
  <si>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4</t>
    </r>
    <r>
      <rPr>
        <sz val="10"/>
        <rFont val="宋体"/>
        <charset val="134"/>
      </rPr>
      <t>月实际回款</t>
    </r>
  </si>
  <si>
    <r>
      <rPr>
        <sz val="10"/>
        <rFont val="Times New Roman"/>
        <charset val="134"/>
      </rPr>
      <t>5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</si>
  <si>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5</t>
    </r>
    <r>
      <rPr>
        <sz val="10"/>
        <rFont val="宋体"/>
        <charset val="134"/>
      </rPr>
      <t>月实际回款</t>
    </r>
  </si>
  <si>
    <r>
      <rPr>
        <sz val="10"/>
        <rFont val="Times New Roman"/>
        <charset val="134"/>
      </rPr>
      <t>6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</si>
  <si>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6</t>
    </r>
    <r>
      <rPr>
        <sz val="10"/>
        <rFont val="宋体"/>
        <charset val="134"/>
      </rPr>
      <t>月实际回款</t>
    </r>
  </si>
  <si>
    <r>
      <rPr>
        <sz val="10"/>
        <rFont val="Times New Roman"/>
        <charset val="134"/>
      </rPr>
      <t>Q2</t>
    </r>
    <r>
      <rPr>
        <sz val="10"/>
        <rFont val="宋体"/>
        <charset val="134"/>
      </rPr>
      <t>目标任务</t>
    </r>
  </si>
  <si>
    <r>
      <rPr>
        <sz val="10"/>
        <rFont val="Times New Roman"/>
        <charset val="134"/>
      </rPr>
      <t>Q2</t>
    </r>
    <r>
      <rPr>
        <sz val="10"/>
        <rFont val="宋体"/>
        <charset val="134"/>
      </rPr>
      <t>实际回款</t>
    </r>
  </si>
  <si>
    <r>
      <rPr>
        <sz val="10"/>
        <rFont val="Times New Roman"/>
        <charset val="134"/>
      </rPr>
      <t>Q2</t>
    </r>
    <r>
      <rPr>
        <sz val="10"/>
        <rFont val="宋体"/>
        <charset val="134"/>
      </rPr>
      <t>完成率</t>
    </r>
  </si>
  <si>
    <r>
      <rPr>
        <sz val="10"/>
        <rFont val="Times New Roman"/>
        <charset val="134"/>
      </rPr>
      <t>Q2</t>
    </r>
    <r>
      <rPr>
        <sz val="10"/>
        <rFont val="宋体"/>
        <charset val="134"/>
      </rPr>
      <t>结算率</t>
    </r>
  </si>
  <si>
    <r>
      <rPr>
        <sz val="10"/>
        <rFont val="Times New Roman"/>
        <charset val="134"/>
      </rPr>
      <t>7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</si>
  <si>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7</t>
    </r>
    <r>
      <rPr>
        <sz val="10"/>
        <rFont val="宋体"/>
        <charset val="134"/>
      </rPr>
      <t>月实际回款</t>
    </r>
  </si>
  <si>
    <r>
      <rPr>
        <sz val="10"/>
        <rFont val="Times New Roman"/>
        <charset val="134"/>
      </rPr>
      <t>8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</si>
  <si>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8</t>
    </r>
    <r>
      <rPr>
        <sz val="10"/>
        <rFont val="宋体"/>
        <charset val="134"/>
      </rPr>
      <t>月实际回款</t>
    </r>
  </si>
  <si>
    <r>
      <rPr>
        <sz val="10"/>
        <rFont val="Times New Roman"/>
        <charset val="134"/>
      </rPr>
      <t>9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</si>
  <si>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9</t>
    </r>
    <r>
      <rPr>
        <sz val="10"/>
        <rFont val="宋体"/>
        <charset val="134"/>
      </rPr>
      <t>月实际回款</t>
    </r>
  </si>
  <si>
    <r>
      <rPr>
        <sz val="10"/>
        <rFont val="Times New Roman"/>
        <charset val="134"/>
      </rPr>
      <t>Q3</t>
    </r>
    <r>
      <rPr>
        <sz val="10"/>
        <rFont val="宋体"/>
        <charset val="134"/>
      </rPr>
      <t>目标任务</t>
    </r>
  </si>
  <si>
    <r>
      <rPr>
        <sz val="10"/>
        <rFont val="Times New Roman"/>
        <charset val="134"/>
      </rPr>
      <t>Q3</t>
    </r>
    <r>
      <rPr>
        <sz val="10"/>
        <rFont val="宋体"/>
        <charset val="134"/>
      </rPr>
      <t>实际回款</t>
    </r>
  </si>
  <si>
    <r>
      <rPr>
        <sz val="10"/>
        <rFont val="Times New Roman"/>
        <charset val="134"/>
      </rPr>
      <t>Q3</t>
    </r>
    <r>
      <rPr>
        <sz val="10"/>
        <rFont val="宋体"/>
        <charset val="134"/>
      </rPr>
      <t>完成率</t>
    </r>
  </si>
  <si>
    <r>
      <rPr>
        <sz val="10"/>
        <rFont val="Times New Roman"/>
        <charset val="134"/>
      </rPr>
      <t>Q3</t>
    </r>
    <r>
      <rPr>
        <sz val="10"/>
        <rFont val="宋体"/>
        <charset val="134"/>
      </rPr>
      <t>结算率</t>
    </r>
  </si>
  <si>
    <r>
      <rPr>
        <sz val="10"/>
        <rFont val="Times New Roman"/>
        <charset val="134"/>
      </rPr>
      <t>10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</si>
  <si>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10</t>
    </r>
    <r>
      <rPr>
        <sz val="10"/>
        <rFont val="宋体"/>
        <charset val="134"/>
      </rPr>
      <t>月实际回款</t>
    </r>
  </si>
  <si>
    <r>
      <rPr>
        <sz val="10"/>
        <rFont val="Times New Roman"/>
        <charset val="134"/>
      </rPr>
      <t>11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</si>
  <si>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11</t>
    </r>
    <r>
      <rPr>
        <sz val="10"/>
        <rFont val="宋体"/>
        <charset val="134"/>
      </rPr>
      <t>月实际回款</t>
    </r>
  </si>
  <si>
    <r>
      <rPr>
        <sz val="10"/>
        <rFont val="Times New Roman"/>
        <charset val="134"/>
      </rPr>
      <t>12</t>
    </r>
    <r>
      <rPr>
        <sz val="10"/>
        <rFont val="宋体"/>
        <charset val="134"/>
      </rPr>
      <t>月目标任务</t>
    </r>
  </si>
  <si>
    <r>
      <rPr>
        <sz val="10"/>
        <rFont val="Times New Roman"/>
        <charset val="134"/>
      </rPr>
      <t>12</t>
    </r>
    <r>
      <rPr>
        <sz val="10"/>
        <rFont val="宋体"/>
        <charset val="134"/>
      </rPr>
      <t>月实际回款</t>
    </r>
  </si>
  <si>
    <r>
      <rPr>
        <sz val="10"/>
        <rFont val="Times New Roman"/>
        <charset val="134"/>
      </rPr>
      <t>Q4</t>
    </r>
    <r>
      <rPr>
        <sz val="10"/>
        <rFont val="宋体"/>
        <charset val="134"/>
      </rPr>
      <t>目标任务</t>
    </r>
  </si>
  <si>
    <r>
      <rPr>
        <sz val="10"/>
        <rFont val="Times New Roman"/>
        <charset val="134"/>
      </rPr>
      <t>Q4</t>
    </r>
    <r>
      <rPr>
        <sz val="10"/>
        <rFont val="宋体"/>
        <charset val="134"/>
      </rPr>
      <t>实际回款</t>
    </r>
  </si>
  <si>
    <r>
      <rPr>
        <sz val="10"/>
        <rFont val="Times New Roman"/>
        <charset val="134"/>
      </rPr>
      <t>Q4</t>
    </r>
    <r>
      <rPr>
        <sz val="10"/>
        <rFont val="宋体"/>
        <charset val="134"/>
      </rPr>
      <t>完成率</t>
    </r>
  </si>
  <si>
    <r>
      <rPr>
        <sz val="10"/>
        <rFont val="Times New Roman"/>
        <charset val="134"/>
      </rPr>
      <t>Q4</t>
    </r>
    <r>
      <rPr>
        <sz val="10"/>
        <rFont val="宋体"/>
        <charset val="134"/>
      </rPr>
      <t>结算率</t>
    </r>
  </si>
  <si>
    <r>
      <rPr>
        <sz val="10"/>
        <rFont val="Times New Roman"/>
        <charset val="134"/>
      </rPr>
      <t>2023</t>
    </r>
    <r>
      <rPr>
        <sz val="10"/>
        <rFont val="宋体"/>
        <charset val="134"/>
      </rPr>
      <t>年任务</t>
    </r>
  </si>
  <si>
    <r>
      <rPr>
        <sz val="10"/>
        <rFont val="Times New Roman"/>
        <charset val="134"/>
      </rPr>
      <t>2023</t>
    </r>
    <r>
      <rPr>
        <sz val="10"/>
        <rFont val="宋体"/>
        <charset val="134"/>
      </rPr>
      <t>年完成</t>
    </r>
  </si>
  <si>
    <t>汇德隆、百货、百安居、司亿博、初韵</t>
  </si>
  <si>
    <t>五星</t>
  </si>
  <si>
    <t>直营专卖店</t>
  </si>
  <si>
    <t>专卖店</t>
  </si>
  <si>
    <t>家装</t>
  </si>
  <si>
    <t>金华市区（不含专卖店：龙腾、八一）、兰溪、永康、武义</t>
  </si>
  <si>
    <t>衢州地区</t>
  </si>
  <si>
    <t>义乌、东阳、浦江、磐安</t>
  </si>
  <si>
    <t>直营+家装+零售</t>
  </si>
  <si>
    <t>浙北大厦+网格</t>
  </si>
  <si>
    <t>翁昕不发</t>
  </si>
  <si>
    <t>长兴</t>
  </si>
  <si>
    <t>张正芳不发</t>
  </si>
  <si>
    <t>实际发放</t>
  </si>
  <si>
    <t>杭州大区业务回款明细</t>
  </si>
  <si>
    <t>萧山（董培培）</t>
  </si>
  <si>
    <t>门店</t>
  </si>
  <si>
    <t>渠道</t>
  </si>
  <si>
    <t>1月回款</t>
  </si>
  <si>
    <t>2月回款</t>
  </si>
  <si>
    <t>3月回款</t>
  </si>
  <si>
    <t>Q1回款</t>
  </si>
  <si>
    <t>4月回款</t>
  </si>
  <si>
    <t>5月回款</t>
  </si>
  <si>
    <t>6月回款</t>
  </si>
  <si>
    <t>Q2回款</t>
  </si>
  <si>
    <t>7月回款</t>
  </si>
  <si>
    <t>8月回款</t>
  </si>
  <si>
    <t>9月回款</t>
  </si>
  <si>
    <t>Q3回款</t>
  </si>
  <si>
    <t>10月回款</t>
  </si>
  <si>
    <t>11月回款</t>
  </si>
  <si>
    <t>12月回款</t>
  </si>
  <si>
    <t>Q4回款</t>
  </si>
  <si>
    <t>全年回款</t>
  </si>
  <si>
    <t>经销</t>
  </si>
  <si>
    <t>萧山</t>
  </si>
  <si>
    <t>萧山汇德隆净水</t>
  </si>
  <si>
    <t>杭州华泓电器有限公司</t>
  </si>
  <si>
    <t>杭州顶戴环境设备有限公司</t>
  </si>
  <si>
    <t>暖通</t>
  </si>
  <si>
    <t>杭州金蝶零售（董培培）</t>
  </si>
  <si>
    <t>百货渠道（董培培）</t>
  </si>
  <si>
    <t>浙江百诚家居科技有限公司</t>
  </si>
  <si>
    <t>滨江</t>
  </si>
  <si>
    <t>杭州司亿博环境设备有限公司</t>
  </si>
  <si>
    <t>浙江初韵供应链管理有限公司</t>
  </si>
  <si>
    <t>五星-李燕霞</t>
  </si>
  <si>
    <t>市区</t>
  </si>
  <si>
    <t>杭州金蝶零售（李燕霞）</t>
  </si>
  <si>
    <t>杭州华东家电市场铁人电器商行</t>
  </si>
  <si>
    <t>杭州殊晟机电设备有限公司</t>
  </si>
  <si>
    <t>外围   临安、临平、余杭</t>
  </si>
  <si>
    <t>杭州兴达京昀电器有限公司</t>
  </si>
  <si>
    <t>余杭</t>
  </si>
  <si>
    <t>杭州临安一栋电器有限公司</t>
  </si>
  <si>
    <t>加盟</t>
  </si>
  <si>
    <t>临安</t>
  </si>
  <si>
    <t>杭州临平江南家居专卖店（杭州伟隆家电有限公司）</t>
  </si>
  <si>
    <t>杭州恒隆电器设备有限公司</t>
  </si>
  <si>
    <t>杭州德业电器有限公司</t>
  </si>
  <si>
    <t>上城</t>
  </si>
  <si>
    <t>杭州市余杭区临平街道泽晨材料商行</t>
  </si>
  <si>
    <t>杭州汇意商贸有限公司</t>
  </si>
  <si>
    <t>拱墅</t>
  </si>
  <si>
    <t>外围   桐庐、建德、淳安,富阳</t>
  </si>
  <si>
    <t>桐庐佳尼特水处理设备有限公司</t>
  </si>
  <si>
    <t>桐庐</t>
  </si>
  <si>
    <t>杭州佳威信息科技有限公司</t>
  </si>
  <si>
    <t>建德</t>
  </si>
  <si>
    <t>淳安县爱满屋家电商行</t>
  </si>
  <si>
    <t>淳安</t>
  </si>
  <si>
    <t>杭州宏信机电有限公司</t>
  </si>
  <si>
    <t>富阳</t>
  </si>
  <si>
    <t>桐庐县城南街道正亿家电经营部</t>
  </si>
  <si>
    <t>杭州金蝶零售（吴海林）</t>
  </si>
  <si>
    <t>市/区/县</t>
  </si>
  <si>
    <t>（新）古墩新时代专卖店</t>
  </si>
  <si>
    <t>直营</t>
  </si>
  <si>
    <t>西湖</t>
  </si>
  <si>
    <t>杭州月星家居超级旗舰店</t>
  </si>
  <si>
    <t>杭州恒大建材超级旗舰店</t>
  </si>
  <si>
    <t>临平</t>
  </si>
  <si>
    <t>（新）滨江第六空间专卖店</t>
  </si>
  <si>
    <t>萧山世纪龙建材专卖店</t>
  </si>
  <si>
    <t>杭州临平江南家居专卖店</t>
  </si>
  <si>
    <t>杭州红星美凯龙一号店</t>
  </si>
  <si>
    <t>二轻爱威专卖店</t>
  </si>
  <si>
    <t>滨江六空8090店</t>
  </si>
  <si>
    <t>萧山第六空间专卖店</t>
  </si>
  <si>
    <t>专卖店总计</t>
  </si>
  <si>
    <t>家装及其他（黄颖）</t>
  </si>
  <si>
    <t>浙江元天电子商务有限公司</t>
  </si>
  <si>
    <t>杭州澎湃电器有限公司</t>
  </si>
  <si>
    <t>杭州中博智能电器有限公司</t>
  </si>
  <si>
    <t>浙江都都装饰有限公司</t>
  </si>
  <si>
    <t>杭州天猫优品</t>
  </si>
  <si>
    <t>杭州金蝶零售（黄颖）</t>
  </si>
  <si>
    <t>杭州装家百科电器有限公司</t>
  </si>
  <si>
    <t>贝壳美家供应链管理（浙江）有限责任公司</t>
  </si>
  <si>
    <t>北京天坛装饰工程有限责任公司杭州分公司</t>
  </si>
  <si>
    <t>杭州恒大建材超级旗舰店（浙江云顶贸易有限公司）</t>
  </si>
  <si>
    <t>其他</t>
  </si>
  <si>
    <t>杭州金蝶零售</t>
  </si>
  <si>
    <t>零售</t>
  </si>
  <si>
    <t>杭州日新人工环境工程有限公司</t>
  </si>
  <si>
    <t>杭州森澜环境科技有限公司</t>
  </si>
  <si>
    <t>杭州晨澜暖通设备有限公司</t>
  </si>
  <si>
    <t>浙江金项装饰有限公司</t>
  </si>
  <si>
    <t>杭州尚兴智能工程有限公司</t>
  </si>
  <si>
    <t>杭州诺佳环境工程有限公司</t>
  </si>
  <si>
    <t>杭州昵悦暖通工程有限公司</t>
  </si>
  <si>
    <t>杭州扎美珂暖通设备有限公司</t>
  </si>
  <si>
    <t>杭州凌度楼宇智能设备有限公司</t>
  </si>
  <si>
    <t>杭州晶东科技有限公司</t>
  </si>
  <si>
    <t>浙江甘堂环境科技有限公司</t>
  </si>
  <si>
    <t>苏宁易购集团股份有限公司苏宁采购中心</t>
  </si>
  <si>
    <t>杭州中瑞工程技术有限公司</t>
  </si>
  <si>
    <t>杭州允选科技有限公司</t>
  </si>
  <si>
    <t>其他合计</t>
  </si>
  <si>
    <t>杭州大区 总计</t>
  </si>
  <si>
    <t>都都25132算在了3月份，不重复计入</t>
  </si>
  <si>
    <t>和罗清回款差异17250，是中瑞的以旧换新，罗清单独计算</t>
  </si>
  <si>
    <t>金华办事处业务回款明细</t>
  </si>
  <si>
    <t>市区、兰溪，武义、永康（不含直营）</t>
  </si>
  <si>
    <t>累计完成</t>
  </si>
  <si>
    <t>金华国美</t>
  </si>
  <si>
    <t>金华五星</t>
  </si>
  <si>
    <t>浙江金华四通家电有限公司</t>
  </si>
  <si>
    <t>兰溪市小严家电经营部</t>
  </si>
  <si>
    <t>金华物美企业管理咨询有限公司</t>
  </si>
  <si>
    <t>金华市今开机电设备有限公司</t>
  </si>
  <si>
    <t>金华市金东区智菱电器商行</t>
  </si>
  <si>
    <t>金华盛诚电子有限公司</t>
  </si>
  <si>
    <t>金华婺城区禾泽家电商行</t>
  </si>
  <si>
    <t>金华市婺城区菱通家用电器商行</t>
  </si>
  <si>
    <t>（新）金华八一南街专卖店</t>
  </si>
  <si>
    <t>金华龙腾建材市场专卖店</t>
  </si>
  <si>
    <t>金华市万普电器销售有限公司</t>
  </si>
  <si>
    <t>兰溪市福祥家电经营部</t>
  </si>
  <si>
    <t>武义名品家电</t>
  </si>
  <si>
    <t>武义大中家电有限公司</t>
  </si>
  <si>
    <t>永康市宇恒暖通设备有限公司</t>
  </si>
  <si>
    <t>永康市大世界家电商场</t>
  </si>
  <si>
    <t>永康市新森态暖通设备有限公司</t>
  </si>
  <si>
    <t>浙江省永康市金城家电有限公司</t>
  </si>
  <si>
    <t>金华市婺美电器有限公司</t>
  </si>
  <si>
    <t>兰溪市升美电器商行</t>
  </si>
  <si>
    <t>兰溪市盈顺贸易商行</t>
  </si>
  <si>
    <t>金华市汇诚电器有限公司</t>
  </si>
  <si>
    <t>永康立格暖通设备有限公司</t>
  </si>
  <si>
    <t>金华金蝶零售（潘杏）</t>
  </si>
  <si>
    <t>金华一启家电有限公司</t>
  </si>
  <si>
    <t>兰溪市泽胜电器有限公司</t>
  </si>
  <si>
    <t>永康市荣浪家用电器有限公司</t>
  </si>
  <si>
    <t>7月开始有回款</t>
  </si>
  <si>
    <t>不含专卖店合计</t>
  </si>
  <si>
    <t>衢州（含江山、龙游）（江雯）</t>
  </si>
  <si>
    <t>浙江普农家电有限公司</t>
  </si>
  <si>
    <t>龙游县荣泰五交化公司</t>
  </si>
  <si>
    <t>衢州市丽声家电有限公司</t>
  </si>
  <si>
    <t>衢州国美</t>
  </si>
  <si>
    <t>衢州市柯城汇鑫家用电器商行</t>
  </si>
  <si>
    <t>江山硕邦家电有限公司</t>
  </si>
  <si>
    <t>龙游博美电器有限公司</t>
  </si>
  <si>
    <t>衢州众冠电器有限公司</t>
  </si>
  <si>
    <t>衢州江山专卖店</t>
  </si>
  <si>
    <t>衢州万恒电器有限公司</t>
  </si>
  <si>
    <t>义乌、东阳，磐安，浦江（张韵威）</t>
  </si>
  <si>
    <t>义乌市中科电器商行</t>
  </si>
  <si>
    <t>义乌市爱坤节能设备有限公司</t>
  </si>
  <si>
    <t>义乌市荣昌家电维修部</t>
  </si>
  <si>
    <t>义乌市齐发家用电器有限公司</t>
  </si>
  <si>
    <t>义乌市丰庆家电有限公司</t>
  </si>
  <si>
    <t>义乌市集乐卫浴有限公司</t>
  </si>
  <si>
    <t>义乌市德丰节能设备有限公司</t>
  </si>
  <si>
    <t>东阳市大中商贸有限公司</t>
  </si>
  <si>
    <t>东阳市国美电器有限公司</t>
  </si>
  <si>
    <t>义乌市钲天新能源有限公司</t>
  </si>
  <si>
    <t>东阳市鱼满堂家电有限公司</t>
  </si>
  <si>
    <t>浦江家美电器有限公司</t>
  </si>
  <si>
    <t>磐安县洪昌家电商场</t>
  </si>
  <si>
    <t>浦江丰安电器有限公司</t>
  </si>
  <si>
    <t>东阳汉宁东路专卖店</t>
  </si>
  <si>
    <t>义乌石桥头专卖店</t>
  </si>
  <si>
    <t>义乌艾欧机电设备有限公司</t>
  </si>
  <si>
    <t>义乌颖亿贸易有限公司</t>
  </si>
  <si>
    <t>义乌国创空调设备有限公司</t>
  </si>
  <si>
    <t>金华金蝶零售</t>
  </si>
  <si>
    <t>总计</t>
  </si>
  <si>
    <t>杨华才</t>
  </si>
  <si>
    <t>金华渠道（除专卖店以外客户）</t>
  </si>
  <si>
    <t>金华直营专卖店</t>
  </si>
  <si>
    <t>金华市创佳机电工程有限公司</t>
  </si>
  <si>
    <t>浙江新隆环境设备有限公司</t>
  </si>
  <si>
    <t>湖州浙北大厦家电有限公司</t>
  </si>
  <si>
    <t>TOP渠道</t>
  </si>
  <si>
    <t>湖州市区</t>
  </si>
  <si>
    <t>湖州浙北网格家电有限公司</t>
  </si>
  <si>
    <t>长兴百诚天龙电器有限公司</t>
  </si>
  <si>
    <t>长兴县</t>
  </si>
  <si>
    <t>湖州长兴之窗专卖店</t>
  </si>
  <si>
    <t>长兴银海电器有限公司</t>
  </si>
  <si>
    <t>长兴小浙北家电</t>
  </si>
  <si>
    <t>湖州东邦商贸有限公司</t>
  </si>
  <si>
    <t>湖州魁联电器有限公司</t>
  </si>
  <si>
    <t>长兴纵跃机电有限公司</t>
  </si>
  <si>
    <t>长兴县浙北家用电器有限公司</t>
  </si>
  <si>
    <t>陈中元</t>
  </si>
  <si>
    <t>南浔力恒电器商行</t>
  </si>
  <si>
    <t>南浔区</t>
  </si>
  <si>
    <t>德清县武康镇佳通制冷设备商行</t>
  </si>
  <si>
    <t>德清县</t>
  </si>
  <si>
    <t>湖州金蝶零售</t>
  </si>
  <si>
    <t>安吉方润家电有限公司</t>
  </si>
  <si>
    <t>安吉县</t>
  </si>
  <si>
    <t>湖州乐曜贸易有限公司</t>
  </si>
  <si>
    <t>湖州浔海电器销售有限公司</t>
  </si>
  <si>
    <t>吴兴新丰豪厨卫热水器商店</t>
  </si>
  <si>
    <t>湖州晓宇冷暖设备工程有限公司</t>
  </si>
  <si>
    <t>湖州菱通冷暖设备有限公司</t>
  </si>
  <si>
    <t>湖州 总计</t>
  </si>
  <si>
    <t>收款单</t>
  </si>
  <si>
    <t>收款金额</t>
  </si>
  <si>
    <t>应退金额</t>
  </si>
  <si>
    <t>实收金额</t>
  </si>
  <si>
    <t>销管回款</t>
  </si>
  <si>
    <t>刷单</t>
  </si>
  <si>
    <t>杭州吉丝特家电有限公司</t>
  </si>
  <si>
    <t>艾欧史密斯（中国）热水器有限公司</t>
  </si>
  <si>
    <t>杭州森建家电有限公司</t>
  </si>
  <si>
    <t>杭州萧山临浦镇朱灿龙建材商行</t>
  </si>
  <si>
    <t>浙江太平洋电器（连锁）有限公司</t>
  </si>
  <si>
    <t>杭州永隽机电工程有限公司</t>
  </si>
  <si>
    <t>杭州苏宁打款</t>
  </si>
  <si>
    <t>杭州解百集团股份有限公司</t>
  </si>
  <si>
    <t>临安、临平、余杭（）</t>
  </si>
  <si>
    <t>杭州余杭伟鹏家电有限公司</t>
  </si>
  <si>
    <t>1月回款计入1月</t>
  </si>
  <si>
    <t>杭州余杭士卿贸易有限公司</t>
  </si>
  <si>
    <t>南京合斯满网络科技有限公司-（京东专卖店）</t>
  </si>
  <si>
    <t>史密斯官方商城</t>
  </si>
  <si>
    <t>杭州美浩电器有限公司</t>
  </si>
  <si>
    <t>萧山汇德隆家电超市</t>
  </si>
  <si>
    <t>杭州蓝创电器有限公司</t>
  </si>
  <si>
    <t>萧山汇德隆家电瓜沥店</t>
  </si>
  <si>
    <t>杭州信诚电器有限公司</t>
  </si>
  <si>
    <t>萧山汇德隆家电广场</t>
  </si>
  <si>
    <t>萧山汇德隆家电临浦店</t>
  </si>
  <si>
    <t>杭州美海格家电有限公司</t>
  </si>
  <si>
    <t>杭州碌诚电器有限公司</t>
  </si>
  <si>
    <t>杭州天古电器有限公司</t>
  </si>
  <si>
    <t>杭州余杭区东湖街道蕴融家电商行</t>
  </si>
  <si>
    <t>杭州市江干区百丰电器商行</t>
  </si>
  <si>
    <t>浙江国美供应链管理有限公司</t>
  </si>
  <si>
    <t>杭州志江电器有限公司</t>
  </si>
  <si>
    <t>杭州富根电器有限公司</t>
  </si>
  <si>
    <t>杭州临安久信电器有限公司</t>
  </si>
  <si>
    <t>杭州汇鹏电子商务有限公司</t>
  </si>
  <si>
    <t>桐庐、建德、淳安,富阳（王灵武）</t>
  </si>
  <si>
    <t>淳安县千岛湖宏兴电器有限公司</t>
  </si>
  <si>
    <t>淳安县好饰尚家居建材市场橱忆建材商行</t>
  </si>
  <si>
    <t>浙江晋安家电有限公司</t>
  </si>
  <si>
    <t>淳安千岛湖新兴家电超市有限公司</t>
  </si>
  <si>
    <t>杭州富阳昱盛暖通设备有限公司</t>
  </si>
  <si>
    <t>桐庐县维客商贸有限公司</t>
  </si>
  <si>
    <t>桐庐县城南街道时哥厨房电器商行</t>
  </si>
  <si>
    <t>桐庐县城南街道鸿亮家电经营部</t>
  </si>
  <si>
    <t>杭州富阳城东商贸市场老章电器商行</t>
  </si>
  <si>
    <t>杭州约灵机电设备有限公司</t>
  </si>
  <si>
    <t>国美（暂不合作）</t>
  </si>
  <si>
    <t>国美</t>
  </si>
  <si>
    <t>五星、百安居（董培培）</t>
  </si>
  <si>
    <t>百安居（中国）投资有限公司</t>
  </si>
  <si>
    <t>除市区专卖店总计</t>
  </si>
  <si>
    <t>专卖店（）</t>
  </si>
  <si>
    <t>杭州渠道（除自营专卖店外的所有客户）</t>
  </si>
  <si>
    <t>杭州直营专卖店（除二轻）</t>
  </si>
  <si>
    <t>萧山（童海平）</t>
  </si>
  <si>
    <t>百货渠道（童海平）</t>
  </si>
  <si>
    <t>京东五星电器集团浙江电器有限公司</t>
  </si>
  <si>
    <t>临安、临平、余杭（王灵武）</t>
  </si>
  <si>
    <t>无人认领</t>
  </si>
  <si>
    <t>萧山汇德隆智能环境店</t>
  </si>
  <si>
    <t>国美抵债酒不计入金蝶零售
另有95000元要计入王灵武区域回款</t>
  </si>
  <si>
    <t>专卖店（陈磊）</t>
  </si>
  <si>
    <t>除澎湃以外的所有客户</t>
  </si>
  <si>
    <t>杭州渠道（除自营专卖店、澎湃、甘棠环境外的所有客户）</t>
  </si>
  <si>
    <t>国美抵债酒不计入金蝶零售</t>
  </si>
  <si>
    <t>市区、兰溪，武义（新业务）</t>
  </si>
  <si>
    <t>销管回款数据</t>
  </si>
  <si>
    <t>兰溪专卖店</t>
  </si>
  <si>
    <t>义乌丹溪路专卖店</t>
  </si>
  <si>
    <t>衢州（含江山、龙游）（陈实）</t>
  </si>
  <si>
    <t>永康武义+零售（杨华才）</t>
  </si>
  <si>
    <t>2023年 业务月度考核 明细表</t>
  </si>
  <si>
    <r>
      <rPr>
        <b/>
        <sz val="10"/>
        <rFont val="Times New Roman"/>
        <charset val="134"/>
      </rPr>
      <t>1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</si>
  <si>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1</t>
    </r>
    <r>
      <rPr>
        <b/>
        <sz val="10"/>
        <rFont val="宋体"/>
        <charset val="134"/>
      </rPr>
      <t>月实际回款</t>
    </r>
  </si>
  <si>
    <r>
      <rPr>
        <b/>
        <sz val="10"/>
        <rFont val="Times New Roman"/>
        <charset val="134"/>
      </rPr>
      <t>2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</si>
  <si>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2</t>
    </r>
    <r>
      <rPr>
        <b/>
        <sz val="10"/>
        <rFont val="宋体"/>
        <charset val="134"/>
      </rPr>
      <t>月实际回款</t>
    </r>
  </si>
  <si>
    <r>
      <rPr>
        <b/>
        <sz val="10"/>
        <rFont val="Times New Roman"/>
        <charset val="134"/>
      </rPr>
      <t>3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</si>
  <si>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3</t>
    </r>
    <r>
      <rPr>
        <b/>
        <sz val="10"/>
        <rFont val="宋体"/>
        <charset val="134"/>
      </rPr>
      <t>月实际回款</t>
    </r>
  </si>
  <si>
    <r>
      <rPr>
        <b/>
        <sz val="10"/>
        <color rgb="FFFF0000"/>
        <rFont val="Times New Roman"/>
        <charset val="134"/>
      </rPr>
      <t>Q1</t>
    </r>
    <r>
      <rPr>
        <b/>
        <sz val="10"/>
        <color rgb="FFFF0000"/>
        <rFont val="宋体"/>
        <charset val="134"/>
      </rPr>
      <t>目标任务</t>
    </r>
  </si>
  <si>
    <r>
      <rPr>
        <b/>
        <sz val="10"/>
        <color rgb="FFFF0000"/>
        <rFont val="Times New Roman"/>
        <charset val="134"/>
      </rPr>
      <t>Q1</t>
    </r>
    <r>
      <rPr>
        <b/>
        <sz val="10"/>
        <color rgb="FFFF0000"/>
        <rFont val="宋体"/>
        <charset val="134"/>
      </rPr>
      <t>实际回款</t>
    </r>
  </si>
  <si>
    <r>
      <rPr>
        <b/>
        <sz val="10"/>
        <rFont val="Times New Roman"/>
        <charset val="134"/>
      </rPr>
      <t>Q1</t>
    </r>
    <r>
      <rPr>
        <b/>
        <sz val="10"/>
        <rFont val="宋体"/>
        <charset val="134"/>
      </rPr>
      <t>完成率</t>
    </r>
  </si>
  <si>
    <r>
      <rPr>
        <b/>
        <sz val="10"/>
        <rFont val="Times New Roman"/>
        <charset val="134"/>
      </rPr>
      <t>Q1</t>
    </r>
    <r>
      <rPr>
        <b/>
        <sz val="10"/>
        <rFont val="宋体"/>
        <charset val="134"/>
      </rPr>
      <t>结算率</t>
    </r>
  </si>
  <si>
    <r>
      <rPr>
        <b/>
        <sz val="10"/>
        <rFont val="Times New Roman"/>
        <charset val="134"/>
      </rPr>
      <t>4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</si>
  <si>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4</t>
    </r>
    <r>
      <rPr>
        <b/>
        <sz val="10"/>
        <rFont val="宋体"/>
        <charset val="134"/>
      </rPr>
      <t>月实际回款</t>
    </r>
  </si>
  <si>
    <r>
      <rPr>
        <b/>
        <sz val="10"/>
        <rFont val="Times New Roman"/>
        <charset val="134"/>
      </rPr>
      <t>5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</si>
  <si>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5</t>
    </r>
    <r>
      <rPr>
        <b/>
        <sz val="10"/>
        <rFont val="宋体"/>
        <charset val="134"/>
      </rPr>
      <t>月实际回款</t>
    </r>
  </si>
  <si>
    <r>
      <rPr>
        <b/>
        <sz val="10"/>
        <rFont val="Times New Roman"/>
        <charset val="134"/>
      </rPr>
      <t>6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</si>
  <si>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6</t>
    </r>
    <r>
      <rPr>
        <b/>
        <sz val="10"/>
        <rFont val="宋体"/>
        <charset val="134"/>
      </rPr>
      <t>月实际回款</t>
    </r>
  </si>
  <si>
    <r>
      <rPr>
        <b/>
        <sz val="10"/>
        <color rgb="FFFF0000"/>
        <rFont val="Times New Roman"/>
        <charset val="134"/>
      </rPr>
      <t>Q2</t>
    </r>
    <r>
      <rPr>
        <b/>
        <sz val="10"/>
        <color rgb="FFFF0000"/>
        <rFont val="宋体"/>
        <charset val="134"/>
      </rPr>
      <t>目标任务</t>
    </r>
  </si>
  <si>
    <r>
      <rPr>
        <b/>
        <sz val="10"/>
        <color rgb="FFFF0000"/>
        <rFont val="Times New Roman"/>
        <charset val="134"/>
      </rPr>
      <t>Q2</t>
    </r>
    <r>
      <rPr>
        <b/>
        <sz val="10"/>
        <color rgb="FFFF0000"/>
        <rFont val="宋体"/>
        <charset val="134"/>
      </rPr>
      <t>实际回款</t>
    </r>
  </si>
  <si>
    <r>
      <rPr>
        <b/>
        <sz val="10"/>
        <rFont val="Times New Roman"/>
        <charset val="134"/>
      </rPr>
      <t>Q2</t>
    </r>
    <r>
      <rPr>
        <b/>
        <sz val="10"/>
        <rFont val="宋体"/>
        <charset val="134"/>
      </rPr>
      <t>完成率</t>
    </r>
  </si>
  <si>
    <r>
      <rPr>
        <b/>
        <sz val="10"/>
        <rFont val="Times New Roman"/>
        <charset val="134"/>
      </rPr>
      <t>Q2</t>
    </r>
    <r>
      <rPr>
        <b/>
        <sz val="10"/>
        <rFont val="宋体"/>
        <charset val="134"/>
      </rPr>
      <t>结算率</t>
    </r>
  </si>
  <si>
    <r>
      <rPr>
        <b/>
        <sz val="10"/>
        <rFont val="Times New Roman"/>
        <charset val="134"/>
      </rPr>
      <t>7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</si>
  <si>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7</t>
    </r>
    <r>
      <rPr>
        <b/>
        <sz val="10"/>
        <rFont val="宋体"/>
        <charset val="134"/>
      </rPr>
      <t>月实际回款</t>
    </r>
  </si>
  <si>
    <r>
      <rPr>
        <b/>
        <sz val="10"/>
        <rFont val="Times New Roman"/>
        <charset val="134"/>
      </rPr>
      <t>8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</si>
  <si>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8</t>
    </r>
    <r>
      <rPr>
        <b/>
        <sz val="10"/>
        <rFont val="宋体"/>
        <charset val="134"/>
      </rPr>
      <t>月实际回款</t>
    </r>
  </si>
  <si>
    <r>
      <rPr>
        <b/>
        <sz val="10"/>
        <rFont val="Times New Roman"/>
        <charset val="134"/>
      </rPr>
      <t>9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</si>
  <si>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9</t>
    </r>
    <r>
      <rPr>
        <b/>
        <sz val="10"/>
        <rFont val="宋体"/>
        <charset val="134"/>
      </rPr>
      <t>月实际回款</t>
    </r>
  </si>
  <si>
    <r>
      <rPr>
        <b/>
        <sz val="10"/>
        <color rgb="FFFF0000"/>
        <rFont val="Times New Roman"/>
        <charset val="134"/>
      </rPr>
      <t>Q3</t>
    </r>
    <r>
      <rPr>
        <b/>
        <sz val="10"/>
        <color rgb="FFFF0000"/>
        <rFont val="宋体"/>
        <charset val="134"/>
      </rPr>
      <t>目标任务</t>
    </r>
  </si>
  <si>
    <r>
      <rPr>
        <b/>
        <sz val="10"/>
        <color rgb="FFFF0000"/>
        <rFont val="Times New Roman"/>
        <charset val="134"/>
      </rPr>
      <t>Q3</t>
    </r>
    <r>
      <rPr>
        <b/>
        <sz val="10"/>
        <color rgb="FFFF0000"/>
        <rFont val="宋体"/>
        <charset val="134"/>
      </rPr>
      <t>实际回款</t>
    </r>
  </si>
  <si>
    <r>
      <rPr>
        <b/>
        <sz val="10"/>
        <rFont val="Times New Roman"/>
        <charset val="134"/>
      </rPr>
      <t>Q3</t>
    </r>
    <r>
      <rPr>
        <b/>
        <sz val="10"/>
        <rFont val="宋体"/>
        <charset val="134"/>
      </rPr>
      <t>完成率</t>
    </r>
  </si>
  <si>
    <r>
      <rPr>
        <b/>
        <sz val="10"/>
        <rFont val="Times New Roman"/>
        <charset val="134"/>
      </rPr>
      <t>Q3</t>
    </r>
    <r>
      <rPr>
        <b/>
        <sz val="10"/>
        <rFont val="宋体"/>
        <charset val="134"/>
      </rPr>
      <t>结算率</t>
    </r>
  </si>
  <si>
    <r>
      <rPr>
        <b/>
        <sz val="10"/>
        <rFont val="Times New Roman"/>
        <charset val="134"/>
      </rPr>
      <t>10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</si>
  <si>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10</t>
    </r>
    <r>
      <rPr>
        <b/>
        <sz val="10"/>
        <rFont val="宋体"/>
        <charset val="134"/>
      </rPr>
      <t>月实际回款</t>
    </r>
  </si>
  <si>
    <r>
      <rPr>
        <b/>
        <sz val="10"/>
        <rFont val="Times New Roman"/>
        <charset val="134"/>
      </rPr>
      <t>11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</si>
  <si>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11</t>
    </r>
    <r>
      <rPr>
        <b/>
        <sz val="10"/>
        <rFont val="宋体"/>
        <charset val="134"/>
      </rPr>
      <t>月实际回款</t>
    </r>
  </si>
  <si>
    <t>奖金基数</t>
  </si>
  <si>
    <r>
      <rPr>
        <b/>
        <sz val="10"/>
        <rFont val="Times New Roman"/>
        <charset val="134"/>
      </rPr>
      <t>12</t>
    </r>
    <r>
      <rPr>
        <b/>
        <sz val="10"/>
        <rFont val="宋体"/>
        <charset val="134"/>
      </rPr>
      <t>月目标任务</t>
    </r>
  </si>
  <si>
    <r>
      <rPr>
        <b/>
        <sz val="10"/>
        <rFont val="Times New Roman"/>
        <charset val="134"/>
      </rPr>
      <t>12</t>
    </r>
    <r>
      <rPr>
        <b/>
        <sz val="10"/>
        <rFont val="宋体"/>
        <charset val="134"/>
      </rPr>
      <t>月实际回款</t>
    </r>
  </si>
  <si>
    <r>
      <rPr>
        <b/>
        <sz val="10"/>
        <color rgb="FFFF0000"/>
        <rFont val="Times New Roman"/>
        <charset val="134"/>
      </rPr>
      <t>Q4</t>
    </r>
    <r>
      <rPr>
        <b/>
        <sz val="10"/>
        <color rgb="FFFF0000"/>
        <rFont val="宋体"/>
        <charset val="134"/>
      </rPr>
      <t>目标任务</t>
    </r>
  </si>
  <si>
    <r>
      <rPr>
        <b/>
        <sz val="10"/>
        <color rgb="FFFF0000"/>
        <rFont val="Times New Roman"/>
        <charset val="134"/>
      </rPr>
      <t>Q4</t>
    </r>
    <r>
      <rPr>
        <b/>
        <sz val="10"/>
        <color rgb="FFFF0000"/>
        <rFont val="宋体"/>
        <charset val="134"/>
      </rPr>
      <t>实际回款</t>
    </r>
  </si>
  <si>
    <r>
      <rPr>
        <b/>
        <sz val="10"/>
        <rFont val="Times New Roman"/>
        <charset val="134"/>
      </rPr>
      <t>Q4</t>
    </r>
    <r>
      <rPr>
        <b/>
        <sz val="10"/>
        <rFont val="宋体"/>
        <charset val="134"/>
      </rPr>
      <t>完成率</t>
    </r>
  </si>
  <si>
    <r>
      <rPr>
        <b/>
        <sz val="10"/>
        <rFont val="Times New Roman"/>
        <charset val="134"/>
      </rPr>
      <t>Q4</t>
    </r>
    <r>
      <rPr>
        <b/>
        <sz val="10"/>
        <rFont val="宋体"/>
        <charset val="134"/>
      </rPr>
      <t>结算率</t>
    </r>
  </si>
  <si>
    <r>
      <rPr>
        <b/>
        <sz val="10"/>
        <color rgb="FFFF0000"/>
        <rFont val="Times New Roman"/>
        <charset val="134"/>
      </rPr>
      <t>2022</t>
    </r>
    <r>
      <rPr>
        <b/>
        <sz val="10"/>
        <color rgb="FFFF0000"/>
        <rFont val="宋体"/>
        <charset val="134"/>
      </rPr>
      <t>年任务</t>
    </r>
  </si>
  <si>
    <r>
      <rPr>
        <b/>
        <sz val="10"/>
        <color rgb="FFFF0000"/>
        <rFont val="Times New Roman"/>
        <charset val="134"/>
      </rPr>
      <t>2022</t>
    </r>
    <r>
      <rPr>
        <b/>
        <sz val="10"/>
        <color rgb="FFFF0000"/>
        <rFont val="宋体"/>
        <charset val="134"/>
      </rPr>
      <t>年完成</t>
    </r>
  </si>
  <si>
    <t>五星、百安居</t>
  </si>
  <si>
    <t>王灵武</t>
  </si>
  <si>
    <t>临安、临平、余杭</t>
  </si>
  <si>
    <t>富阳、桐庐、建德、淳安</t>
  </si>
  <si>
    <t>萧山，百货</t>
  </si>
  <si>
    <t>童海平</t>
  </si>
  <si>
    <t>陈磊</t>
  </si>
  <si>
    <t>陈雪君</t>
  </si>
  <si>
    <t>金华市区（不含龙腾、八一专卖店）、兰溪、武义</t>
  </si>
  <si>
    <t>金华市区（含专卖店：龙腾、八一）、兰溪</t>
  </si>
  <si>
    <t>差异</t>
  </si>
  <si>
    <t>陈实</t>
  </si>
  <si>
    <t>王杰文</t>
  </si>
  <si>
    <t>永康武义+零售</t>
  </si>
  <si>
    <t>9月</t>
  </si>
  <si>
    <t>10月</t>
  </si>
  <si>
    <t>11月</t>
  </si>
  <si>
    <t>12月</t>
  </si>
  <si>
    <t>全年合计</t>
  </si>
  <si>
    <t>金华八一专卖店</t>
  </si>
  <si>
    <t>龙腾建材专卖店</t>
  </si>
  <si>
    <t>客户名称</t>
  </si>
  <si>
    <t>2023年预计回款额</t>
  </si>
  <si>
    <t>兰溪欧亚达专卖</t>
  </si>
  <si>
    <t>五星电器</t>
  </si>
  <si>
    <t>兰溪小严家电</t>
  </si>
  <si>
    <t>武义大中</t>
  </si>
  <si>
    <t>永康新森态</t>
  </si>
  <si>
    <t>2025年杭金湖任务分解表</t>
  </si>
  <si>
    <t>负责人</t>
  </si>
  <si>
    <t>区域</t>
  </si>
  <si>
    <t>25年任务</t>
  </si>
  <si>
    <t>24年</t>
  </si>
  <si>
    <t>任务增长率</t>
  </si>
  <si>
    <t>Q1</t>
  </si>
  <si>
    <t>Q3</t>
  </si>
  <si>
    <t>Q4</t>
  </si>
  <si>
    <t>实际完成</t>
  </si>
  <si>
    <t>杭州汇总</t>
  </si>
  <si>
    <t>汇总</t>
  </si>
  <si>
    <t>季度占比</t>
  </si>
  <si>
    <t>年度占比</t>
  </si>
  <si>
    <t>周琴</t>
  </si>
  <si>
    <t>浙北含网格</t>
  </si>
  <si>
    <t>安吉</t>
  </si>
  <si>
    <t>德清</t>
  </si>
  <si>
    <t>南浔</t>
  </si>
  <si>
    <t>网格</t>
  </si>
  <si>
    <r>
      <rPr>
        <sz val="11"/>
        <color theme="1"/>
        <rFont val="宋体"/>
        <charset val="134"/>
        <scheme val="minor"/>
      </rPr>
      <t>202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年预计回款额</t>
    </r>
  </si>
  <si>
    <t>金华</t>
  </si>
  <si>
    <t>金华区域（张韵威）</t>
  </si>
  <si>
    <t>义乌</t>
  </si>
  <si>
    <t>东阳汉宁专卖店</t>
  </si>
  <si>
    <t>东阳市国美电器</t>
  </si>
  <si>
    <t>东阳鱼满堂</t>
  </si>
  <si>
    <t>义乌荣昌专卖店</t>
  </si>
  <si>
    <t>义乌丰庆</t>
  </si>
  <si>
    <t>义乌丹溪专卖</t>
  </si>
  <si>
    <t>浦江丰安</t>
  </si>
  <si>
    <t>磐安洪昌</t>
  </si>
  <si>
    <t>佛堂中科</t>
  </si>
  <si>
    <t>义乌爱坤</t>
  </si>
  <si>
    <t>义乌区域（王杰文）</t>
  </si>
  <si>
    <t>衢州</t>
  </si>
  <si>
    <t>江山专卖店</t>
  </si>
  <si>
    <t>龙游专卖店</t>
  </si>
  <si>
    <t>衢州汇鑫专卖</t>
  </si>
  <si>
    <t>衢州普农</t>
  </si>
  <si>
    <t>常山江山新客户</t>
  </si>
  <si>
    <t>衢州区域（陈实）</t>
  </si>
  <si>
    <t>分部合计</t>
  </si>
  <si>
    <t>被考核人</t>
  </si>
  <si>
    <t>销售指标</t>
  </si>
  <si>
    <t>权重</t>
  </si>
  <si>
    <t>具体考核</t>
  </si>
  <si>
    <t>五星/汇德隆
业务</t>
  </si>
  <si>
    <t>销售任务指标：
按公司规定进行考核</t>
  </si>
  <si>
    <t>销售指标按月度和季度进行考核，具体根据公司考核方案执行
1.月度绩效=基数*权重*70%*实际完成率*考核得分
1.1 当期内回款，绩效考核按100%计发；
1.2 超当期30天（含）回款，绩效考核按70%计发；
1.3 超当期60天（含）回款，绩效考核按50%计发；
1.4 超当期90天（含）回款，绩效考核按0计发。
2.季度绩效=基数*权重*30%*3*实际完成率*结算率</t>
  </si>
  <si>
    <t>销售任务根据公司制定指标执行</t>
  </si>
  <si>
    <t>直营门店
业务</t>
  </si>
  <si>
    <t>销售指标按月度和季度进行考核，具体根据公司考核方案执行
月度绩效=基数*权重*70%*实际完成率
季度绩效=基数*权重*30%*3*实际完成率*结算率</t>
  </si>
  <si>
    <r>
      <rPr>
        <sz val="14"/>
        <rFont val="微软雅黑"/>
        <charset val="134"/>
      </rPr>
      <t>销售任务根据公司制定指标执行
年底：超出公司任务指标，超出部分按照2%计算提成，</t>
    </r>
    <r>
      <rPr>
        <b/>
        <sz val="14"/>
        <color rgb="FFFF0000"/>
        <rFont val="微软雅黑"/>
        <charset val="134"/>
      </rPr>
      <t>这个是否可行</t>
    </r>
  </si>
  <si>
    <t>杭州外围
业务</t>
  </si>
  <si>
    <t>家装
业务</t>
  </si>
  <si>
    <t>108910元2023.12月刷单，计算专卖店提成时扣除</t>
  </si>
  <si>
    <t>185845.88元回款销管部计算在2023.12月</t>
  </si>
  <si>
    <t>582017.06已计算在2023.12月杭州五星回款中</t>
  </si>
  <si>
    <t>浙江顶戴环境设备有限公司</t>
  </si>
  <si>
    <t>杭州瑞亚工程技术服务有限公司</t>
  </si>
  <si>
    <t>嘉兴苏宁打款8997</t>
  </si>
  <si>
    <t>福州中科创电器有限公司</t>
  </si>
  <si>
    <t>杭州苏宁打款5217.6</t>
  </si>
  <si>
    <t>萧山汇德隆家电义蓬店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</si>
</sst>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_ "/>
    <numFmt numFmtId="178" formatCode="0_ "/>
    <numFmt numFmtId="179" formatCode="0.0%"/>
    <numFmt numFmtId="180" formatCode="0_);[Red]\(0\)"/>
    <numFmt numFmtId="181" formatCode="0.00000_ "/>
    <numFmt numFmtId="182" formatCode="0.000000_ "/>
    <numFmt numFmtId="183" formatCode="0.00_);[Red]\(0.00\)"/>
  </numFmts>
  <fonts count="88">
    <font>
      <sz val="11"/>
      <color theme="1"/>
      <name val="宋体"/>
      <charset val="134"/>
      <scheme val="minor"/>
    </font>
    <font>
      <sz val="10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"/>
      <color rgb="FF0070C0"/>
      <name val="宋体"/>
      <charset val="134"/>
      <scheme val="minor"/>
    </font>
    <font>
      <sz val="14"/>
      <name val="微软雅黑"/>
      <charset val="134"/>
    </font>
    <font>
      <b/>
      <sz val="14"/>
      <color rgb="FFFF0000"/>
      <name val="微软雅黑"/>
      <charset val="134"/>
    </font>
    <font>
      <b/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indexed="8"/>
      <name val="宋体"/>
      <charset val="134"/>
    </font>
    <font>
      <sz val="10"/>
      <color theme="1"/>
      <name val="宋体"/>
      <charset val="134"/>
      <scheme val="minor"/>
    </font>
    <font>
      <b/>
      <sz val="18"/>
      <name val="宋体"/>
      <charset val="134"/>
    </font>
    <font>
      <b/>
      <sz val="11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0"/>
      <color theme="1"/>
      <name val="宋体"/>
      <charset val="134"/>
      <scheme val="minor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rgb="FF000000"/>
      <name val="微软雅黑"/>
      <charset val="134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  <scheme val="minor"/>
    </font>
    <font>
      <b/>
      <sz val="10"/>
      <color theme="4" tint="-0.249977111117893"/>
      <name val="宋体"/>
      <charset val="134"/>
      <scheme val="minor"/>
    </font>
    <font>
      <sz val="10"/>
      <name val="Times New Roman"/>
      <charset val="134"/>
    </font>
    <font>
      <b/>
      <sz val="12"/>
      <name val="宋体"/>
      <charset val="134"/>
      <scheme val="minor"/>
    </font>
    <font>
      <b/>
      <sz val="10"/>
      <name val="Times New Roman"/>
      <charset val="134"/>
    </font>
    <font>
      <b/>
      <sz val="10"/>
      <color theme="4" tint="-0.249977111117893"/>
      <name val="Times New Roman"/>
      <charset val="134"/>
    </font>
    <font>
      <b/>
      <sz val="10"/>
      <color rgb="FFFF0000"/>
      <name val="Times New Roman"/>
      <charset val="134"/>
    </font>
    <font>
      <sz val="10"/>
      <color rgb="FFFF0000"/>
      <name val="Times New Roman"/>
      <charset val="134"/>
    </font>
    <font>
      <b/>
      <sz val="10"/>
      <color rgb="FFFF0000"/>
      <name val="宋体"/>
      <charset val="134"/>
      <scheme val="minor"/>
    </font>
    <font>
      <sz val="10"/>
      <color indexed="8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11"/>
      <color indexed="8"/>
      <name val="宋体"/>
      <charset val="134"/>
      <scheme val="minor"/>
    </font>
    <font>
      <sz val="9"/>
      <name val="宋体"/>
      <charset val="134"/>
    </font>
    <font>
      <sz val="9"/>
      <color theme="1"/>
      <name val="宋体"/>
      <charset val="134"/>
      <scheme val="minor"/>
    </font>
    <font>
      <sz val="12"/>
      <name val="宋体"/>
      <charset val="134"/>
      <scheme val="minor"/>
    </font>
    <font>
      <sz val="18"/>
      <name val="宋体"/>
      <charset val="134"/>
      <scheme val="minor"/>
    </font>
    <font>
      <sz val="12"/>
      <name val="Times New Roman"/>
      <charset val="134"/>
    </font>
    <font>
      <b/>
      <sz val="12"/>
      <name val="Times New Roman"/>
      <charset val="134"/>
    </font>
    <font>
      <b/>
      <sz val="10"/>
      <name val="微软雅黑"/>
      <charset val="134"/>
    </font>
    <font>
      <b/>
      <sz val="16"/>
      <name val="微软雅黑"/>
      <charset val="134"/>
    </font>
    <font>
      <b/>
      <sz val="10"/>
      <color theme="1"/>
      <name val="微软雅黑"/>
      <charset val="134"/>
    </font>
    <font>
      <sz val="10"/>
      <color rgb="FFFF0000"/>
      <name val="微软雅黑"/>
      <charset val="134"/>
    </font>
    <font>
      <sz val="11"/>
      <name val="微软雅黑"/>
      <charset val="134"/>
    </font>
    <font>
      <sz val="9"/>
      <name val="微软雅黑"/>
      <charset val="134"/>
    </font>
    <font>
      <b/>
      <sz val="11"/>
      <name val="微软雅黑"/>
      <charset val="134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0"/>
      <color theme="1"/>
      <name val="Times New Roman"/>
      <charset val="134"/>
    </font>
    <font>
      <sz val="11"/>
      <color theme="1"/>
      <name val="微软雅黑"/>
      <charset val="134"/>
    </font>
    <font>
      <b/>
      <sz val="18"/>
      <name val="微软雅黑"/>
      <charset val="134"/>
    </font>
    <font>
      <b/>
      <sz val="18"/>
      <name val="Times New Roman"/>
      <charset val="134"/>
    </font>
    <font>
      <b/>
      <sz val="9"/>
      <name val="Times New Roman"/>
      <charset val="134"/>
    </font>
    <font>
      <sz val="12"/>
      <color theme="1"/>
      <name val="Times New Roman"/>
      <charset val="134"/>
    </font>
    <font>
      <sz val="11"/>
      <name val="宋体"/>
      <charset val="134"/>
    </font>
    <font>
      <sz val="11"/>
      <color theme="1"/>
      <name val="宋体"/>
      <charset val="134"/>
    </font>
    <font>
      <b/>
      <sz val="12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b/>
      <sz val="10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Arial"/>
      <charset val="134"/>
    </font>
    <font>
      <b/>
      <sz val="10"/>
      <color rgb="FFFF0000"/>
      <name val="宋体"/>
      <charset val="134"/>
    </font>
    <font>
      <b/>
      <sz val="9"/>
      <name val="微软雅黑"/>
      <charset val="134"/>
    </font>
    <font>
      <sz val="11"/>
      <name val="Times New Roman"/>
      <charset val="134"/>
    </font>
    <font>
      <sz val="11"/>
      <color rgb="FFFF0000"/>
      <name val="微软雅黑"/>
      <charset val="134"/>
    </font>
    <font>
      <b/>
      <sz val="11"/>
      <color theme="1"/>
      <name val="微软雅黑"/>
      <charset val="134"/>
    </font>
    <font>
      <b/>
      <sz val="9"/>
      <name val="宋体"/>
      <charset val="134"/>
    </font>
    <font>
      <sz val="9"/>
      <name val="宋体"/>
      <charset val="134"/>
    </font>
  </fonts>
  <fills count="45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0" fillId="20" borderId="23" applyNumberFormat="0" applyFon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24" applyNumberFormat="0" applyFill="0" applyAlignment="0" applyProtection="0">
      <alignment vertical="center"/>
    </xf>
    <xf numFmtId="0" fontId="67" fillId="0" borderId="24" applyNumberFormat="0" applyFill="0" applyAlignment="0" applyProtection="0">
      <alignment vertical="center"/>
    </xf>
    <xf numFmtId="0" fontId="68" fillId="0" borderId="25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21" borderId="26" applyNumberFormat="0" applyAlignment="0" applyProtection="0">
      <alignment vertical="center"/>
    </xf>
    <xf numFmtId="0" fontId="70" fillId="22" borderId="27" applyNumberFormat="0" applyAlignment="0" applyProtection="0">
      <alignment vertical="center"/>
    </xf>
    <xf numFmtId="0" fontId="71" fillId="22" borderId="26" applyNumberFormat="0" applyAlignment="0" applyProtection="0">
      <alignment vertical="center"/>
    </xf>
    <xf numFmtId="0" fontId="72" fillId="23" borderId="28" applyNumberFormat="0" applyAlignment="0" applyProtection="0">
      <alignment vertical="center"/>
    </xf>
    <xf numFmtId="0" fontId="73" fillId="0" borderId="29" applyNumberFormat="0" applyFill="0" applyAlignment="0" applyProtection="0">
      <alignment vertical="center"/>
    </xf>
    <xf numFmtId="0" fontId="74" fillId="0" borderId="30" applyNumberFormat="0" applyFill="0" applyAlignment="0" applyProtection="0">
      <alignment vertical="center"/>
    </xf>
    <xf numFmtId="0" fontId="75" fillId="24" borderId="0" applyNumberFormat="0" applyBorder="0" applyAlignment="0" applyProtection="0">
      <alignment vertical="center"/>
    </xf>
    <xf numFmtId="0" fontId="76" fillId="25" borderId="0" applyNumberFormat="0" applyBorder="0" applyAlignment="0" applyProtection="0">
      <alignment vertical="center"/>
    </xf>
    <xf numFmtId="0" fontId="77" fillId="26" borderId="0" applyNumberFormat="0" applyBorder="0" applyAlignment="0" applyProtection="0">
      <alignment vertical="center"/>
    </xf>
    <xf numFmtId="0" fontId="78" fillId="27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79" fillId="29" borderId="0" applyNumberFormat="0" applyBorder="0" applyAlignment="0" applyProtection="0">
      <alignment vertical="center"/>
    </xf>
    <xf numFmtId="0" fontId="78" fillId="30" borderId="0" applyNumberFormat="0" applyBorder="0" applyAlignment="0" applyProtection="0">
      <alignment vertical="center"/>
    </xf>
    <xf numFmtId="0" fontId="78" fillId="31" borderId="0" applyNumberFormat="0" applyBorder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79" fillId="32" borderId="0" applyNumberFormat="0" applyBorder="0" applyAlignment="0" applyProtection="0">
      <alignment vertical="center"/>
    </xf>
    <xf numFmtId="0" fontId="78" fillId="33" borderId="0" applyNumberFormat="0" applyBorder="0" applyAlignment="0" applyProtection="0">
      <alignment vertical="center"/>
    </xf>
    <xf numFmtId="0" fontId="78" fillId="34" borderId="0" applyNumberFormat="0" applyBorder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79" fillId="36" borderId="0" applyNumberFormat="0" applyBorder="0" applyAlignment="0" applyProtection="0">
      <alignment vertical="center"/>
    </xf>
    <xf numFmtId="0" fontId="78" fillId="37" borderId="0" applyNumberFormat="0" applyBorder="0" applyAlignment="0" applyProtection="0">
      <alignment vertical="center"/>
    </xf>
    <xf numFmtId="0" fontId="78" fillId="38" borderId="0" applyNumberFormat="0" applyBorder="0" applyAlignment="0" applyProtection="0">
      <alignment vertical="center"/>
    </xf>
    <xf numFmtId="0" fontId="79" fillId="7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78" fillId="15" borderId="0" applyNumberFormat="0" applyBorder="0" applyAlignment="0" applyProtection="0">
      <alignment vertical="center"/>
    </xf>
    <xf numFmtId="0" fontId="78" fillId="40" borderId="0" applyNumberFormat="0" applyBorder="0" applyAlignment="0" applyProtection="0">
      <alignment vertical="center"/>
    </xf>
    <xf numFmtId="0" fontId="79" fillId="41" borderId="0" applyNumberFormat="0" applyBorder="0" applyAlignment="0" applyProtection="0">
      <alignment vertical="center"/>
    </xf>
    <xf numFmtId="0" fontId="79" fillId="42" borderId="0" applyNumberFormat="0" applyBorder="0" applyAlignment="0" applyProtection="0">
      <alignment vertical="center"/>
    </xf>
    <xf numFmtId="0" fontId="78" fillId="2" borderId="0" applyNumberFormat="0" applyBorder="0" applyAlignment="0" applyProtection="0">
      <alignment vertical="center"/>
    </xf>
    <xf numFmtId="0" fontId="78" fillId="43" borderId="0" applyNumberFormat="0" applyBorder="0" applyAlignment="0" applyProtection="0">
      <alignment vertical="center"/>
    </xf>
    <xf numFmtId="0" fontId="79" fillId="14" borderId="0" applyNumberFormat="0" applyBorder="0" applyAlignment="0" applyProtection="0">
      <alignment vertical="center"/>
    </xf>
    <xf numFmtId="0" fontId="79" fillId="44" borderId="0" applyNumberFormat="0" applyBorder="0" applyAlignment="0" applyProtection="0">
      <alignment vertical="center"/>
    </xf>
    <xf numFmtId="0" fontId="78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0" fillId="0" borderId="0"/>
    <xf numFmtId="0" fontId="10" fillId="0" borderId="0">
      <alignment vertical="center"/>
    </xf>
    <xf numFmtId="0" fontId="0" fillId="0" borderId="0">
      <alignment vertical="center"/>
    </xf>
    <xf numFmtId="0" fontId="9" fillId="0" borderId="0">
      <alignment vertical="center"/>
    </xf>
    <xf numFmtId="0" fontId="0" fillId="0" borderId="0">
      <alignment vertical="center"/>
    </xf>
    <xf numFmtId="0" fontId="80" fillId="0" borderId="0"/>
    <xf numFmtId="0" fontId="9" fillId="0" borderId="0"/>
  </cellStyleXfs>
  <cellXfs count="74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Fill="1">
      <alignment vertical="center"/>
    </xf>
    <xf numFmtId="0" fontId="3" fillId="2" borderId="0" xfId="0" applyFont="1" applyFill="1">
      <alignment vertical="center"/>
    </xf>
    <xf numFmtId="0" fontId="2" fillId="3" borderId="0" xfId="0" applyFont="1" applyFill="1" applyBorder="1" applyAlignment="1">
      <alignment vertical="center"/>
    </xf>
    <xf numFmtId="0" fontId="1" fillId="3" borderId="0" xfId="0" applyFont="1" applyFill="1">
      <alignment vertical="center"/>
    </xf>
    <xf numFmtId="0" fontId="4" fillId="0" borderId="0" xfId="0" applyFont="1" applyFill="1">
      <alignment vertical="center"/>
    </xf>
    <xf numFmtId="0" fontId="0" fillId="4" borderId="0" xfId="0" applyFill="1">
      <alignment vertical="center"/>
    </xf>
    <xf numFmtId="0" fontId="4" fillId="0" borderId="0" xfId="0" applyFont="1" applyFill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3" fillId="2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0" fillId="3" borderId="0" xfId="0" applyFill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2" fillId="2" borderId="0" xfId="0" applyFont="1" applyFill="1" applyAlignment="1">
      <alignment vertical="center"/>
    </xf>
    <xf numFmtId="0" fontId="2" fillId="2" borderId="0" xfId="0" applyFont="1" applyFill="1" applyBorder="1" applyAlignment="1">
      <alignment vertical="center"/>
    </xf>
    <xf numFmtId="176" fontId="1" fillId="0" borderId="0" xfId="0" applyNumberFormat="1" applyFont="1">
      <alignment vertical="center"/>
    </xf>
    <xf numFmtId="176" fontId="1" fillId="2" borderId="0" xfId="0" applyNumberFormat="1" applyFont="1" applyFill="1">
      <alignment vertical="center"/>
    </xf>
    <xf numFmtId="0" fontId="1" fillId="2" borderId="0" xfId="0" applyFont="1" applyFill="1">
      <alignment vertical="center"/>
    </xf>
    <xf numFmtId="177" fontId="1" fillId="0" borderId="0" xfId="0" applyNumberFormat="1" applyFont="1">
      <alignment vertical="center"/>
    </xf>
    <xf numFmtId="0" fontId="1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horizontal="center" vertical="center" wrapText="1"/>
    </xf>
    <xf numFmtId="9" fontId="6" fillId="0" borderId="1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0" borderId="1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center" vertical="center" wrapText="1"/>
    </xf>
    <xf numFmtId="0" fontId="0" fillId="0" borderId="0" xfId="0" applyFill="1" applyAlignment="1"/>
    <xf numFmtId="0" fontId="8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9" fillId="0" borderId="1" xfId="0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vertical="center"/>
    </xf>
    <xf numFmtId="178" fontId="0" fillId="5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9" fontId="0" fillId="0" borderId="1" xfId="0" applyNumberFormat="1" applyFill="1" applyBorder="1" applyAlignment="1">
      <alignment vertical="center"/>
    </xf>
    <xf numFmtId="0" fontId="0" fillId="7" borderId="1" xfId="0" applyFill="1" applyBorder="1" applyAlignment="1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6" borderId="0" xfId="0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2" fillId="0" borderId="0" xfId="55" applyFont="1" applyFill="1" applyBorder="1" applyAlignment="1">
      <alignment horizontal="center" vertical="center" wrapText="1"/>
    </xf>
    <xf numFmtId="0" fontId="13" fillId="0" borderId="8" xfId="55" applyFont="1" applyFill="1" applyBorder="1" applyAlignment="1">
      <alignment horizontal="center" vertical="center" wrapText="1"/>
    </xf>
    <xf numFmtId="0" fontId="14" fillId="0" borderId="1" xfId="55" applyFont="1" applyFill="1" applyBorder="1" applyAlignment="1">
      <alignment horizontal="center" vertical="center" wrapText="1"/>
    </xf>
    <xf numFmtId="0" fontId="14" fillId="0" borderId="1" xfId="52" applyFont="1" applyFill="1" applyBorder="1" applyAlignment="1">
      <alignment horizontal="center" vertical="center" wrapText="1"/>
    </xf>
    <xf numFmtId="0" fontId="14" fillId="8" borderId="1" xfId="55" applyFont="1" applyFill="1" applyBorder="1" applyAlignment="1">
      <alignment horizontal="center" vertical="center" wrapText="1"/>
    </xf>
    <xf numFmtId="0" fontId="15" fillId="0" borderId="1" xfId="55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15" fillId="5" borderId="1" xfId="55" applyFont="1" applyFill="1" applyBorder="1" applyAlignment="1">
      <alignment horizontal="center" vertical="center"/>
    </xf>
    <xf numFmtId="0" fontId="15" fillId="0" borderId="1" xfId="55" applyFont="1" applyFill="1" applyBorder="1" applyAlignment="1">
      <alignment horizontal="center" vertical="center" wrapText="1"/>
    </xf>
    <xf numFmtId="178" fontId="14" fillId="0" borderId="1" xfId="55" applyNumberFormat="1" applyFont="1" applyFill="1" applyBorder="1" applyAlignment="1">
      <alignment horizontal="center" vertical="center" wrapText="1"/>
    </xf>
    <xf numFmtId="0" fontId="14" fillId="0" borderId="1" xfId="54" applyFont="1" applyFill="1" applyBorder="1" applyAlignment="1">
      <alignment horizontal="center" vertical="center" wrapText="1"/>
    </xf>
    <xf numFmtId="178" fontId="15" fillId="0" borderId="1" xfId="55" applyNumberFormat="1" applyFont="1" applyFill="1" applyBorder="1" applyAlignment="1">
      <alignment horizontal="center" vertical="center" wrapText="1"/>
    </xf>
    <xf numFmtId="9" fontId="15" fillId="0" borderId="1" xfId="50" applyNumberFormat="1" applyFont="1" applyFill="1" applyBorder="1" applyAlignment="1">
      <alignment horizontal="center" vertical="center" wrapText="1"/>
    </xf>
    <xf numFmtId="0" fontId="14" fillId="0" borderId="9" xfId="55" applyFont="1" applyFill="1" applyBorder="1" applyAlignment="1">
      <alignment horizontal="center" vertical="center" wrapText="1"/>
    </xf>
    <xf numFmtId="0" fontId="15" fillId="0" borderId="9" xfId="55" applyFont="1" applyFill="1" applyBorder="1" applyAlignment="1">
      <alignment horizontal="center" vertical="center" wrapText="1"/>
    </xf>
    <xf numFmtId="9" fontId="15" fillId="0" borderId="9" xfId="55" applyNumberFormat="1" applyFont="1" applyFill="1" applyBorder="1" applyAlignment="1">
      <alignment horizontal="center" vertical="center" wrapText="1"/>
    </xf>
    <xf numFmtId="0" fontId="13" fillId="0" borderId="1" xfId="55" applyFont="1" applyFill="1" applyBorder="1" applyAlignment="1">
      <alignment horizontal="center" vertical="center" wrapText="1"/>
    </xf>
    <xf numFmtId="176" fontId="0" fillId="0" borderId="1" xfId="0" applyNumberFormat="1" applyFill="1" applyBorder="1" applyAlignment="1">
      <alignment horizontal="center" vertical="center"/>
    </xf>
    <xf numFmtId="176" fontId="15" fillId="0" borderId="1" xfId="55" applyNumberFormat="1" applyFont="1" applyFill="1" applyBorder="1" applyAlignment="1">
      <alignment horizontal="center" vertical="center" wrapText="1"/>
    </xf>
    <xf numFmtId="0" fontId="15" fillId="0" borderId="1" xfId="54" applyFont="1" applyFill="1" applyBorder="1" applyAlignment="1">
      <alignment horizontal="center" vertical="center" wrapText="1"/>
    </xf>
    <xf numFmtId="179" fontId="15" fillId="0" borderId="1" xfId="50" applyNumberFormat="1" applyFont="1" applyFill="1" applyBorder="1" applyAlignment="1">
      <alignment horizontal="center" vertical="center" wrapText="1"/>
    </xf>
    <xf numFmtId="0" fontId="14" fillId="0" borderId="10" xfId="55" applyFont="1" applyFill="1" applyBorder="1" applyAlignment="1">
      <alignment horizontal="center" vertical="center" wrapText="1"/>
    </xf>
    <xf numFmtId="0" fontId="15" fillId="0" borderId="10" xfId="55" applyFont="1" applyFill="1" applyBorder="1" applyAlignment="1">
      <alignment horizontal="center" vertical="center" wrapText="1"/>
    </xf>
    <xf numFmtId="179" fontId="15" fillId="0" borderId="10" xfId="55" applyNumberFormat="1" applyFont="1" applyFill="1" applyBorder="1" applyAlignment="1">
      <alignment horizontal="center" vertical="center" wrapText="1"/>
    </xf>
    <xf numFmtId="0" fontId="14" fillId="0" borderId="1" xfId="52" applyFont="1" applyFill="1" applyBorder="1" applyAlignment="1" applyProtection="1">
      <alignment horizontal="center" vertical="center" wrapText="1"/>
    </xf>
    <xf numFmtId="0" fontId="14" fillId="0" borderId="1" xfId="55" applyFon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178" fontId="14" fillId="0" borderId="1" xfId="55" applyNumberFormat="1" applyFont="1" applyFill="1" applyBorder="1" applyAlignment="1" applyProtection="1">
      <alignment horizontal="center" vertical="center" wrapText="1"/>
    </xf>
    <xf numFmtId="179" fontId="15" fillId="0" borderId="10" xfId="3" applyNumberFormat="1" applyFont="1" applyFill="1" applyBorder="1" applyAlignment="1" applyProtection="1">
      <alignment horizontal="center" vertical="center" wrapText="1"/>
    </xf>
    <xf numFmtId="0" fontId="12" fillId="6" borderId="0" xfId="55" applyFont="1" applyFill="1" applyBorder="1" applyAlignment="1">
      <alignment horizontal="center" vertical="center" wrapText="1"/>
    </xf>
    <xf numFmtId="0" fontId="13" fillId="6" borderId="8" xfId="55" applyFont="1" applyFill="1" applyBorder="1" applyAlignment="1">
      <alignment horizontal="center" vertical="center" wrapText="1"/>
    </xf>
    <xf numFmtId="0" fontId="14" fillId="6" borderId="1" xfId="52" applyFont="1" applyFill="1" applyBorder="1" applyAlignment="1">
      <alignment horizontal="center" vertical="center" wrapText="1"/>
    </xf>
    <xf numFmtId="0" fontId="15" fillId="6" borderId="1" xfId="55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178" fontId="15" fillId="6" borderId="1" xfId="55" applyNumberFormat="1" applyFont="1" applyFill="1" applyBorder="1" applyAlignment="1">
      <alignment horizontal="center" vertical="center" wrapText="1"/>
    </xf>
    <xf numFmtId="179" fontId="15" fillId="6" borderId="1" xfId="50" applyNumberFormat="1" applyFont="1" applyFill="1" applyBorder="1" applyAlignment="1">
      <alignment horizontal="center" vertical="center" wrapText="1"/>
    </xf>
    <xf numFmtId="9" fontId="15" fillId="6" borderId="9" xfId="55" applyNumberFormat="1" applyFont="1" applyFill="1" applyBorder="1" applyAlignment="1">
      <alignment horizontal="center" vertical="center" wrapText="1"/>
    </xf>
    <xf numFmtId="0" fontId="13" fillId="6" borderId="1" xfId="55" applyFont="1" applyFill="1" applyBorder="1" applyAlignment="1">
      <alignment horizontal="center" vertical="center" wrapText="1"/>
    </xf>
    <xf numFmtId="176" fontId="0" fillId="6" borderId="1" xfId="0" applyNumberFormat="1" applyFill="1" applyBorder="1" applyAlignment="1">
      <alignment horizontal="center" vertical="center"/>
    </xf>
    <xf numFmtId="179" fontId="15" fillId="6" borderId="10" xfId="55" applyNumberFormat="1" applyFont="1" applyFill="1" applyBorder="1" applyAlignment="1">
      <alignment horizontal="center" vertical="center" wrapText="1"/>
    </xf>
    <xf numFmtId="0" fontId="14" fillId="6" borderId="1" xfId="52" applyFont="1" applyFill="1" applyBorder="1" applyAlignment="1" applyProtection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9" fontId="15" fillId="6" borderId="1" xfId="5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0" fontId="14" fillId="5" borderId="1" xfId="55" applyFont="1" applyFill="1" applyBorder="1" applyAlignment="1">
      <alignment horizontal="center" vertical="center" wrapText="1"/>
    </xf>
    <xf numFmtId="10" fontId="15" fillId="0" borderId="1" xfId="50" applyNumberFormat="1" applyFont="1" applyFill="1" applyBorder="1" applyAlignment="1">
      <alignment horizontal="center" vertical="center" wrapText="1"/>
    </xf>
    <xf numFmtId="9" fontId="11" fillId="0" borderId="1" xfId="3" applyFont="1" applyFill="1" applyBorder="1" applyAlignment="1">
      <alignment horizontal="center" vertical="center" wrapText="1"/>
    </xf>
    <xf numFmtId="0" fontId="0" fillId="0" borderId="0" xfId="0" applyFill="1" applyBorder="1" applyAlignment="1">
      <alignment vertical="center"/>
    </xf>
    <xf numFmtId="176" fontId="17" fillId="0" borderId="1" xfId="55" applyNumberFormat="1" applyFont="1" applyFill="1" applyBorder="1" applyAlignment="1">
      <alignment horizontal="center" vertical="center" wrapText="1"/>
    </xf>
    <xf numFmtId="176" fontId="18" fillId="0" borderId="1" xfId="0" applyNumberFormat="1" applyFont="1" applyFill="1" applyBorder="1" applyAlignment="1">
      <alignment horizontal="center" vertical="center" wrapText="1"/>
    </xf>
    <xf numFmtId="176" fontId="19" fillId="0" borderId="1" xfId="0" applyNumberFormat="1" applyFont="1" applyFill="1" applyBorder="1" applyAlignment="1">
      <alignment horizontal="center" vertical="center" wrapText="1"/>
    </xf>
    <xf numFmtId="178" fontId="14" fillId="5" borderId="1" xfId="55" applyNumberFormat="1" applyFont="1" applyFill="1" applyBorder="1" applyAlignment="1">
      <alignment horizontal="center" vertical="center" wrapText="1"/>
    </xf>
    <xf numFmtId="10" fontId="15" fillId="0" borderId="1" xfId="55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10" fontId="15" fillId="0" borderId="9" xfId="55" applyNumberFormat="1" applyFont="1" applyFill="1" applyBorder="1" applyAlignment="1">
      <alignment horizontal="center" vertical="center" wrapText="1"/>
    </xf>
    <xf numFmtId="0" fontId="11" fillId="0" borderId="9" xfId="0" applyFont="1" applyFill="1" applyBorder="1" applyAlignment="1">
      <alignment horizontal="center" vertical="center" wrapText="1"/>
    </xf>
    <xf numFmtId="0" fontId="15" fillId="5" borderId="1" xfId="55" applyFont="1" applyFill="1" applyBorder="1" applyAlignment="1">
      <alignment horizontal="center" vertical="center" wrapText="1"/>
    </xf>
    <xf numFmtId="178" fontId="15" fillId="5" borderId="1" xfId="55" applyNumberFormat="1" applyFont="1" applyFill="1" applyBorder="1" applyAlignment="1">
      <alignment horizontal="center" vertical="center" wrapText="1"/>
    </xf>
    <xf numFmtId="10" fontId="15" fillId="0" borderId="10" xfId="55" applyNumberFormat="1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 wrapText="1"/>
    </xf>
    <xf numFmtId="0" fontId="20" fillId="0" borderId="11" xfId="0" applyFont="1" applyFill="1" applyBorder="1" applyAlignment="1">
      <alignment horizontal="center" vertical="center" wrapText="1"/>
    </xf>
    <xf numFmtId="9" fontId="21" fillId="0" borderId="11" xfId="3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vertical="center"/>
    </xf>
    <xf numFmtId="10" fontId="15" fillId="0" borderId="1" xfId="3" applyNumberFormat="1" applyFont="1" applyFill="1" applyBorder="1" applyAlignment="1" applyProtection="1">
      <alignment horizontal="center" vertical="center" wrapText="1"/>
    </xf>
    <xf numFmtId="0" fontId="21" fillId="0" borderId="11" xfId="0" applyFont="1" applyFill="1" applyBorder="1" applyAlignment="1">
      <alignment horizontal="center" vertical="center" wrapText="1"/>
    </xf>
    <xf numFmtId="0" fontId="21" fillId="0" borderId="12" xfId="0" applyFont="1" applyFill="1" applyBorder="1" applyAlignment="1">
      <alignment horizontal="center" vertical="center" wrapText="1"/>
    </xf>
    <xf numFmtId="0" fontId="22" fillId="0" borderId="0" xfId="0" applyFont="1" applyFill="1" applyAlignment="1">
      <alignment horizontal="center" vertical="center" wrapText="1"/>
    </xf>
    <xf numFmtId="0" fontId="23" fillId="0" borderId="0" xfId="0" applyFont="1" applyFill="1">
      <alignment vertical="center"/>
    </xf>
    <xf numFmtId="0" fontId="24" fillId="0" borderId="0" xfId="0" applyFont="1" applyFill="1" applyAlignment="1">
      <alignment horizontal="center" vertical="center"/>
    </xf>
    <xf numFmtId="0" fontId="22" fillId="0" borderId="0" xfId="0" applyFont="1" applyFill="1">
      <alignment vertical="center"/>
    </xf>
    <xf numFmtId="0" fontId="1" fillId="0" borderId="0" xfId="0" applyFont="1" applyFill="1" applyAlignment="1">
      <alignment vertical="center" wrapText="1"/>
    </xf>
    <xf numFmtId="0" fontId="1" fillId="0" borderId="0" xfId="0" applyFont="1" applyFill="1" applyAlignment="1">
      <alignment horizontal="left" vertical="center"/>
    </xf>
    <xf numFmtId="0" fontId="24" fillId="0" borderId="0" xfId="0" applyNumberFormat="1" applyFont="1" applyFill="1" applyAlignment="1">
      <alignment horizontal="center" vertical="center"/>
    </xf>
    <xf numFmtId="180" fontId="24" fillId="0" borderId="0" xfId="0" applyNumberFormat="1" applyFont="1" applyFill="1" applyAlignment="1">
      <alignment horizontal="center" vertical="center"/>
    </xf>
    <xf numFmtId="0" fontId="25" fillId="0" borderId="0" xfId="0" applyFont="1" applyFill="1" applyAlignment="1">
      <alignment horizontal="left" vertical="center" wrapText="1"/>
    </xf>
    <xf numFmtId="0" fontId="25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left" vertical="center" wrapText="1"/>
    </xf>
    <xf numFmtId="0" fontId="14" fillId="0" borderId="1" xfId="0" applyFont="1" applyFill="1" applyBorder="1" applyAlignment="1">
      <alignment horizontal="center" vertical="center" wrapText="1"/>
    </xf>
    <xf numFmtId="0" fontId="26" fillId="0" borderId="1" xfId="0" applyFont="1" applyFill="1" applyBorder="1" applyAlignment="1">
      <alignment horizontal="center" vertical="center" wrapText="1"/>
    </xf>
    <xf numFmtId="0" fontId="1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/>
    </xf>
    <xf numFmtId="2" fontId="24" fillId="0" borderId="1" xfId="0" applyNumberFormat="1" applyFont="1" applyFill="1" applyBorder="1" applyAlignment="1">
      <alignment horizontal="center" vertical="center"/>
    </xf>
    <xf numFmtId="10" fontId="24" fillId="0" borderId="1" xfId="3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center" vertical="center"/>
    </xf>
    <xf numFmtId="0" fontId="24" fillId="9" borderId="1" xfId="0" applyFont="1" applyFill="1" applyBorder="1" applyAlignment="1">
      <alignment horizontal="center" vertical="center"/>
    </xf>
    <xf numFmtId="2" fontId="24" fillId="9" borderId="1" xfId="0" applyNumberFormat="1" applyFont="1" applyFill="1" applyBorder="1" applyAlignment="1">
      <alignment horizontal="center" vertical="center"/>
    </xf>
    <xf numFmtId="10" fontId="24" fillId="9" borderId="1" xfId="3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/>
    </xf>
    <xf numFmtId="1" fontId="27" fillId="0" borderId="1" xfId="0" applyNumberFormat="1" applyFont="1" applyFill="1" applyBorder="1" applyAlignment="1">
      <alignment horizontal="center" vertical="center"/>
    </xf>
    <xf numFmtId="10" fontId="27" fillId="0" borderId="1" xfId="3" applyNumberFormat="1" applyFont="1" applyFill="1" applyBorder="1" applyAlignment="1">
      <alignment horizontal="center" vertical="center"/>
    </xf>
    <xf numFmtId="2" fontId="27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vertical="center" wrapText="1"/>
    </xf>
    <xf numFmtId="0" fontId="0" fillId="0" borderId="13" xfId="0" applyFill="1" applyBorder="1" applyAlignment="1"/>
    <xf numFmtId="0" fontId="0" fillId="5" borderId="14" xfId="0" applyFill="1" applyBorder="1" applyAlignment="1">
      <alignment vertical="center"/>
    </xf>
    <xf numFmtId="0" fontId="0" fillId="0" borderId="15" xfId="0" applyFill="1" applyBorder="1" applyAlignment="1">
      <alignment vertical="center"/>
    </xf>
    <xf numFmtId="0" fontId="0" fillId="0" borderId="16" xfId="0" applyFill="1" applyBorder="1" applyAlignment="1"/>
    <xf numFmtId="0" fontId="0" fillId="0" borderId="17" xfId="0" applyFill="1" applyBorder="1" applyAlignment="1"/>
    <xf numFmtId="0" fontId="1" fillId="0" borderId="13" xfId="0" applyFont="1" applyFill="1" applyBorder="1" applyAlignment="1">
      <alignment horizontal="left" vertical="center"/>
    </xf>
    <xf numFmtId="0" fontId="1" fillId="0" borderId="14" xfId="0" applyFont="1" applyFill="1" applyBorder="1" applyAlignment="1">
      <alignment horizontal="center" vertical="center"/>
    </xf>
    <xf numFmtId="0" fontId="24" fillId="0" borderId="14" xfId="0" applyFont="1" applyFill="1" applyBorder="1" applyAlignment="1">
      <alignment horizontal="center" vertical="center"/>
    </xf>
    <xf numFmtId="0" fontId="24" fillId="0" borderId="14" xfId="0" applyNumberFormat="1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left" vertical="center"/>
    </xf>
    <xf numFmtId="0" fontId="1" fillId="0" borderId="16" xfId="0" applyFont="1" applyFill="1" applyBorder="1" applyAlignment="1">
      <alignment horizontal="left" vertical="center"/>
    </xf>
    <xf numFmtId="0" fontId="1" fillId="0" borderId="17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 wrapText="1"/>
    </xf>
    <xf numFmtId="0" fontId="22" fillId="0" borderId="0" xfId="0" applyFont="1" applyFill="1" applyAlignment="1">
      <alignment horizontal="left" vertical="center"/>
    </xf>
    <xf numFmtId="0" fontId="22" fillId="0" borderId="0" xfId="0" applyFont="1" applyFill="1" applyAlignment="1">
      <alignment horizontal="center" vertical="center"/>
    </xf>
    <xf numFmtId="0" fontId="14" fillId="5" borderId="1" xfId="0" applyFont="1" applyFill="1" applyBorder="1" applyAlignment="1">
      <alignment horizontal="center" vertical="center" wrapText="1"/>
    </xf>
    <xf numFmtId="180" fontId="26" fillId="0" borderId="1" xfId="0" applyNumberFormat="1" applyFont="1" applyFill="1" applyBorder="1" applyAlignment="1">
      <alignment horizontal="center" vertical="center" wrapText="1"/>
    </xf>
    <xf numFmtId="10" fontId="24" fillId="5" borderId="1" xfId="3" applyNumberFormat="1" applyFont="1" applyFill="1" applyBorder="1" applyAlignment="1">
      <alignment horizontal="center" vertical="center"/>
    </xf>
    <xf numFmtId="2" fontId="24" fillId="5" borderId="1" xfId="0" applyNumberFormat="1" applyFont="1" applyFill="1" applyBorder="1" applyAlignment="1">
      <alignment horizontal="center" vertical="center"/>
    </xf>
    <xf numFmtId="10" fontId="27" fillId="5" borderId="1" xfId="3" applyNumberFormat="1" applyFont="1" applyFill="1" applyBorder="1" applyAlignment="1">
      <alignment horizontal="center" vertical="center"/>
    </xf>
    <xf numFmtId="1" fontId="27" fillId="5" borderId="1" xfId="0" applyNumberFormat="1" applyFont="1" applyFill="1" applyBorder="1" applyAlignment="1">
      <alignment horizontal="center" vertical="center"/>
    </xf>
    <xf numFmtId="2" fontId="27" fillId="5" borderId="1" xfId="0" applyNumberFormat="1" applyFont="1" applyFill="1" applyBorder="1" applyAlignment="1">
      <alignment horizontal="center" vertical="center"/>
    </xf>
    <xf numFmtId="0" fontId="0" fillId="5" borderId="18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0" fontId="0" fillId="0" borderId="20" xfId="0" applyFill="1" applyBorder="1" applyAlignment="1"/>
    <xf numFmtId="180" fontId="24" fillId="0" borderId="14" xfId="0" applyNumberFormat="1" applyFont="1" applyFill="1" applyBorder="1" applyAlignment="1">
      <alignment horizontal="center" vertical="center"/>
    </xf>
    <xf numFmtId="0" fontId="24" fillId="0" borderId="18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181" fontId="24" fillId="0" borderId="0" xfId="0" applyNumberFormat="1" applyFont="1" applyFill="1" applyAlignment="1">
      <alignment horizontal="center" vertical="center"/>
    </xf>
    <xf numFmtId="177" fontId="24" fillId="0" borderId="0" xfId="0" applyNumberFormat="1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10" fontId="26" fillId="0" borderId="1" xfId="3" applyNumberFormat="1" applyFont="1" applyFill="1" applyBorder="1" applyAlignment="1">
      <alignment horizontal="center" vertical="center" wrapText="1"/>
    </xf>
    <xf numFmtId="1" fontId="29" fillId="0" borderId="1" xfId="0" applyNumberFormat="1" applyFont="1" applyFill="1" applyBorder="1" applyAlignment="1">
      <alignment horizontal="center" vertical="center"/>
    </xf>
    <xf numFmtId="2" fontId="29" fillId="0" borderId="1" xfId="0" applyNumberFormat="1" applyFont="1" applyFill="1" applyBorder="1" applyAlignment="1">
      <alignment horizontal="center" vertical="center"/>
    </xf>
    <xf numFmtId="1" fontId="24" fillId="5" borderId="1" xfId="0" applyNumberFormat="1" applyFont="1" applyFill="1" applyBorder="1" applyAlignment="1">
      <alignment horizontal="center" vertical="center"/>
    </xf>
    <xf numFmtId="0" fontId="24" fillId="0" borderId="1" xfId="0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1" fontId="29" fillId="7" borderId="1" xfId="0" applyNumberFormat="1" applyFont="1" applyFill="1" applyBorder="1" applyAlignment="1">
      <alignment horizontal="center" vertical="center"/>
    </xf>
    <xf numFmtId="2" fontId="29" fillId="7" borderId="1" xfId="0" applyNumberFormat="1" applyFont="1" applyFill="1" applyBorder="1" applyAlignment="1">
      <alignment horizontal="center" vertical="center"/>
    </xf>
    <xf numFmtId="1" fontId="24" fillId="0" borderId="1" xfId="0" applyNumberFormat="1" applyFont="1" applyFill="1" applyBorder="1" applyAlignment="1">
      <alignment horizontal="center" vertical="center"/>
    </xf>
    <xf numFmtId="1" fontId="27" fillId="7" borderId="1" xfId="0" applyNumberFormat="1" applyFont="1" applyFill="1" applyBorder="1" applyAlignment="1">
      <alignment horizontal="center" vertical="center"/>
    </xf>
    <xf numFmtId="2" fontId="27" fillId="7" borderId="1" xfId="0" applyNumberFormat="1" applyFont="1" applyFill="1" applyBorder="1" applyAlignment="1">
      <alignment horizontal="center" vertical="center"/>
    </xf>
    <xf numFmtId="182" fontId="24" fillId="0" borderId="0" xfId="0" applyNumberFormat="1" applyFont="1" applyFill="1" applyAlignment="1">
      <alignment horizontal="center" vertical="center"/>
    </xf>
    <xf numFmtId="0" fontId="28" fillId="7" borderId="1" xfId="0" applyFont="1" applyFill="1" applyBorder="1" applyAlignment="1">
      <alignment horizontal="center" vertical="center" wrapText="1"/>
    </xf>
    <xf numFmtId="1" fontId="24" fillId="9" borderId="1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29" fillId="7" borderId="1" xfId="0" applyFont="1" applyFill="1" applyBorder="1" applyAlignment="1">
      <alignment horizontal="center" vertical="center"/>
    </xf>
    <xf numFmtId="0" fontId="26" fillId="0" borderId="4" xfId="0" applyFont="1" applyFill="1" applyBorder="1" applyAlignment="1">
      <alignment horizontal="center" vertical="center" wrapText="1"/>
    </xf>
    <xf numFmtId="0" fontId="24" fillId="0" borderId="1" xfId="3" applyNumberFormat="1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 wrapText="1"/>
    </xf>
    <xf numFmtId="0" fontId="24" fillId="9" borderId="1" xfId="3" applyNumberFormat="1" applyFont="1" applyFill="1" applyBorder="1" applyAlignment="1">
      <alignment horizontal="center" vertical="center"/>
    </xf>
    <xf numFmtId="0" fontId="24" fillId="9" borderId="4" xfId="0" applyFont="1" applyFill="1" applyBorder="1" applyAlignment="1">
      <alignment horizontal="center" vertical="center" wrapText="1"/>
    </xf>
    <xf numFmtId="10" fontId="24" fillId="9" borderId="1" xfId="0" applyNumberFormat="1" applyFont="1" applyFill="1" applyBorder="1" applyAlignment="1">
      <alignment horizontal="center" vertical="center"/>
    </xf>
    <xf numFmtId="0" fontId="27" fillId="0" borderId="1" xfId="3" applyNumberFormat="1" applyFont="1" applyFill="1" applyBorder="1" applyAlignment="1">
      <alignment horizontal="center" vertical="center"/>
    </xf>
    <xf numFmtId="0" fontId="24" fillId="0" borderId="1" xfId="0" applyNumberFormat="1" applyFont="1" applyFill="1" applyBorder="1" applyAlignment="1">
      <alignment horizontal="center" vertical="center"/>
    </xf>
    <xf numFmtId="1" fontId="27" fillId="0" borderId="4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Alignment="1">
      <alignment horizontal="center" vertical="center"/>
    </xf>
    <xf numFmtId="177" fontId="29" fillId="7" borderId="1" xfId="0" applyNumberFormat="1" applyFont="1" applyFill="1" applyBorder="1" applyAlignment="1">
      <alignment horizontal="center" vertical="center"/>
    </xf>
    <xf numFmtId="177" fontId="27" fillId="7" borderId="1" xfId="0" applyNumberFormat="1" applyFont="1" applyFill="1" applyBorder="1" applyAlignment="1">
      <alignment horizontal="center" vertical="center"/>
    </xf>
    <xf numFmtId="177" fontId="29" fillId="0" borderId="1" xfId="0" applyNumberFormat="1" applyFont="1" applyFill="1" applyBorder="1" applyAlignment="1">
      <alignment horizontal="center" vertical="center"/>
    </xf>
    <xf numFmtId="0" fontId="26" fillId="0" borderId="0" xfId="0" applyFont="1" applyFill="1" applyAlignment="1">
      <alignment horizontal="center" vertical="center" wrapText="1"/>
    </xf>
    <xf numFmtId="0" fontId="14" fillId="0" borderId="0" xfId="0" applyFont="1" applyFill="1" applyAlignment="1">
      <alignment horizontal="center" vertical="center" wrapText="1"/>
    </xf>
    <xf numFmtId="10" fontId="24" fillId="0" borderId="0" xfId="3" applyNumberFormat="1" applyFont="1" applyFill="1" applyAlignment="1">
      <alignment horizontal="center" vertical="center"/>
    </xf>
    <xf numFmtId="10" fontId="24" fillId="0" borderId="0" xfId="0" applyNumberFormat="1" applyFont="1" applyFill="1" applyAlignment="1">
      <alignment horizontal="left" vertical="center"/>
    </xf>
    <xf numFmtId="0" fontId="24" fillId="0" borderId="0" xfId="0" applyFont="1" applyFill="1" applyAlignment="1">
      <alignment horizontal="left" vertical="center"/>
    </xf>
    <xf numFmtId="0" fontId="27" fillId="0" borderId="0" xfId="0" applyFont="1" applyFill="1" applyAlignment="1">
      <alignment horizontal="center" vertical="center"/>
    </xf>
    <xf numFmtId="177" fontId="27" fillId="0" borderId="0" xfId="0" applyNumberFormat="1" applyFont="1" applyFill="1" applyAlignment="1">
      <alignment horizontal="center" vertical="center"/>
    </xf>
    <xf numFmtId="10" fontId="27" fillId="0" borderId="0" xfId="3" applyNumberFormat="1" applyFont="1" applyFill="1" applyAlignment="1">
      <alignment horizontal="center" vertical="center"/>
    </xf>
    <xf numFmtId="0" fontId="24" fillId="0" borderId="0" xfId="0" applyFont="1" applyFill="1" applyAlignment="1">
      <alignment horizontal="left" vertical="center" wrapText="1"/>
    </xf>
    <xf numFmtId="0" fontId="27" fillId="0" borderId="0" xfId="0" applyFont="1" applyFill="1" applyAlignment="1">
      <alignment horizontal="left"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0" fontId="22" fillId="0" borderId="1" xfId="0" applyFont="1" applyBorder="1">
      <alignment vertical="center"/>
    </xf>
    <xf numFmtId="0" fontId="22" fillId="0" borderId="1" xfId="0" applyFont="1" applyBorder="1" applyAlignment="1">
      <alignment horizontal="center" vertical="center"/>
    </xf>
    <xf numFmtId="0" fontId="22" fillId="10" borderId="1" xfId="0" applyFont="1" applyFill="1" applyBorder="1" applyAlignment="1">
      <alignment horizontal="center" vertical="center"/>
    </xf>
    <xf numFmtId="0" fontId="1" fillId="0" borderId="1" xfId="0" applyFont="1" applyBorder="1">
      <alignment vertical="center"/>
    </xf>
    <xf numFmtId="2" fontId="1" fillId="0" borderId="1" xfId="0" applyNumberFormat="1" applyFont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2" fontId="30" fillId="0" borderId="1" xfId="0" applyNumberFormat="1" applyFont="1" applyBorder="1" applyAlignment="1">
      <alignment horizontal="center" vertical="center"/>
    </xf>
    <xf numFmtId="0" fontId="5" fillId="0" borderId="1" xfId="0" applyFont="1" applyBorder="1">
      <alignment vertical="center"/>
    </xf>
    <xf numFmtId="0" fontId="1" fillId="5" borderId="1" xfId="0" applyFont="1" applyFill="1" applyBorder="1">
      <alignment vertical="center"/>
    </xf>
    <xf numFmtId="0" fontId="5" fillId="0" borderId="4" xfId="0" applyFont="1" applyBorder="1">
      <alignment vertical="center"/>
    </xf>
    <xf numFmtId="0" fontId="30" fillId="11" borderId="2" xfId="0" applyFont="1" applyFill="1" applyBorder="1" applyAlignment="1">
      <alignment vertical="center"/>
    </xf>
    <xf numFmtId="2" fontId="1" fillId="11" borderId="1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Fill="1" applyBorder="1">
      <alignment vertical="center"/>
    </xf>
    <xf numFmtId="0" fontId="1" fillId="0" borderId="4" xfId="0" applyFont="1" applyBorder="1">
      <alignment vertical="center"/>
    </xf>
    <xf numFmtId="2" fontId="5" fillId="10" borderId="1" xfId="0" applyNumberFormat="1" applyFont="1" applyFill="1" applyBorder="1" applyAlignment="1">
      <alignment horizontal="center" vertical="center"/>
    </xf>
    <xf numFmtId="0" fontId="5" fillId="5" borderId="1" xfId="0" applyFont="1" applyFill="1" applyBorder="1">
      <alignment vertical="center"/>
    </xf>
    <xf numFmtId="0" fontId="1" fillId="5" borderId="4" xfId="0" applyFont="1" applyFill="1" applyBorder="1">
      <alignment vertical="center"/>
    </xf>
    <xf numFmtId="2" fontId="22" fillId="0" borderId="0" xfId="0" applyNumberFormat="1" applyFont="1" applyAlignment="1">
      <alignment horizontal="center" vertical="center"/>
    </xf>
    <xf numFmtId="0" fontId="1" fillId="11" borderId="0" xfId="0" applyFont="1" applyFill="1">
      <alignment vertical="center"/>
    </xf>
    <xf numFmtId="2" fontId="1" fillId="11" borderId="0" xfId="0" applyNumberFormat="1" applyFont="1" applyFill="1" applyAlignment="1">
      <alignment horizontal="center" vertical="center"/>
    </xf>
    <xf numFmtId="0" fontId="22" fillId="12" borderId="2" xfId="0" applyFont="1" applyFill="1" applyBorder="1" applyAlignment="1">
      <alignment horizontal="center" vertical="center"/>
    </xf>
    <xf numFmtId="0" fontId="22" fillId="12" borderId="4" xfId="0" applyFont="1" applyFill="1" applyBorder="1" applyAlignment="1">
      <alignment horizontal="center" vertical="center"/>
    </xf>
    <xf numFmtId="2" fontId="1" fillId="12" borderId="1" xfId="0" applyNumberFormat="1" applyFont="1" applyFill="1" applyBorder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177" fontId="1" fillId="10" borderId="0" xfId="0" applyNumberFormat="1" applyFont="1" applyFill="1">
      <alignment vertical="center"/>
    </xf>
    <xf numFmtId="177" fontId="5" fillId="0" borderId="0" xfId="0" applyNumberFormat="1" applyFont="1">
      <alignment vertical="center"/>
    </xf>
    <xf numFmtId="176" fontId="5" fillId="0" borderId="0" xfId="0" applyNumberFormat="1" applyFont="1">
      <alignment vertical="center"/>
    </xf>
    <xf numFmtId="177" fontId="22" fillId="0" borderId="0" xfId="0" applyNumberFormat="1" applyFont="1">
      <alignment vertical="center"/>
    </xf>
    <xf numFmtId="176" fontId="22" fillId="0" borderId="0" xfId="0" applyNumberFormat="1" applyFont="1">
      <alignment vertical="center"/>
    </xf>
    <xf numFmtId="0" fontId="31" fillId="0" borderId="0" xfId="0" applyFont="1" applyFill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30" fillId="12" borderId="2" xfId="0" applyFont="1" applyFill="1" applyBorder="1" applyAlignment="1">
      <alignment vertical="center"/>
    </xf>
    <xf numFmtId="2" fontId="1" fillId="0" borderId="0" xfId="0" applyNumberFormat="1" applyFont="1" applyFill="1" applyAlignment="1">
      <alignment horizontal="center" vertical="center"/>
    </xf>
    <xf numFmtId="0" fontId="30" fillId="12" borderId="1" xfId="0" applyFont="1" applyFill="1" applyBorder="1" applyAlignment="1">
      <alignment vertical="center"/>
    </xf>
    <xf numFmtId="0" fontId="5" fillId="0" borderId="1" xfId="0" applyFont="1" applyFill="1" applyBorder="1">
      <alignment vertical="center"/>
    </xf>
    <xf numFmtId="2" fontId="1" fillId="5" borderId="1" xfId="0" applyNumberFormat="1" applyFont="1" applyFill="1" applyBorder="1" applyAlignment="1">
      <alignment horizontal="center" vertical="center"/>
    </xf>
    <xf numFmtId="177" fontId="32" fillId="10" borderId="0" xfId="0" applyNumberFormat="1" applyFont="1" applyFill="1">
      <alignment vertical="center"/>
    </xf>
    <xf numFmtId="0" fontId="2" fillId="5" borderId="0" xfId="0" applyFont="1" applyFill="1" applyBorder="1" applyAlignment="1">
      <alignment vertical="center"/>
    </xf>
    <xf numFmtId="0" fontId="0" fillId="5" borderId="0" xfId="0" applyFill="1">
      <alignment vertical="center"/>
    </xf>
    <xf numFmtId="0" fontId="2" fillId="13" borderId="0" xfId="0" applyFont="1" applyFill="1" applyBorder="1" applyAlignment="1">
      <alignment vertical="center"/>
    </xf>
    <xf numFmtId="0" fontId="1" fillId="5" borderId="0" xfId="0" applyFont="1" applyFill="1">
      <alignment vertical="center"/>
    </xf>
    <xf numFmtId="0" fontId="5" fillId="0" borderId="0" xfId="0" applyFont="1" applyFill="1">
      <alignment vertical="center"/>
    </xf>
    <xf numFmtId="0" fontId="30" fillId="0" borderId="1" xfId="0" applyFont="1" applyBorder="1">
      <alignment vertical="center"/>
    </xf>
    <xf numFmtId="0" fontId="22" fillId="12" borderId="1" xfId="0" applyFont="1" applyFill="1" applyBorder="1" applyAlignment="1">
      <alignment vertical="center"/>
    </xf>
    <xf numFmtId="2" fontId="22" fillId="0" borderId="0" xfId="0" applyNumberFormat="1" applyFont="1" applyFill="1" applyAlignment="1">
      <alignment horizontal="center" vertical="center"/>
    </xf>
    <xf numFmtId="2" fontId="22" fillId="0" borderId="1" xfId="0" applyNumberFormat="1" applyFont="1" applyFill="1" applyBorder="1" applyAlignment="1">
      <alignment horizontal="center" vertical="center"/>
    </xf>
    <xf numFmtId="2" fontId="22" fillId="0" borderId="1" xfId="0" applyNumberFormat="1" applyFont="1" applyBorder="1" applyAlignment="1">
      <alignment horizontal="center" vertical="center"/>
    </xf>
    <xf numFmtId="2" fontId="22" fillId="10" borderId="1" xfId="0" applyNumberFormat="1" applyFont="1" applyFill="1" applyBorder="1" applyAlignment="1">
      <alignment horizontal="center" vertical="center"/>
    </xf>
    <xf numFmtId="0" fontId="22" fillId="12" borderId="1" xfId="0" applyFont="1" applyFill="1" applyBorder="1" applyAlignment="1">
      <alignment horizontal="center" vertical="center"/>
    </xf>
    <xf numFmtId="0" fontId="2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30" fillId="12" borderId="21" xfId="0" applyFont="1" applyFill="1" applyBorder="1" applyAlignment="1">
      <alignment vertical="center"/>
    </xf>
    <xf numFmtId="2" fontId="1" fillId="12" borderId="7" xfId="0" applyNumberFormat="1" applyFont="1" applyFill="1" applyBorder="1" applyAlignment="1">
      <alignment horizontal="center" vertical="center"/>
    </xf>
    <xf numFmtId="177" fontId="32" fillId="14" borderId="0" xfId="0" applyNumberFormat="1" applyFont="1" applyFill="1">
      <alignment vertical="center"/>
    </xf>
    <xf numFmtId="176" fontId="32" fillId="10" borderId="0" xfId="0" applyNumberFormat="1" applyFont="1" applyFill="1">
      <alignment vertical="center"/>
    </xf>
    <xf numFmtId="183" fontId="1" fillId="10" borderId="0" xfId="0" applyNumberFormat="1" applyFont="1" applyFill="1">
      <alignment vertical="center"/>
    </xf>
    <xf numFmtId="0" fontId="0" fillId="0" borderId="0" xfId="0" applyFill="1" applyAlignment="1">
      <alignment horizontal="left" vertical="center" wrapText="1"/>
    </xf>
    <xf numFmtId="0" fontId="33" fillId="0" borderId="0" xfId="0" applyFont="1" applyFill="1" applyBorder="1" applyAlignment="1">
      <alignment vertical="center"/>
    </xf>
    <xf numFmtId="0" fontId="8" fillId="0" borderId="0" xfId="0" applyFont="1" applyFill="1">
      <alignment vertical="center"/>
    </xf>
    <xf numFmtId="0" fontId="1" fillId="15" borderId="0" xfId="0" applyFont="1" applyFill="1">
      <alignment vertical="center"/>
    </xf>
    <xf numFmtId="0" fontId="32" fillId="0" borderId="0" xfId="0" applyFont="1" applyAlignment="1">
      <alignment horizontal="center" vertical="center"/>
    </xf>
    <xf numFmtId="0" fontId="32" fillId="0" borderId="0" xfId="0" applyFont="1">
      <alignment vertical="center"/>
    </xf>
    <xf numFmtId="0" fontId="30" fillId="10" borderId="1" xfId="0" applyFont="1" applyFill="1" applyBorder="1" applyAlignment="1">
      <alignment horizontal="center" vertical="center"/>
    </xf>
    <xf numFmtId="0" fontId="1" fillId="15" borderId="1" xfId="0" applyFont="1" applyFill="1" applyBorder="1">
      <alignment vertical="center"/>
    </xf>
    <xf numFmtId="2" fontId="1" fillId="15" borderId="1" xfId="0" applyNumberFormat="1" applyFont="1" applyFill="1" applyBorder="1" applyAlignment="1">
      <alignment horizontal="center" vertical="center"/>
    </xf>
    <xf numFmtId="2" fontId="32" fillId="15" borderId="1" xfId="0" applyNumberFormat="1" applyFont="1" applyFill="1" applyBorder="1" applyAlignment="1">
      <alignment horizontal="center" vertical="center"/>
    </xf>
    <xf numFmtId="2" fontId="32" fillId="10" borderId="1" xfId="0" applyNumberFormat="1" applyFont="1" applyFill="1" applyBorder="1" applyAlignment="1">
      <alignment horizontal="center" vertical="center"/>
    </xf>
    <xf numFmtId="0" fontId="30" fillId="0" borderId="2" xfId="0" applyFont="1" applyFill="1" applyBorder="1" applyAlignment="1">
      <alignment vertical="center"/>
    </xf>
    <xf numFmtId="2" fontId="32" fillId="12" borderId="1" xfId="0" applyNumberFormat="1" applyFont="1" applyFill="1" applyBorder="1" applyAlignment="1">
      <alignment horizontal="center" vertical="center"/>
    </xf>
    <xf numFmtId="2" fontId="32" fillId="0" borderId="0" xfId="0" applyNumberFormat="1" applyFont="1" applyAlignment="1">
      <alignment horizontal="center" vertical="center"/>
    </xf>
    <xf numFmtId="0" fontId="30" fillId="0" borderId="1" xfId="0" applyFont="1" applyFill="1" applyBorder="1" applyAlignment="1">
      <alignment vertical="center"/>
    </xf>
    <xf numFmtId="0" fontId="5" fillId="15" borderId="1" xfId="0" applyFont="1" applyFill="1" applyBorder="1">
      <alignment vertical="center"/>
    </xf>
    <xf numFmtId="2" fontId="32" fillId="0" borderId="0" xfId="0" applyNumberFormat="1" applyFont="1" applyFill="1" applyAlignment="1">
      <alignment horizontal="center" vertical="center"/>
    </xf>
    <xf numFmtId="177" fontId="1" fillId="15" borderId="0" xfId="0" applyNumberFormat="1" applyFont="1" applyFill="1">
      <alignment vertical="center"/>
    </xf>
    <xf numFmtId="0" fontId="0" fillId="15" borderId="0" xfId="0" applyFill="1">
      <alignment vertical="center"/>
    </xf>
    <xf numFmtId="0" fontId="1" fillId="15" borderId="0" xfId="0" applyFont="1" applyFill="1" applyBorder="1" applyAlignment="1">
      <alignment vertical="center"/>
    </xf>
    <xf numFmtId="0" fontId="1" fillId="15" borderId="0" xfId="0" applyFont="1" applyFill="1" applyAlignment="1">
      <alignment horizontal="center" vertical="center"/>
    </xf>
    <xf numFmtId="0" fontId="2" fillId="15" borderId="0" xfId="0" applyFont="1" applyFill="1" applyBorder="1" applyAlignment="1">
      <alignment vertical="center"/>
    </xf>
    <xf numFmtId="0" fontId="0" fillId="15" borderId="0" xfId="0" applyFill="1" applyAlignment="1">
      <alignment horizontal="right" vertical="center"/>
    </xf>
    <xf numFmtId="0" fontId="22" fillId="15" borderId="1" xfId="0" applyFont="1" applyFill="1" applyBorder="1">
      <alignment vertical="center"/>
    </xf>
    <xf numFmtId="0" fontId="30" fillId="15" borderId="1" xfId="0" applyFont="1" applyFill="1" applyBorder="1">
      <alignment vertical="center"/>
    </xf>
    <xf numFmtId="0" fontId="22" fillId="5" borderId="1" xfId="0" applyFont="1" applyFill="1" applyBorder="1">
      <alignment vertical="center"/>
    </xf>
    <xf numFmtId="0" fontId="22" fillId="0" borderId="1" xfId="0" applyFont="1" applyFill="1" applyBorder="1" applyAlignment="1">
      <alignment vertical="center"/>
    </xf>
    <xf numFmtId="2" fontId="30" fillId="0" borderId="0" xfId="0" applyNumberFormat="1" applyFont="1" applyAlignment="1">
      <alignment horizontal="center" vertical="center"/>
    </xf>
    <xf numFmtId="2" fontId="30" fillId="10" borderId="1" xfId="0" applyNumberFormat="1" applyFont="1" applyFill="1" applyBorder="1" applyAlignment="1">
      <alignment horizontal="center" vertical="center"/>
    </xf>
    <xf numFmtId="0" fontId="1" fillId="0" borderId="21" xfId="0" applyFont="1" applyFill="1" applyBorder="1">
      <alignment vertical="center"/>
    </xf>
    <xf numFmtId="0" fontId="15" fillId="0" borderId="1" xfId="51" applyFont="1" applyFill="1" applyBorder="1" applyAlignment="1">
      <alignment horizontal="center" vertical="center"/>
    </xf>
    <xf numFmtId="2" fontId="1" fillId="0" borderId="7" xfId="0" applyNumberFormat="1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1" fillId="0" borderId="21" xfId="0" applyFont="1" applyBorder="1">
      <alignment vertical="center"/>
    </xf>
    <xf numFmtId="0" fontId="15" fillId="0" borderId="21" xfId="51" applyFont="1" applyFill="1" applyBorder="1" applyAlignment="1">
      <alignment horizontal="center" vertical="center"/>
    </xf>
    <xf numFmtId="0" fontId="30" fillId="0" borderId="21" xfId="0" applyFont="1" applyFill="1" applyBorder="1" applyAlignment="1">
      <alignment vertical="center"/>
    </xf>
    <xf numFmtId="177" fontId="32" fillId="15" borderId="0" xfId="0" applyNumberFormat="1" applyFont="1" applyFill="1">
      <alignment vertical="center"/>
    </xf>
    <xf numFmtId="0" fontId="32" fillId="6" borderId="0" xfId="0" applyFont="1" applyFill="1" applyAlignment="1">
      <alignment horizontal="center" vertical="center"/>
    </xf>
    <xf numFmtId="0" fontId="32" fillId="6" borderId="0" xfId="0" applyFont="1" applyFill="1">
      <alignment vertical="center"/>
    </xf>
    <xf numFmtId="0" fontId="22" fillId="0" borderId="0" xfId="0" applyFont="1" applyAlignment="1">
      <alignment horizontal="left" vertical="center"/>
    </xf>
    <xf numFmtId="0" fontId="30" fillId="6" borderId="1" xfId="0" applyFont="1" applyFill="1" applyBorder="1" applyAlignment="1">
      <alignment horizontal="center" vertical="center"/>
    </xf>
    <xf numFmtId="2" fontId="32" fillId="0" borderId="1" xfId="0" applyNumberFormat="1" applyFont="1" applyFill="1" applyBorder="1" applyAlignment="1">
      <alignment horizontal="center" vertical="center"/>
    </xf>
    <xf numFmtId="2" fontId="32" fillId="6" borderId="1" xfId="0" applyNumberFormat="1" applyFont="1" applyFill="1" applyBorder="1" applyAlignment="1">
      <alignment horizontal="center" vertical="center"/>
    </xf>
    <xf numFmtId="177" fontId="34" fillId="0" borderId="1" xfId="57" applyNumberFormat="1" applyFont="1" applyFill="1" applyBorder="1" applyAlignment="1">
      <alignment horizontal="left" vertical="center" wrapText="1"/>
    </xf>
    <xf numFmtId="177" fontId="34" fillId="0" borderId="1" xfId="57" applyNumberFormat="1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183" fontId="15" fillId="0" borderId="1" xfId="49" applyNumberFormat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30" fillId="0" borderId="2" xfId="0" applyFont="1" applyFill="1" applyBorder="1" applyAlignment="1">
      <alignment vertical="center" wrapText="1"/>
    </xf>
    <xf numFmtId="0" fontId="30" fillId="12" borderId="2" xfId="0" applyFont="1" applyFill="1" applyBorder="1" applyAlignment="1">
      <alignment horizontal="center" vertical="center"/>
    </xf>
    <xf numFmtId="2" fontId="32" fillId="6" borderId="0" xfId="0" applyNumberFormat="1" applyFont="1" applyFill="1" applyAlignment="1">
      <alignment horizontal="center" vertical="center"/>
    </xf>
    <xf numFmtId="0" fontId="15" fillId="0" borderId="1" xfId="57" applyFont="1" applyFill="1" applyBorder="1" applyAlignment="1">
      <alignment horizontal="left" vertical="center"/>
    </xf>
    <xf numFmtId="177" fontId="34" fillId="0" borderId="1" xfId="57" applyNumberFormat="1" applyFont="1" applyFill="1" applyBorder="1" applyAlignment="1">
      <alignment horizontal="center" vertical="center"/>
    </xf>
    <xf numFmtId="177" fontId="34" fillId="0" borderId="1" xfId="57" applyNumberFormat="1" applyFont="1" applyFill="1" applyBorder="1" applyAlignment="1">
      <alignment horizontal="left" vertical="center"/>
    </xf>
    <xf numFmtId="0" fontId="30" fillId="0" borderId="1" xfId="0" applyFont="1" applyFill="1" applyBorder="1" applyAlignment="1">
      <alignment horizontal="center" vertical="center" wrapText="1"/>
    </xf>
    <xf numFmtId="0" fontId="30" fillId="12" borderId="1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0" fontId="35" fillId="0" borderId="1" xfId="0" applyFont="1" applyFill="1" applyBorder="1" applyAlignment="1">
      <alignment horizontal="center" vertical="center"/>
    </xf>
    <xf numFmtId="2" fontId="32" fillId="14" borderId="1" xfId="0" applyNumberFormat="1" applyFont="1" applyFill="1" applyBorder="1" applyAlignment="1">
      <alignment horizontal="center" vertical="center"/>
    </xf>
    <xf numFmtId="0" fontId="1" fillId="16" borderId="0" xfId="0" applyFont="1" applyFill="1">
      <alignment vertical="center"/>
    </xf>
    <xf numFmtId="0" fontId="30" fillId="6" borderId="0" xfId="0" applyFont="1" applyFill="1" applyAlignment="1">
      <alignment horizontal="center" vertical="center"/>
    </xf>
    <xf numFmtId="0" fontId="30" fillId="6" borderId="0" xfId="0" applyFont="1" applyFill="1">
      <alignment vertical="center"/>
    </xf>
    <xf numFmtId="0" fontId="30" fillId="0" borderId="0" xfId="0" applyFont="1">
      <alignment vertical="center"/>
    </xf>
    <xf numFmtId="0" fontId="30" fillId="6" borderId="0" xfId="0" applyFont="1" applyFill="1" applyAlignment="1">
      <alignment horizontal="left" vertical="center"/>
    </xf>
    <xf numFmtId="2" fontId="30" fillId="6" borderId="1" xfId="0" applyNumberFormat="1" applyFont="1" applyFill="1" applyBorder="1" applyAlignment="1">
      <alignment horizontal="center" vertical="center"/>
    </xf>
    <xf numFmtId="0" fontId="1" fillId="0" borderId="2" xfId="0" applyFont="1" applyFill="1" applyBorder="1">
      <alignment vertical="center"/>
    </xf>
    <xf numFmtId="0" fontId="15" fillId="0" borderId="1" xfId="57" applyFont="1" applyFill="1" applyBorder="1" applyAlignment="1">
      <alignment vertical="center"/>
    </xf>
    <xf numFmtId="0" fontId="15" fillId="0" borderId="2" xfId="57" applyFont="1" applyFill="1" applyBorder="1" applyAlignment="1">
      <alignment vertical="center"/>
    </xf>
    <xf numFmtId="0" fontId="1" fillId="16" borderId="1" xfId="0" applyFont="1" applyFill="1" applyBorder="1" applyAlignment="1">
      <alignment horizontal="center" vertical="center"/>
    </xf>
    <xf numFmtId="0" fontId="22" fillId="16" borderId="1" xfId="0" applyFont="1" applyFill="1" applyBorder="1" applyAlignment="1">
      <alignment vertical="center"/>
    </xf>
    <xf numFmtId="2" fontId="1" fillId="16" borderId="1" xfId="0" applyNumberFormat="1" applyFont="1" applyFill="1" applyBorder="1" applyAlignment="1">
      <alignment horizontal="center" vertical="center"/>
    </xf>
    <xf numFmtId="2" fontId="30" fillId="6" borderId="0" xfId="0" applyNumberFormat="1" applyFont="1" applyFill="1" applyAlignment="1">
      <alignment horizontal="center" vertical="center"/>
    </xf>
    <xf numFmtId="0" fontId="1" fillId="0" borderId="4" xfId="0" applyFont="1" applyFill="1" applyBorder="1">
      <alignment vertical="center"/>
    </xf>
    <xf numFmtId="0" fontId="30" fillId="0" borderId="0" xfId="0" applyFont="1" applyAlignment="1">
      <alignment horizontal="left" vertical="center"/>
    </xf>
    <xf numFmtId="2" fontId="30" fillId="0" borderId="1" xfId="0" applyNumberFormat="1" applyFont="1" applyFill="1" applyBorder="1" applyAlignment="1">
      <alignment horizontal="center" vertical="center"/>
    </xf>
    <xf numFmtId="0" fontId="30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76" fontId="1" fillId="0" borderId="0" xfId="0" applyNumberFormat="1" applyFont="1" applyFill="1">
      <alignment vertical="center"/>
    </xf>
    <xf numFmtId="177" fontId="1" fillId="0" borderId="0" xfId="0" applyNumberFormat="1" applyFont="1" applyFill="1">
      <alignment vertical="center"/>
    </xf>
    <xf numFmtId="177" fontId="1" fillId="16" borderId="0" xfId="0" applyNumberFormat="1" applyFont="1" applyFill="1">
      <alignment vertical="center"/>
    </xf>
    <xf numFmtId="0" fontId="2" fillId="16" borderId="0" xfId="0" applyFont="1" applyFill="1" applyAlignment="1">
      <alignment vertical="center"/>
    </xf>
    <xf numFmtId="0" fontId="2" fillId="16" borderId="0" xfId="0" applyFont="1" applyFill="1" applyAlignment="1">
      <alignment horizontal="center" vertical="center"/>
    </xf>
    <xf numFmtId="177" fontId="5" fillId="0" borderId="0" xfId="0" applyNumberFormat="1" applyFont="1" applyFill="1">
      <alignment vertical="center"/>
    </xf>
    <xf numFmtId="0" fontId="22" fillId="0" borderId="1" xfId="0" applyFont="1" applyFill="1" applyBorder="1">
      <alignment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4" xfId="0" applyFont="1" applyFill="1" applyBorder="1">
      <alignment vertical="center"/>
    </xf>
    <xf numFmtId="0" fontId="22" fillId="16" borderId="2" xfId="0" applyFont="1" applyFill="1" applyBorder="1" applyAlignment="1">
      <alignment horizontal="center" vertical="center"/>
    </xf>
    <xf numFmtId="0" fontId="22" fillId="16" borderId="4" xfId="0" applyFont="1" applyFill="1" applyBorder="1" applyAlignment="1">
      <alignment horizontal="center" vertical="center"/>
    </xf>
    <xf numFmtId="177" fontId="1" fillId="0" borderId="0" xfId="0" applyNumberFormat="1" applyFont="1" applyFill="1" applyAlignment="1">
      <alignment horizontal="center" vertical="center"/>
    </xf>
    <xf numFmtId="177" fontId="30" fillId="6" borderId="0" xfId="0" applyNumberFormat="1" applyFont="1" applyFill="1" applyAlignment="1">
      <alignment horizontal="center" vertical="center"/>
    </xf>
    <xf numFmtId="177" fontId="30" fillId="0" borderId="0" xfId="0" applyNumberFormat="1" applyFont="1" applyFill="1" applyAlignment="1">
      <alignment horizontal="center" vertical="center"/>
    </xf>
    <xf numFmtId="0" fontId="30" fillId="0" borderId="0" xfId="0" applyFont="1" applyFill="1">
      <alignment vertical="center"/>
    </xf>
    <xf numFmtId="0" fontId="0" fillId="16" borderId="0" xfId="0" applyFill="1">
      <alignment vertical="center"/>
    </xf>
    <xf numFmtId="0" fontId="1" fillId="16" borderId="0" xfId="0" applyFont="1" applyFill="1" applyAlignment="1">
      <alignment vertical="center"/>
    </xf>
    <xf numFmtId="0" fontId="32" fillId="17" borderId="0" xfId="0" applyFont="1" applyFill="1" applyAlignment="1">
      <alignment horizontal="center" vertical="center"/>
    </xf>
    <xf numFmtId="0" fontId="32" fillId="17" borderId="0" xfId="0" applyFont="1" applyFill="1">
      <alignment vertical="center"/>
    </xf>
    <xf numFmtId="0" fontId="32" fillId="0" borderId="0" xfId="0" applyFont="1" applyFill="1">
      <alignment vertical="center"/>
    </xf>
    <xf numFmtId="0" fontId="30" fillId="17" borderId="1" xfId="0" applyFont="1" applyFill="1" applyBorder="1" applyAlignment="1">
      <alignment horizontal="center" vertical="center"/>
    </xf>
    <xf numFmtId="2" fontId="1" fillId="17" borderId="1" xfId="0" applyNumberFormat="1" applyFont="1" applyFill="1" applyBorder="1" applyAlignment="1">
      <alignment horizontal="center" vertical="center"/>
    </xf>
    <xf numFmtId="0" fontId="22" fillId="16" borderId="1" xfId="0" applyFont="1" applyFill="1" applyBorder="1" applyAlignment="1">
      <alignment vertical="center" wrapText="1"/>
    </xf>
    <xf numFmtId="0" fontId="22" fillId="16" borderId="1" xfId="0" applyFont="1" applyFill="1" applyBorder="1" applyAlignment="1">
      <alignment horizontal="center" vertical="center"/>
    </xf>
    <xf numFmtId="2" fontId="1" fillId="17" borderId="0" xfId="0" applyNumberFormat="1" applyFont="1" applyFill="1" applyAlignment="1">
      <alignment horizontal="center" vertical="center"/>
    </xf>
    <xf numFmtId="0" fontId="1" fillId="17" borderId="0" xfId="0" applyFont="1" applyFill="1" applyAlignment="1">
      <alignment horizontal="center" vertical="center"/>
    </xf>
    <xf numFmtId="2" fontId="22" fillId="17" borderId="0" xfId="0" applyNumberFormat="1" applyFont="1" applyFill="1" applyAlignment="1">
      <alignment horizontal="center" vertical="center"/>
    </xf>
    <xf numFmtId="2" fontId="22" fillId="17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22" fillId="16" borderId="2" xfId="0" applyFont="1" applyFill="1" applyBorder="1" applyAlignment="1">
      <alignment vertical="center" wrapText="1"/>
    </xf>
    <xf numFmtId="0" fontId="22" fillId="17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vertical="center" wrapText="1"/>
    </xf>
    <xf numFmtId="0" fontId="15" fillId="0" borderId="2" xfId="5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1" fillId="17" borderId="0" xfId="0" applyFont="1" applyFill="1">
      <alignment vertical="center"/>
    </xf>
    <xf numFmtId="0" fontId="30" fillId="0" borderId="1" xfId="0" applyFont="1" applyFill="1" applyBorder="1" applyAlignment="1">
      <alignment horizontal="center" vertical="center"/>
    </xf>
    <xf numFmtId="0" fontId="4" fillId="16" borderId="0" xfId="0" applyFont="1" applyFill="1">
      <alignment vertical="center"/>
    </xf>
    <xf numFmtId="0" fontId="4" fillId="0" borderId="0" xfId="0" applyFont="1" applyFill="1" applyAlignment="1">
      <alignment vertical="center"/>
    </xf>
    <xf numFmtId="0" fontId="1" fillId="16" borderId="1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 wrapText="1"/>
    </xf>
    <xf numFmtId="0" fontId="22" fillId="16" borderId="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4" fillId="16" borderId="0" xfId="0" applyFont="1" applyFill="1" applyAlignment="1">
      <alignment vertical="center"/>
    </xf>
    <xf numFmtId="0" fontId="36" fillId="0" borderId="0" xfId="0" applyFont="1" applyFill="1">
      <alignment vertical="center"/>
    </xf>
    <xf numFmtId="0" fontId="36" fillId="0" borderId="0" xfId="0" applyFont="1" applyFill="1" applyAlignment="1">
      <alignment horizontal="center" vertical="center"/>
    </xf>
    <xf numFmtId="0" fontId="24" fillId="5" borderId="0" xfId="0" applyFont="1" applyFill="1" applyAlignment="1">
      <alignment horizontal="center" vertical="center"/>
    </xf>
    <xf numFmtId="9" fontId="24" fillId="0" borderId="0" xfId="0" applyNumberFormat="1" applyFont="1" applyFill="1" applyAlignment="1">
      <alignment horizontal="center" vertical="center"/>
    </xf>
    <xf numFmtId="0" fontId="37" fillId="0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left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NumberFormat="1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36" fillId="0" borderId="5" xfId="0" applyFont="1" applyFill="1" applyBorder="1" applyAlignment="1">
      <alignment horizontal="center" vertical="center" wrapText="1"/>
    </xf>
    <xf numFmtId="0" fontId="36" fillId="0" borderId="1" xfId="55" applyFont="1" applyFill="1" applyBorder="1" applyAlignment="1">
      <alignment horizontal="left" vertical="center" wrapText="1"/>
    </xf>
    <xf numFmtId="0" fontId="36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/>
    </xf>
    <xf numFmtId="0" fontId="25" fillId="0" borderId="1" xfId="0" applyFont="1" applyFill="1" applyBorder="1" applyAlignment="1">
      <alignment horizontal="center" vertical="center" wrapText="1"/>
    </xf>
    <xf numFmtId="2" fontId="25" fillId="0" borderId="1" xfId="0" applyNumberFormat="1" applyFont="1" applyFill="1" applyBorder="1" applyAlignment="1">
      <alignment horizontal="center" vertical="center"/>
    </xf>
    <xf numFmtId="10" fontId="25" fillId="0" borderId="1" xfId="3" applyNumberFormat="1" applyFont="1" applyFill="1" applyBorder="1" applyAlignment="1">
      <alignment horizontal="center" vertical="center"/>
    </xf>
    <xf numFmtId="2" fontId="25" fillId="5" borderId="1" xfId="0" applyNumberFormat="1" applyFont="1" applyFill="1" applyBorder="1" applyAlignment="1">
      <alignment horizontal="center" vertical="center"/>
    </xf>
    <xf numFmtId="0" fontId="36" fillId="0" borderId="6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left" vertical="center"/>
    </xf>
    <xf numFmtId="10" fontId="25" fillId="4" borderId="1" xfId="3" applyNumberFormat="1" applyFont="1" applyFill="1" applyBorder="1" applyAlignment="1">
      <alignment horizontal="center" vertical="center"/>
    </xf>
    <xf numFmtId="0" fontId="36" fillId="0" borderId="7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left" vertical="center" wrapText="1"/>
    </xf>
    <xf numFmtId="2" fontId="36" fillId="0" borderId="1" xfId="0" applyNumberFormat="1" applyFont="1" applyFill="1" applyBorder="1" applyAlignment="1">
      <alignment horizontal="center" vertical="center"/>
    </xf>
    <xf numFmtId="10" fontId="36" fillId="0" borderId="1" xfId="3" applyNumberFormat="1" applyFont="1" applyFill="1" applyBorder="1" applyAlignment="1">
      <alignment horizontal="center" vertical="center"/>
    </xf>
    <xf numFmtId="2" fontId="36" fillId="5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vertical="center" wrapText="1"/>
    </xf>
    <xf numFmtId="1" fontId="36" fillId="0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177" fontId="9" fillId="5" borderId="1" xfId="0" applyNumberFormat="1" applyFont="1" applyFill="1" applyBorder="1" applyAlignment="1">
      <alignment vertical="center"/>
    </xf>
    <xf numFmtId="0" fontId="38" fillId="0" borderId="1" xfId="0" applyFont="1" applyFill="1" applyBorder="1" applyAlignment="1">
      <alignment horizontal="center" vertical="center"/>
    </xf>
    <xf numFmtId="0" fontId="38" fillId="0" borderId="1" xfId="0" applyNumberFormat="1" applyFont="1" applyFill="1" applyBorder="1" applyAlignment="1">
      <alignment horizontal="center" vertical="center"/>
    </xf>
    <xf numFmtId="177" fontId="38" fillId="5" borderId="1" xfId="0" applyNumberFormat="1" applyFont="1" applyFill="1" applyBorder="1" applyAlignment="1">
      <alignment horizontal="center" vertical="center"/>
    </xf>
    <xf numFmtId="180" fontId="24" fillId="0" borderId="1" xfId="0" applyNumberFormat="1" applyFont="1" applyFill="1" applyBorder="1" applyAlignment="1">
      <alignment horizontal="center" vertical="center" wrapText="1"/>
    </xf>
    <xf numFmtId="180" fontId="25" fillId="0" borderId="1" xfId="0" applyNumberFormat="1" applyFont="1" applyFill="1" applyBorder="1" applyAlignment="1">
      <alignment horizontal="center" vertical="center" wrapText="1"/>
    </xf>
    <xf numFmtId="177" fontId="9" fillId="0" borderId="1" xfId="0" applyNumberFormat="1" applyFont="1" applyFill="1" applyBorder="1" applyAlignment="1">
      <alignment vertical="center"/>
    </xf>
    <xf numFmtId="177" fontId="38" fillId="0" borderId="1" xfId="0" applyNumberFormat="1" applyFont="1" applyFill="1" applyBorder="1" applyAlignment="1">
      <alignment horizontal="center" vertical="center"/>
    </xf>
    <xf numFmtId="10" fontId="24" fillId="0" borderId="1" xfId="3" applyNumberFormat="1" applyFont="1" applyFill="1" applyBorder="1" applyAlignment="1">
      <alignment horizontal="center" vertical="center" wrapText="1"/>
    </xf>
    <xf numFmtId="1" fontId="25" fillId="0" borderId="1" xfId="0" applyNumberFormat="1" applyFont="1" applyFill="1" applyBorder="1" applyAlignment="1">
      <alignment horizontal="center" vertical="center"/>
    </xf>
    <xf numFmtId="2" fontId="25" fillId="4" borderId="1" xfId="0" applyNumberFormat="1" applyFont="1" applyFill="1" applyBorder="1" applyAlignment="1">
      <alignment horizontal="center" vertical="center"/>
    </xf>
    <xf numFmtId="0" fontId="9" fillId="0" borderId="4" xfId="0" applyFont="1" applyFill="1" applyBorder="1" applyAlignment="1">
      <alignment vertical="center"/>
    </xf>
    <xf numFmtId="0" fontId="38" fillId="0" borderId="0" xfId="0" applyFont="1" applyFill="1" applyAlignment="1">
      <alignment horizontal="center" vertical="center"/>
    </xf>
    <xf numFmtId="0" fontId="37" fillId="0" borderId="0" xfId="0" applyFont="1" applyFill="1" applyAlignment="1">
      <alignment vertical="center"/>
    </xf>
    <xf numFmtId="177" fontId="25" fillId="0" borderId="1" xfId="0" applyNumberFormat="1" applyFont="1" applyFill="1" applyBorder="1" applyAlignment="1">
      <alignment horizontal="center" vertical="center"/>
    </xf>
    <xf numFmtId="0" fontId="36" fillId="0" borderId="1" xfId="0" applyFont="1" applyFill="1" applyBorder="1">
      <alignment vertical="center"/>
    </xf>
    <xf numFmtId="177" fontId="9" fillId="5" borderId="1" xfId="0" applyNumberFormat="1" applyFont="1" applyFill="1" applyBorder="1" applyAlignment="1">
      <alignment horizontal="center" vertical="center"/>
    </xf>
    <xf numFmtId="178" fontId="25" fillId="0" borderId="1" xfId="0" applyNumberFormat="1" applyFont="1" applyFill="1" applyBorder="1" applyAlignment="1">
      <alignment horizontal="center" vertical="center" wrapText="1"/>
    </xf>
    <xf numFmtId="177" fontId="25" fillId="4" borderId="1" xfId="0" applyNumberFormat="1" applyFont="1" applyFill="1" applyBorder="1" applyAlignment="1">
      <alignment horizontal="center" vertical="center"/>
    </xf>
    <xf numFmtId="1" fontId="25" fillId="4" borderId="1" xfId="0" applyNumberFormat="1" applyFont="1" applyFill="1" applyBorder="1" applyAlignment="1">
      <alignment horizontal="center" vertical="center"/>
    </xf>
    <xf numFmtId="0" fontId="39" fillId="0" borderId="0" xfId="0" applyFont="1" applyFill="1" applyAlignment="1">
      <alignment horizontal="center" vertical="center"/>
    </xf>
    <xf numFmtId="43" fontId="25" fillId="0" borderId="1" xfId="3" applyNumberFormat="1" applyFont="1" applyFill="1" applyBorder="1" applyAlignment="1">
      <alignment horizontal="center" vertical="center"/>
    </xf>
    <xf numFmtId="10" fontId="25" fillId="6" borderId="1" xfId="3" applyNumberFormat="1" applyFont="1" applyFill="1" applyBorder="1" applyAlignment="1">
      <alignment horizontal="center" vertical="center"/>
    </xf>
    <xf numFmtId="9" fontId="15" fillId="0" borderId="0" xfId="0" applyNumberFormat="1" applyFont="1" applyFill="1" applyAlignment="1">
      <alignment horizontal="center" vertical="center"/>
    </xf>
    <xf numFmtId="9" fontId="24" fillId="0" borderId="1" xfId="0" applyNumberFormat="1" applyFont="1" applyFill="1" applyBorder="1" applyAlignment="1">
      <alignment horizontal="center" vertical="center" wrapText="1"/>
    </xf>
    <xf numFmtId="0" fontId="25" fillId="0" borderId="1" xfId="0" applyNumberFormat="1" applyFont="1" applyFill="1" applyBorder="1" applyAlignment="1">
      <alignment horizontal="center" vertical="center"/>
    </xf>
    <xf numFmtId="9" fontId="25" fillId="0" borderId="1" xfId="3" applyNumberFormat="1" applyFont="1" applyFill="1" applyBorder="1" applyAlignment="1">
      <alignment horizontal="center" vertical="center"/>
    </xf>
    <xf numFmtId="9" fontId="36" fillId="0" borderId="1" xfId="3" applyNumberFormat="1" applyFont="1" applyFill="1" applyBorder="1" applyAlignment="1">
      <alignment horizontal="center" vertical="center"/>
    </xf>
    <xf numFmtId="0" fontId="36" fillId="0" borderId="1" xfId="0" applyNumberFormat="1" applyFont="1" applyFill="1" applyBorder="1" applyAlignment="1">
      <alignment horizontal="center" vertical="center"/>
    </xf>
    <xf numFmtId="9" fontId="36" fillId="0" borderId="1" xfId="0" applyNumberFormat="1" applyFont="1" applyFill="1" applyBorder="1" applyAlignment="1">
      <alignment horizontal="center" vertical="center"/>
    </xf>
    <xf numFmtId="9" fontId="38" fillId="0" borderId="0" xfId="0" applyNumberFormat="1" applyFont="1" applyFill="1" applyAlignment="1">
      <alignment horizontal="center" vertical="center"/>
    </xf>
    <xf numFmtId="0" fontId="38" fillId="0" borderId="0" xfId="0" applyNumberFormat="1" applyFont="1" applyFill="1" applyAlignment="1">
      <alignment horizontal="center" vertical="center"/>
    </xf>
    <xf numFmtId="177" fontId="36" fillId="0" borderId="1" xfId="0" applyNumberFormat="1" applyFont="1" applyFill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77" fontId="36" fillId="0" borderId="0" xfId="0" applyNumberFormat="1" applyFont="1" applyFill="1" applyAlignment="1">
      <alignment horizontal="center" vertical="center"/>
    </xf>
    <xf numFmtId="10" fontId="36" fillId="0" borderId="1" xfId="0" applyNumberFormat="1" applyFont="1" applyFill="1" applyBorder="1" applyAlignment="1">
      <alignment horizontal="center" vertical="center"/>
    </xf>
    <xf numFmtId="177" fontId="36" fillId="0" borderId="4" xfId="0" applyNumberFormat="1" applyFont="1" applyFill="1" applyBorder="1" applyAlignment="1">
      <alignment horizontal="center" vertical="center"/>
    </xf>
    <xf numFmtId="0" fontId="36" fillId="0" borderId="0" xfId="0" applyFont="1" applyFill="1" applyAlignment="1">
      <alignment horizontal="left" vertical="center" wrapText="1"/>
    </xf>
    <xf numFmtId="10" fontId="36" fillId="0" borderId="0" xfId="3" applyNumberFormat="1" applyFont="1" applyFill="1" applyAlignment="1">
      <alignment horizontal="center" vertical="center"/>
    </xf>
    <xf numFmtId="0" fontId="36" fillId="0" borderId="0" xfId="0" applyFont="1" applyFill="1" applyAlignment="1">
      <alignment horizontal="left" vertical="center"/>
    </xf>
    <xf numFmtId="0" fontId="36" fillId="0" borderId="0" xfId="3" applyNumberFormat="1" applyFont="1" applyFill="1" applyAlignment="1">
      <alignment horizontal="center" vertical="center"/>
    </xf>
    <xf numFmtId="0" fontId="40" fillId="0" borderId="0" xfId="0" applyFont="1" applyFill="1">
      <alignment vertical="center"/>
    </xf>
    <xf numFmtId="0" fontId="17" fillId="0" borderId="0" xfId="0" applyFont="1" applyFill="1">
      <alignment vertical="center"/>
    </xf>
    <xf numFmtId="0" fontId="18" fillId="0" borderId="0" xfId="0" applyFo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 wrapText="1"/>
    </xf>
    <xf numFmtId="0" fontId="17" fillId="0" borderId="0" xfId="0" applyFont="1" applyFill="1" applyAlignment="1">
      <alignment horizontal="center" vertical="center"/>
    </xf>
    <xf numFmtId="10" fontId="17" fillId="0" borderId="0" xfId="0" applyNumberFormat="1" applyFont="1" applyFill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10" fontId="17" fillId="0" borderId="0" xfId="0" applyNumberFormat="1" applyFont="1" applyFill="1" applyAlignment="1">
      <alignment horizontal="left" vertical="center"/>
    </xf>
    <xf numFmtId="176" fontId="17" fillId="0" borderId="0" xfId="0" applyNumberFormat="1" applyFont="1" applyFill="1" applyAlignment="1">
      <alignment horizontal="center" vertical="center"/>
    </xf>
    <xf numFmtId="10" fontId="40" fillId="0" borderId="0" xfId="0" applyNumberFormat="1" applyFont="1" applyFill="1" applyAlignment="1">
      <alignment horizontal="center" vertical="center"/>
    </xf>
    <xf numFmtId="0" fontId="41" fillId="0" borderId="0" xfId="0" applyFont="1" applyFill="1" applyBorder="1" applyAlignment="1">
      <alignment horizontal="center" vertical="center" wrapText="1"/>
    </xf>
    <xf numFmtId="0" fontId="41" fillId="0" borderId="0" xfId="0" applyFont="1" applyFill="1" applyBorder="1" applyAlignment="1">
      <alignment horizontal="center" vertical="center"/>
    </xf>
    <xf numFmtId="0" fontId="40" fillId="0" borderId="1" xfId="0" applyFont="1" applyFill="1" applyBorder="1" applyAlignment="1">
      <alignment horizontal="center" vertical="center" wrapText="1"/>
    </xf>
    <xf numFmtId="0" fontId="40" fillId="0" borderId="1" xfId="0" applyNumberFormat="1" applyFont="1" applyFill="1" applyBorder="1" applyAlignment="1">
      <alignment horizontal="center" vertical="center" wrapText="1"/>
    </xf>
    <xf numFmtId="0" fontId="40" fillId="0" borderId="1" xfId="0" applyNumberFormat="1" applyFont="1" applyFill="1" applyBorder="1" applyAlignment="1">
      <alignment horizontal="center" vertical="center"/>
    </xf>
    <xf numFmtId="0" fontId="42" fillId="0" borderId="1" xfId="0" applyFont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177" fontId="17" fillId="0" borderId="1" xfId="0" applyNumberFormat="1" applyFont="1" applyFill="1" applyBorder="1" applyAlignment="1">
      <alignment horizontal="center" vertical="center"/>
    </xf>
    <xf numFmtId="179" fontId="17" fillId="0" borderId="1" xfId="3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 wrapText="1"/>
    </xf>
    <xf numFmtId="177" fontId="43" fillId="5" borderId="1" xfId="0" applyNumberFormat="1" applyFont="1" applyFill="1" applyBorder="1" applyAlignment="1">
      <alignment horizontal="center" vertical="center"/>
    </xf>
    <xf numFmtId="177" fontId="17" fillId="5" borderId="1" xfId="0" applyNumberFormat="1" applyFont="1" applyFill="1" applyBorder="1" applyAlignment="1">
      <alignment horizontal="center" vertical="center"/>
    </xf>
    <xf numFmtId="179" fontId="17" fillId="5" borderId="1" xfId="3" applyNumberFormat="1" applyFont="1" applyFill="1" applyBorder="1" applyAlignment="1">
      <alignment horizontal="center" vertical="center"/>
    </xf>
    <xf numFmtId="0" fontId="17" fillId="5" borderId="2" xfId="0" applyFont="1" applyFill="1" applyBorder="1" applyAlignment="1">
      <alignment horizontal="center" vertical="center" wrapText="1"/>
    </xf>
    <xf numFmtId="0" fontId="17" fillId="5" borderId="3" xfId="0" applyFont="1" applyFill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center" vertical="center" wrapText="1"/>
    </xf>
    <xf numFmtId="0" fontId="17" fillId="5" borderId="1" xfId="0" applyNumberFormat="1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0" fillId="0" borderId="0" xfId="0" applyFont="1" applyFill="1" applyAlignment="1">
      <alignment horizontal="left" vertical="center" wrapText="1"/>
    </xf>
    <xf numFmtId="0" fontId="40" fillId="0" borderId="0" xfId="0" applyFont="1" applyFill="1" applyAlignment="1">
      <alignment horizontal="center" vertical="center"/>
    </xf>
    <xf numFmtId="0" fontId="42" fillId="0" borderId="0" xfId="0" applyFont="1" applyAlignment="1">
      <alignment horizontal="center" vertical="center"/>
    </xf>
    <xf numFmtId="10" fontId="42" fillId="0" borderId="0" xfId="0" applyNumberFormat="1" applyFont="1" applyAlignment="1">
      <alignment horizontal="center" vertical="center"/>
    </xf>
    <xf numFmtId="0" fontId="17" fillId="0" borderId="1" xfId="0" applyNumberFormat="1" applyFont="1" applyFill="1" applyBorder="1" applyAlignment="1">
      <alignment horizontal="left" vertical="center" wrapText="1"/>
    </xf>
    <xf numFmtId="0" fontId="17" fillId="5" borderId="1" xfId="0" applyNumberFormat="1" applyFont="1" applyFill="1" applyBorder="1" applyAlignment="1">
      <alignment horizontal="left" vertical="center" wrapText="1"/>
    </xf>
    <xf numFmtId="0" fontId="18" fillId="0" borderId="1" xfId="0" applyFont="1" applyFill="1" applyBorder="1" applyAlignment="1">
      <alignment horizontal="left" vertical="center" wrapText="1"/>
    </xf>
    <xf numFmtId="0" fontId="17" fillId="5" borderId="1" xfId="0" applyNumberFormat="1" applyFont="1" applyFill="1" applyBorder="1" applyAlignment="1">
      <alignment horizontal="left" vertical="center"/>
    </xf>
    <xf numFmtId="0" fontId="17" fillId="0" borderId="1" xfId="0" applyNumberFormat="1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40" fillId="0" borderId="0" xfId="0" applyFont="1" applyFill="1" applyAlignment="1">
      <alignment horizontal="left" vertical="center"/>
    </xf>
    <xf numFmtId="10" fontId="40" fillId="0" borderId="0" xfId="0" applyNumberFormat="1" applyFont="1" applyFill="1" applyAlignment="1">
      <alignment horizontal="left" vertical="center"/>
    </xf>
    <xf numFmtId="176" fontId="40" fillId="0" borderId="0" xfId="0" applyNumberFormat="1" applyFont="1" applyFill="1" applyAlignment="1">
      <alignment horizontal="center" vertical="center"/>
    </xf>
    <xf numFmtId="0" fontId="40" fillId="0" borderId="0" xfId="0" applyNumberFormat="1" applyFont="1" applyFill="1" applyAlignment="1">
      <alignment horizontal="center" vertical="center"/>
    </xf>
    <xf numFmtId="0" fontId="44" fillId="0" borderId="0" xfId="0" applyFont="1" applyFill="1" applyAlignment="1">
      <alignment horizontal="left" vertical="center"/>
    </xf>
    <xf numFmtId="10" fontId="17" fillId="0" borderId="0" xfId="0" applyNumberFormat="1" applyFont="1" applyFill="1">
      <alignment vertical="center"/>
    </xf>
    <xf numFmtId="0" fontId="41" fillId="0" borderId="0" xfId="0" applyFont="1" applyFill="1" applyAlignment="1">
      <alignment vertical="center"/>
    </xf>
    <xf numFmtId="0" fontId="41" fillId="0" borderId="0" xfId="0" applyFont="1" applyFill="1" applyAlignment="1">
      <alignment horizontal="center" vertical="center"/>
    </xf>
    <xf numFmtId="0" fontId="41" fillId="0" borderId="0" xfId="0" applyNumberFormat="1" applyFont="1" applyFill="1" applyAlignment="1">
      <alignment horizontal="center" vertical="center"/>
    </xf>
    <xf numFmtId="0" fontId="40" fillId="0" borderId="1" xfId="0" applyFont="1" applyFill="1" applyBorder="1" applyAlignment="1">
      <alignment horizontal="center" vertical="center"/>
    </xf>
    <xf numFmtId="10" fontId="40" fillId="0" borderId="1" xfId="0" applyNumberFormat="1" applyFont="1" applyFill="1" applyBorder="1" applyAlignment="1">
      <alignment horizontal="center" vertical="center"/>
    </xf>
    <xf numFmtId="1" fontId="17" fillId="0" borderId="1" xfId="0" applyNumberFormat="1" applyFont="1" applyFill="1" applyBorder="1" applyAlignment="1">
      <alignment horizontal="center" vertical="center"/>
    </xf>
    <xf numFmtId="10" fontId="17" fillId="5" borderId="1" xfId="3" applyNumberFormat="1" applyFont="1" applyFill="1" applyBorder="1" applyAlignment="1">
      <alignment horizontal="center" vertical="center"/>
    </xf>
    <xf numFmtId="10" fontId="17" fillId="0" borderId="1" xfId="3" applyNumberFormat="1" applyFont="1" applyFill="1" applyBorder="1" applyAlignment="1">
      <alignment horizontal="center" vertical="center"/>
    </xf>
    <xf numFmtId="0" fontId="44" fillId="0" borderId="22" xfId="0" applyFont="1" applyFill="1" applyBorder="1" applyAlignment="1">
      <alignment horizontal="left" vertical="center" wrapText="1"/>
    </xf>
    <xf numFmtId="0" fontId="44" fillId="0" borderId="0" xfId="0" applyFont="1" applyFill="1" applyAlignment="1">
      <alignment horizontal="left" vertical="center" wrapText="1"/>
    </xf>
    <xf numFmtId="0" fontId="40" fillId="0" borderId="5" xfId="0" applyNumberFormat="1" applyFont="1" applyFill="1" applyBorder="1" applyAlignment="1">
      <alignment horizontal="center" vertical="center"/>
    </xf>
    <xf numFmtId="0" fontId="40" fillId="0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0" fillId="0" borderId="7" xfId="0" applyNumberFormat="1" applyFont="1" applyFill="1" applyBorder="1" applyAlignment="1">
      <alignment horizontal="center" vertical="center"/>
    </xf>
    <xf numFmtId="177" fontId="17" fillId="18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 wrapText="1"/>
    </xf>
    <xf numFmtId="0" fontId="45" fillId="0" borderId="1" xfId="0" applyNumberFormat="1" applyFont="1" applyFill="1" applyBorder="1" applyAlignment="1">
      <alignment horizontal="left" vertical="center" wrapText="1"/>
    </xf>
    <xf numFmtId="0" fontId="45" fillId="0" borderId="1" xfId="0" applyNumberFormat="1" applyFont="1" applyFill="1" applyBorder="1" applyAlignment="1">
      <alignment horizontal="center" vertical="center" wrapText="1"/>
    </xf>
    <xf numFmtId="0" fontId="44" fillId="0" borderId="0" xfId="0" applyFont="1" applyFill="1" applyAlignment="1">
      <alignment horizontal="center" vertical="center"/>
    </xf>
    <xf numFmtId="10" fontId="44" fillId="0" borderId="0" xfId="0" applyNumberFormat="1" applyFont="1" applyFill="1" applyAlignment="1">
      <alignment horizontal="left" vertical="center"/>
    </xf>
    <xf numFmtId="176" fontId="44" fillId="0" borderId="0" xfId="0" applyNumberFormat="1" applyFont="1" applyFill="1" applyAlignment="1">
      <alignment horizontal="left" vertical="center"/>
    </xf>
    <xf numFmtId="10" fontId="46" fillId="0" borderId="0" xfId="0" applyNumberFormat="1" applyFont="1" applyFill="1" applyAlignment="1">
      <alignment horizontal="left" vertical="center"/>
    </xf>
    <xf numFmtId="0" fontId="44" fillId="0" borderId="0" xfId="0" applyNumberFormat="1" applyFont="1" applyFill="1" applyAlignment="1">
      <alignment horizontal="left" vertical="center"/>
    </xf>
    <xf numFmtId="10" fontId="17" fillId="0" borderId="1" xfId="0" applyNumberFormat="1" applyFont="1" applyFill="1" applyBorder="1" applyAlignment="1">
      <alignment horizontal="center" vertical="center"/>
    </xf>
    <xf numFmtId="0" fontId="17" fillId="0" borderId="1" xfId="0" applyNumberFormat="1" applyFont="1" applyFill="1" applyBorder="1" applyAlignment="1" applyProtection="1">
      <alignment horizontal="center" vertical="center"/>
    </xf>
    <xf numFmtId="0" fontId="44" fillId="5" borderId="22" xfId="0" applyFont="1" applyFill="1" applyBorder="1" applyAlignment="1">
      <alignment horizontal="left" vertical="center" wrapText="1"/>
    </xf>
    <xf numFmtId="0" fontId="44" fillId="5" borderId="0" xfId="0" applyFont="1" applyFill="1" applyAlignment="1">
      <alignment horizontal="left" vertical="center" wrapText="1"/>
    </xf>
    <xf numFmtId="0" fontId="45" fillId="2" borderId="1" xfId="0" applyNumberFormat="1" applyFont="1" applyFill="1" applyBorder="1" applyAlignment="1">
      <alignment horizontal="center" vertical="center" wrapText="1"/>
    </xf>
    <xf numFmtId="177" fontId="47" fillId="0" borderId="0" xfId="53" applyNumberFormat="1" applyFont="1">
      <alignment vertical="center"/>
    </xf>
    <xf numFmtId="177" fontId="48" fillId="0" borderId="0" xfId="53" applyNumberFormat="1" applyFont="1" applyAlignment="1">
      <alignment horizontal="center" vertical="center"/>
    </xf>
    <xf numFmtId="177" fontId="49" fillId="0" borderId="0" xfId="53" applyNumberFormat="1" applyFont="1">
      <alignment vertical="center"/>
    </xf>
    <xf numFmtId="177" fontId="50" fillId="0" borderId="0" xfId="53" applyNumberFormat="1" applyFont="1">
      <alignment vertical="center"/>
    </xf>
    <xf numFmtId="177" fontId="48" fillId="0" borderId="0" xfId="53" applyNumberFormat="1" applyFont="1" applyFill="1">
      <alignment vertical="center"/>
    </xf>
    <xf numFmtId="0" fontId="48" fillId="0" borderId="0" xfId="53" applyNumberFormat="1" applyFont="1">
      <alignment vertical="center"/>
    </xf>
    <xf numFmtId="177" fontId="48" fillId="0" borderId="0" xfId="53" applyNumberFormat="1" applyFont="1">
      <alignment vertical="center"/>
    </xf>
    <xf numFmtId="177" fontId="48" fillId="0" borderId="0" xfId="53" applyNumberFormat="1" applyFont="1" applyAlignment="1">
      <alignment horizontal="left" vertical="center"/>
    </xf>
    <xf numFmtId="177" fontId="48" fillId="0" borderId="0" xfId="53" applyNumberFormat="1" applyFont="1" applyAlignment="1">
      <alignment vertical="center" wrapText="1"/>
    </xf>
    <xf numFmtId="0" fontId="51" fillId="0" borderId="0" xfId="53" applyNumberFormat="1" applyFont="1" applyFill="1" applyAlignment="1">
      <alignment horizontal="center" vertical="center"/>
    </xf>
    <xf numFmtId="0" fontId="52" fillId="0" borderId="0" xfId="53" applyNumberFormat="1" applyFont="1" applyFill="1" applyAlignment="1">
      <alignment horizontal="center" vertical="center"/>
    </xf>
    <xf numFmtId="0" fontId="39" fillId="0" borderId="0" xfId="53" applyNumberFormat="1" applyFont="1" applyFill="1" applyAlignment="1">
      <alignment horizontal="center" vertical="center"/>
    </xf>
    <xf numFmtId="0" fontId="53" fillId="0" borderId="0" xfId="53" applyNumberFormat="1" applyFont="1" applyFill="1" applyAlignment="1">
      <alignment horizontal="center" vertical="center"/>
    </xf>
    <xf numFmtId="177" fontId="53" fillId="0" borderId="0" xfId="53" applyNumberFormat="1" applyFont="1" applyFill="1" applyAlignment="1">
      <alignment horizontal="center" vertical="center"/>
    </xf>
    <xf numFmtId="0" fontId="40" fillId="0" borderId="1" xfId="53" applyNumberFormat="1" applyFont="1" applyBorder="1" applyAlignment="1">
      <alignment horizontal="center" vertical="center"/>
    </xf>
    <xf numFmtId="177" fontId="40" fillId="0" borderId="1" xfId="53" applyNumberFormat="1" applyFont="1" applyBorder="1" applyAlignment="1">
      <alignment horizontal="center" vertical="center"/>
    </xf>
    <xf numFmtId="177" fontId="40" fillId="0" borderId="2" xfId="53" applyNumberFormat="1" applyFont="1" applyBorder="1" applyAlignment="1">
      <alignment horizontal="center" vertical="center"/>
    </xf>
    <xf numFmtId="177" fontId="47" fillId="0" borderId="1" xfId="53" applyNumberFormat="1" applyFont="1" applyBorder="1" applyAlignment="1">
      <alignment horizontal="center" vertical="center"/>
    </xf>
    <xf numFmtId="177" fontId="26" fillId="0" borderId="1" xfId="53" applyNumberFormat="1" applyFont="1" applyBorder="1" applyAlignment="1">
      <alignment horizontal="center" vertical="center" wrapText="1"/>
    </xf>
    <xf numFmtId="0" fontId="24" fillId="0" borderId="1" xfId="53" applyNumberFormat="1" applyFont="1" applyBorder="1" applyAlignment="1">
      <alignment horizontal="center" vertical="center"/>
    </xf>
    <xf numFmtId="177" fontId="24" fillId="0" borderId="5" xfId="53" applyNumberFormat="1" applyFont="1" applyBorder="1" applyAlignment="1">
      <alignment horizontal="center" vertical="center" wrapText="1"/>
    </xf>
    <xf numFmtId="0" fontId="24" fillId="0" borderId="2" xfId="0" applyFont="1" applyFill="1" applyBorder="1" applyAlignment="1">
      <alignment horizontal="center" vertical="center"/>
    </xf>
    <xf numFmtId="177" fontId="48" fillId="0" borderId="1" xfId="53" applyNumberFormat="1" applyFont="1" applyBorder="1" applyAlignment="1">
      <alignment horizontal="center" vertical="center"/>
    </xf>
    <xf numFmtId="177" fontId="24" fillId="0" borderId="1" xfId="53" applyNumberFormat="1" applyFont="1" applyBorder="1" applyAlignment="1">
      <alignment horizontal="center" vertical="center"/>
    </xf>
    <xf numFmtId="177" fontId="24" fillId="0" borderId="6" xfId="53" applyNumberFormat="1" applyFont="1" applyBorder="1" applyAlignment="1">
      <alignment horizontal="center" vertical="center" wrapText="1"/>
    </xf>
    <xf numFmtId="177" fontId="24" fillId="0" borderId="7" xfId="53" applyNumberFormat="1" applyFont="1" applyBorder="1" applyAlignment="1">
      <alignment horizontal="center" vertical="center" wrapText="1"/>
    </xf>
    <xf numFmtId="177" fontId="24" fillId="0" borderId="1" xfId="53" applyNumberFormat="1" applyFont="1" applyBorder="1" applyAlignment="1">
      <alignment horizontal="center" vertical="center" wrapText="1"/>
    </xf>
    <xf numFmtId="0" fontId="24" fillId="0" borderId="2" xfId="53" applyNumberFormat="1" applyFont="1" applyBorder="1" applyAlignment="1">
      <alignment horizontal="center" vertical="center"/>
    </xf>
    <xf numFmtId="177" fontId="24" fillId="0" borderId="3" xfId="53" applyNumberFormat="1" applyFont="1" applyBorder="1" applyAlignment="1">
      <alignment horizontal="center" vertical="center"/>
    </xf>
    <xf numFmtId="177" fontId="24" fillId="0" borderId="4" xfId="53" applyNumberFormat="1" applyFont="1" applyBorder="1" applyAlignment="1">
      <alignment horizontal="center" vertical="center"/>
    </xf>
    <xf numFmtId="177" fontId="49" fillId="0" borderId="1" xfId="53" applyNumberFormat="1" applyFont="1" applyBorder="1" applyAlignment="1">
      <alignment horizontal="center" vertical="center"/>
    </xf>
    <xf numFmtId="0" fontId="24" fillId="0" borderId="0" xfId="53" applyNumberFormat="1" applyFont="1" applyBorder="1">
      <alignment vertical="center"/>
    </xf>
    <xf numFmtId="177" fontId="24" fillId="0" borderId="0" xfId="53" applyNumberFormat="1" applyFont="1" applyBorder="1" applyAlignment="1">
      <alignment horizontal="center" vertical="center"/>
    </xf>
    <xf numFmtId="177" fontId="24" fillId="0" borderId="0" xfId="53" applyNumberFormat="1" applyFont="1" applyFill="1" applyBorder="1" applyAlignment="1">
      <alignment horizontal="center" vertical="center"/>
    </xf>
    <xf numFmtId="0" fontId="38" fillId="0" borderId="0" xfId="53" applyNumberFormat="1" applyFont="1">
      <alignment vertical="center"/>
    </xf>
    <xf numFmtId="177" fontId="54" fillId="0" borderId="0" xfId="53" applyNumberFormat="1" applyFont="1">
      <alignment vertical="center"/>
    </xf>
    <xf numFmtId="177" fontId="54" fillId="0" borderId="0" xfId="53" applyNumberFormat="1" applyFont="1" applyAlignment="1">
      <alignment horizontal="center" vertical="center"/>
    </xf>
    <xf numFmtId="177" fontId="40" fillId="0" borderId="1" xfId="53" applyNumberFormat="1" applyFont="1" applyBorder="1" applyAlignment="1">
      <alignment horizontal="center" vertical="center" wrapText="1"/>
    </xf>
    <xf numFmtId="177" fontId="48" fillId="0" borderId="1" xfId="53" applyNumberFormat="1" applyFont="1" applyBorder="1">
      <alignment vertical="center"/>
    </xf>
    <xf numFmtId="0" fontId="9" fillId="0" borderId="0" xfId="53" applyNumberFormat="1" applyFont="1">
      <alignment vertical="center"/>
    </xf>
    <xf numFmtId="0" fontId="46" fillId="0" borderId="1" xfId="53" applyNumberFormat="1" applyFont="1" applyBorder="1" applyAlignment="1">
      <alignment horizontal="center" vertical="center"/>
    </xf>
    <xf numFmtId="177" fontId="46" fillId="0" borderId="1" xfId="53" applyNumberFormat="1" applyFont="1" applyBorder="1" applyAlignment="1">
      <alignment horizontal="center" vertical="center"/>
    </xf>
    <xf numFmtId="177" fontId="46" fillId="0" borderId="1" xfId="53" applyNumberFormat="1" applyFont="1" applyBorder="1" applyAlignment="1">
      <alignment horizontal="center" vertical="center" wrapText="1"/>
    </xf>
    <xf numFmtId="0" fontId="44" fillId="0" borderId="1" xfId="53" applyNumberFormat="1" applyFont="1" applyBorder="1" applyAlignment="1">
      <alignment horizontal="center" vertical="center"/>
    </xf>
    <xf numFmtId="177" fontId="44" fillId="0" borderId="5" xfId="53" applyNumberFormat="1" applyFont="1" applyBorder="1" applyAlignment="1">
      <alignment horizontal="center" vertical="center" wrapText="1"/>
    </xf>
    <xf numFmtId="0" fontId="44" fillId="0" borderId="1" xfId="0" applyFont="1" applyFill="1" applyBorder="1" applyAlignment="1">
      <alignment horizontal="center" vertical="center"/>
    </xf>
    <xf numFmtId="177" fontId="50" fillId="0" borderId="1" xfId="53" applyNumberFormat="1" applyFont="1" applyBorder="1" applyAlignment="1">
      <alignment horizontal="center" vertical="center"/>
    </xf>
    <xf numFmtId="177" fontId="50" fillId="0" borderId="1" xfId="53" applyNumberFormat="1" applyFont="1" applyBorder="1">
      <alignment vertical="center"/>
    </xf>
    <xf numFmtId="177" fontId="44" fillId="0" borderId="6" xfId="53" applyNumberFormat="1" applyFont="1" applyBorder="1" applyAlignment="1">
      <alignment horizontal="center" vertical="center" wrapText="1"/>
    </xf>
    <xf numFmtId="177" fontId="44" fillId="0" borderId="7" xfId="53" applyNumberFormat="1" applyFont="1" applyBorder="1" applyAlignment="1">
      <alignment horizontal="center" vertical="center" wrapText="1"/>
    </xf>
    <xf numFmtId="177" fontId="44" fillId="0" borderId="1" xfId="53" applyNumberFormat="1" applyFont="1" applyBorder="1" applyAlignment="1">
      <alignment horizontal="center" vertical="center" wrapText="1"/>
    </xf>
    <xf numFmtId="0" fontId="50" fillId="0" borderId="1" xfId="53" applyNumberFormat="1" applyFont="1" applyBorder="1" applyAlignment="1">
      <alignment horizontal="center" vertical="center"/>
    </xf>
    <xf numFmtId="0" fontId="55" fillId="0" borderId="0" xfId="53" applyNumberFormat="1" applyFont="1">
      <alignment vertical="center"/>
    </xf>
    <xf numFmtId="177" fontId="44" fillId="0" borderId="1" xfId="53" applyNumberFormat="1" applyFont="1" applyBorder="1" applyAlignment="1">
      <alignment horizontal="center" vertical="center"/>
    </xf>
    <xf numFmtId="177" fontId="44" fillId="0" borderId="1" xfId="53" applyNumberFormat="1" applyFont="1" applyFill="1" applyBorder="1" applyAlignment="1">
      <alignment horizontal="center" vertical="center"/>
    </xf>
    <xf numFmtId="0" fontId="52" fillId="0" borderId="0" xfId="53" applyNumberFormat="1" applyFont="1" applyFill="1" applyAlignment="1">
      <alignment horizontal="left" vertical="center"/>
    </xf>
    <xf numFmtId="0" fontId="39" fillId="0" borderId="0" xfId="53" applyNumberFormat="1" applyFont="1" applyFill="1" applyAlignment="1">
      <alignment horizontal="left" vertical="center"/>
    </xf>
    <xf numFmtId="177" fontId="53" fillId="0" borderId="0" xfId="53" applyNumberFormat="1" applyFont="1" applyFill="1" applyAlignment="1">
      <alignment horizontal="left" vertical="center"/>
    </xf>
    <xf numFmtId="177" fontId="40" fillId="0" borderId="1" xfId="53" applyNumberFormat="1" applyFont="1" applyBorder="1" applyAlignment="1">
      <alignment horizontal="left" vertical="center"/>
    </xf>
    <xf numFmtId="177" fontId="24" fillId="5" borderId="1" xfId="53" applyNumberFormat="1" applyFont="1" applyFill="1" applyBorder="1" applyAlignment="1">
      <alignment horizontal="center" vertical="center"/>
    </xf>
    <xf numFmtId="177" fontId="24" fillId="0" borderId="1" xfId="53" applyNumberFormat="1" applyFont="1" applyBorder="1" applyAlignment="1">
      <alignment horizontal="left" vertical="center"/>
    </xf>
    <xf numFmtId="177" fontId="17" fillId="0" borderId="1" xfId="53" applyNumberFormat="1" applyFont="1" applyBorder="1" applyAlignment="1">
      <alignment horizontal="center" vertical="center" wrapText="1"/>
    </xf>
    <xf numFmtId="177" fontId="18" fillId="0" borderId="1" xfId="53" applyNumberFormat="1" applyFont="1" applyBorder="1" applyAlignment="1">
      <alignment horizontal="center" vertical="center" wrapText="1"/>
    </xf>
    <xf numFmtId="177" fontId="49" fillId="0" borderId="1" xfId="53" applyNumberFormat="1" applyFont="1" applyBorder="1" applyAlignment="1">
      <alignment horizontal="left" vertical="center"/>
    </xf>
    <xf numFmtId="177" fontId="48" fillId="0" borderId="0" xfId="53" applyNumberFormat="1" applyFont="1" applyAlignment="1">
      <alignment horizontal="center" vertical="center" wrapText="1"/>
    </xf>
    <xf numFmtId="177" fontId="24" fillId="0" borderId="0" xfId="53" applyNumberFormat="1" applyFont="1" applyFill="1" applyBorder="1" applyAlignment="1">
      <alignment horizontal="left" vertical="center"/>
    </xf>
    <xf numFmtId="177" fontId="54" fillId="0" borderId="0" xfId="53" applyNumberFormat="1" applyFont="1" applyAlignment="1">
      <alignment horizontal="left" vertical="center"/>
    </xf>
    <xf numFmtId="0" fontId="51" fillId="0" borderId="0" xfId="53" applyNumberFormat="1" applyFont="1" applyFill="1" applyAlignment="1">
      <alignment horizontal="left" vertical="center"/>
    </xf>
    <xf numFmtId="177" fontId="47" fillId="0" borderId="0" xfId="53" applyNumberFormat="1" applyFont="1" applyAlignment="1">
      <alignment horizontal="left" vertical="center"/>
    </xf>
    <xf numFmtId="177" fontId="47" fillId="0" borderId="0" xfId="53" applyNumberFormat="1" applyFont="1" applyAlignment="1">
      <alignment horizontal="center" vertical="center"/>
    </xf>
    <xf numFmtId="177" fontId="50" fillId="0" borderId="1" xfId="53" applyNumberFormat="1" applyFont="1" applyBorder="1" applyAlignment="1">
      <alignment vertical="center" wrapText="1"/>
    </xf>
    <xf numFmtId="177" fontId="50" fillId="0" borderId="1" xfId="53" applyNumberFormat="1" applyFont="1" applyBorder="1" applyAlignment="1">
      <alignment horizontal="left" vertical="center" wrapText="1"/>
    </xf>
    <xf numFmtId="177" fontId="50" fillId="0" borderId="1" xfId="53" applyNumberFormat="1" applyFont="1" applyFill="1" applyBorder="1" applyAlignment="1">
      <alignment vertical="center" wrapText="1"/>
    </xf>
    <xf numFmtId="177" fontId="50" fillId="5" borderId="1" xfId="53" applyNumberFormat="1" applyFont="1" applyFill="1" applyBorder="1" applyAlignment="1">
      <alignment horizontal="center" vertical="center"/>
    </xf>
    <xf numFmtId="0" fontId="44" fillId="5" borderId="1" xfId="53" applyNumberFormat="1" applyFont="1" applyFill="1" applyBorder="1" applyAlignment="1">
      <alignment horizontal="center" vertical="center"/>
    </xf>
    <xf numFmtId="177" fontId="44" fillId="5" borderId="5" xfId="53" applyNumberFormat="1" applyFont="1" applyFill="1" applyBorder="1" applyAlignment="1">
      <alignment horizontal="center" vertical="center" wrapText="1"/>
    </xf>
    <xf numFmtId="177" fontId="44" fillId="5" borderId="7" xfId="53" applyNumberFormat="1" applyFont="1" applyFill="1" applyBorder="1" applyAlignment="1">
      <alignment horizontal="center" vertical="center" wrapText="1"/>
    </xf>
    <xf numFmtId="0" fontId="46" fillId="0" borderId="1" xfId="53" applyNumberFormat="1" applyFont="1" applyFill="1" applyBorder="1" applyAlignment="1">
      <alignment horizontal="center" vertical="center"/>
    </xf>
    <xf numFmtId="177" fontId="46" fillId="0" borderId="1" xfId="53" applyNumberFormat="1" applyFont="1" applyFill="1" applyBorder="1" applyAlignment="1">
      <alignment horizontal="center" vertical="center"/>
    </xf>
    <xf numFmtId="177" fontId="46" fillId="0" borderId="1" xfId="53" applyNumberFormat="1" applyFont="1" applyFill="1" applyBorder="1" applyAlignment="1">
      <alignment horizontal="center" vertical="center" wrapText="1"/>
    </xf>
    <xf numFmtId="0" fontId="44" fillId="0" borderId="1" xfId="53" applyNumberFormat="1" applyFont="1" applyFill="1" applyBorder="1" applyAlignment="1">
      <alignment horizontal="center" vertical="center"/>
    </xf>
    <xf numFmtId="177" fontId="44" fillId="0" borderId="5" xfId="53" applyNumberFormat="1" applyFont="1" applyFill="1" applyBorder="1" applyAlignment="1">
      <alignment horizontal="center" vertical="center" wrapText="1"/>
    </xf>
    <xf numFmtId="177" fontId="50" fillId="0" borderId="1" xfId="53" applyNumberFormat="1" applyFont="1" applyFill="1" applyBorder="1" applyAlignment="1">
      <alignment horizontal="center" vertical="center"/>
    </xf>
    <xf numFmtId="178" fontId="50" fillId="0" borderId="1" xfId="53" applyNumberFormat="1" applyFont="1" applyFill="1" applyBorder="1" applyAlignment="1">
      <alignment horizontal="center" vertical="center"/>
    </xf>
    <xf numFmtId="177" fontId="44" fillId="0" borderId="6" xfId="53" applyNumberFormat="1" applyFont="1" applyFill="1" applyBorder="1" applyAlignment="1">
      <alignment horizontal="center" vertical="center" wrapText="1"/>
    </xf>
    <xf numFmtId="177" fontId="44" fillId="0" borderId="7" xfId="53" applyNumberFormat="1" applyFont="1" applyFill="1" applyBorder="1" applyAlignment="1">
      <alignment horizontal="center" vertical="center" wrapText="1"/>
    </xf>
    <xf numFmtId="177" fontId="44" fillId="0" borderId="1" xfId="53" applyNumberFormat="1" applyFont="1" applyFill="1" applyBorder="1" applyAlignment="1">
      <alignment horizontal="center" vertical="center" wrapText="1"/>
    </xf>
    <xf numFmtId="177" fontId="50" fillId="19" borderId="1" xfId="53" applyNumberFormat="1" applyFont="1" applyFill="1" applyBorder="1" applyAlignment="1">
      <alignment horizontal="center" vertical="center"/>
    </xf>
    <xf numFmtId="0" fontId="50" fillId="0" borderId="1" xfId="53" applyNumberFormat="1" applyFont="1" applyFill="1" applyBorder="1" applyAlignment="1">
      <alignment horizontal="center" vertical="center"/>
    </xf>
    <xf numFmtId="0" fontId="55" fillId="0" borderId="0" xfId="53" applyNumberFormat="1" applyFont="1" applyFill="1">
      <alignment vertical="center"/>
    </xf>
    <xf numFmtId="177" fontId="48" fillId="0" borderId="0" xfId="53" applyNumberFormat="1" applyFont="1" applyFill="1" applyAlignment="1">
      <alignment horizontal="center" vertical="center"/>
    </xf>
    <xf numFmtId="0" fontId="48" fillId="0" borderId="0" xfId="53" applyNumberFormat="1" applyFont="1" applyFill="1">
      <alignment vertical="center"/>
    </xf>
    <xf numFmtId="177" fontId="50" fillId="6" borderId="1" xfId="53" applyNumberFormat="1" applyFont="1" applyFill="1" applyBorder="1" applyAlignment="1">
      <alignment horizontal="center" vertical="center"/>
    </xf>
    <xf numFmtId="177" fontId="50" fillId="5" borderId="1" xfId="53" applyNumberFormat="1" applyFont="1" applyFill="1" applyBorder="1" applyAlignment="1">
      <alignment vertical="center" wrapText="1"/>
    </xf>
    <xf numFmtId="177" fontId="50" fillId="5" borderId="1" xfId="53" applyNumberFormat="1" applyFont="1" applyFill="1" applyBorder="1">
      <alignment vertical="center"/>
    </xf>
    <xf numFmtId="177" fontId="56" fillId="0" borderId="0" xfId="53" applyNumberFormat="1" applyFont="1" applyAlignment="1">
      <alignment horizontal="left" vertical="center"/>
    </xf>
    <xf numFmtId="177" fontId="50" fillId="0" borderId="1" xfId="53" applyNumberFormat="1" applyFont="1" applyFill="1" applyBorder="1">
      <alignment vertical="center"/>
    </xf>
    <xf numFmtId="177" fontId="50" fillId="19" borderId="1" xfId="53" applyNumberFormat="1" applyFont="1" applyFill="1" applyBorder="1" applyAlignment="1">
      <alignment vertical="center" wrapText="1"/>
    </xf>
    <xf numFmtId="177" fontId="44" fillId="0" borderId="1" xfId="53" applyNumberFormat="1" applyFont="1" applyBorder="1" applyAlignment="1">
      <alignment horizontal="left" vertical="center"/>
    </xf>
    <xf numFmtId="177" fontId="50" fillId="0" borderId="1" xfId="53" applyNumberFormat="1" applyFont="1" applyBorder="1" applyAlignment="1">
      <alignment horizontal="left" vertical="center"/>
    </xf>
    <xf numFmtId="0" fontId="51" fillId="0" borderId="0" xfId="53" applyNumberFormat="1" applyFont="1" applyFill="1" applyAlignment="1">
      <alignment vertical="center"/>
    </xf>
    <xf numFmtId="0" fontId="39" fillId="0" borderId="0" xfId="53" applyNumberFormat="1" applyFont="1" applyFill="1" applyAlignment="1">
      <alignment vertical="center"/>
    </xf>
    <xf numFmtId="177" fontId="50" fillId="5" borderId="1" xfId="53" applyNumberFormat="1" applyFont="1" applyFill="1" applyBorder="1" applyAlignment="1">
      <alignment horizontal="left" vertical="center" wrapText="1"/>
    </xf>
    <xf numFmtId="0" fontId="57" fillId="0" borderId="0" xfId="53" applyNumberFormat="1" applyFont="1" applyFill="1" applyAlignment="1">
      <alignment horizontal="center" vertical="center"/>
    </xf>
    <xf numFmtId="0" fontId="40" fillId="0" borderId="0" xfId="53" applyNumberFormat="1" applyFont="1" applyFill="1" applyAlignment="1">
      <alignment horizontal="center" vertical="center"/>
    </xf>
    <xf numFmtId="177" fontId="40" fillId="0" borderId="0" xfId="53" applyNumberFormat="1" applyFont="1" applyFill="1" applyAlignment="1">
      <alignment horizontal="center" vertical="center"/>
    </xf>
    <xf numFmtId="177" fontId="42" fillId="0" borderId="1" xfId="53" applyNumberFormat="1" applyFont="1" applyBorder="1" applyAlignment="1">
      <alignment horizontal="center" vertical="center"/>
    </xf>
    <xf numFmtId="0" fontId="17" fillId="0" borderId="1" xfId="53" applyNumberFormat="1" applyFont="1" applyBorder="1" applyAlignment="1">
      <alignment horizontal="center" vertical="center"/>
    </xf>
    <xf numFmtId="177" fontId="18" fillId="0" borderId="1" xfId="53" applyNumberFormat="1" applyFont="1" applyBorder="1" applyAlignment="1">
      <alignment horizontal="center" vertical="center"/>
    </xf>
    <xf numFmtId="177" fontId="17" fillId="0" borderId="1" xfId="53" applyNumberFormat="1" applyFont="1" applyBorder="1" applyAlignment="1">
      <alignment horizontal="center" vertical="center"/>
    </xf>
    <xf numFmtId="177" fontId="17" fillId="5" borderId="1" xfId="53" applyNumberFormat="1" applyFont="1" applyFill="1" applyBorder="1" applyAlignment="1">
      <alignment horizontal="center" vertical="center"/>
    </xf>
    <xf numFmtId="177" fontId="17" fillId="0" borderId="1" xfId="53" applyNumberFormat="1" applyFont="1" applyFill="1" applyBorder="1" applyAlignment="1">
      <alignment horizontal="center" vertical="center"/>
    </xf>
    <xf numFmtId="0" fontId="58" fillId="0" borderId="0" xfId="53" applyNumberFormat="1" applyFont="1">
      <alignment vertical="center"/>
    </xf>
    <xf numFmtId="177" fontId="59" fillId="0" borderId="0" xfId="53" applyNumberFormat="1" applyFont="1">
      <alignment vertical="center"/>
    </xf>
    <xf numFmtId="177" fontId="59" fillId="0" borderId="0" xfId="53" applyNumberFormat="1" applyFont="1" applyAlignment="1">
      <alignment horizontal="center" vertical="center"/>
    </xf>
    <xf numFmtId="0" fontId="50" fillId="0" borderId="0" xfId="53" applyNumberFormat="1" applyFont="1">
      <alignment vertical="center"/>
    </xf>
    <xf numFmtId="177" fontId="50" fillId="0" borderId="0" xfId="53" applyNumberFormat="1" applyFont="1" applyAlignment="1">
      <alignment horizontal="center" vertical="center"/>
    </xf>
    <xf numFmtId="177" fontId="50" fillId="0" borderId="1" xfId="53" applyNumberFormat="1" applyFont="1" applyFill="1" applyBorder="1" applyAlignment="1">
      <alignment horizontal="left" vertical="center" wrapText="1"/>
    </xf>
    <xf numFmtId="0" fontId="57" fillId="0" borderId="0" xfId="53" applyNumberFormat="1" applyFont="1" applyFill="1" applyAlignment="1">
      <alignment horizontal="left" vertical="center"/>
    </xf>
    <xf numFmtId="0" fontId="26" fillId="0" borderId="0" xfId="53" applyNumberFormat="1" applyFont="1" applyFill="1" applyAlignment="1">
      <alignment vertical="center"/>
    </xf>
    <xf numFmtId="177" fontId="49" fillId="0" borderId="0" xfId="53" applyNumberFormat="1" applyFont="1" applyAlignment="1">
      <alignment vertical="center" wrapText="1"/>
    </xf>
    <xf numFmtId="177" fontId="40" fillId="0" borderId="0" xfId="53" applyNumberFormat="1" applyFont="1" applyFill="1" applyAlignment="1">
      <alignment vertical="center"/>
    </xf>
    <xf numFmtId="177" fontId="18" fillId="0" borderId="0" xfId="53" applyNumberFormat="1" applyFont="1" applyAlignment="1">
      <alignment horizontal="left" vertical="center"/>
    </xf>
    <xf numFmtId="177" fontId="26" fillId="0" borderId="0" xfId="53" applyNumberFormat="1" applyFont="1" applyFill="1" applyAlignment="1">
      <alignment vertical="center"/>
    </xf>
    <xf numFmtId="177" fontId="60" fillId="0" borderId="0" xfId="53" applyNumberFormat="1" applyFont="1">
      <alignment vertical="center"/>
    </xf>
    <xf numFmtId="177" fontId="17" fillId="5" borderId="1" xfId="53" applyNumberFormat="1" applyFont="1" applyFill="1" applyBorder="1" applyAlignment="1">
      <alignment horizontal="left" vertical="center" wrapText="1"/>
    </xf>
    <xf numFmtId="177" fontId="17" fillId="0" borderId="1" xfId="53" applyNumberFormat="1" applyFont="1" applyBorder="1" applyAlignment="1">
      <alignment horizontal="left" vertical="center" wrapText="1"/>
    </xf>
    <xf numFmtId="177" fontId="18" fillId="0" borderId="1" xfId="53" applyNumberFormat="1" applyFont="1" applyBorder="1" applyAlignment="1">
      <alignment horizontal="left" vertical="center" wrapText="1"/>
    </xf>
    <xf numFmtId="177" fontId="59" fillId="0" borderId="0" xfId="53" applyNumberFormat="1" applyFont="1" applyAlignment="1">
      <alignment horizontal="left" vertical="center"/>
    </xf>
    <xf numFmtId="177" fontId="50" fillId="0" borderId="0" xfId="53" applyNumberFormat="1" applyFont="1" applyAlignment="1">
      <alignment vertical="center" wrapText="1"/>
    </xf>
    <xf numFmtId="177" fontId="50" fillId="0" borderId="0" xfId="53" applyNumberFormat="1" applyFont="1" applyAlignment="1">
      <alignment horizontal="left" vertical="center"/>
    </xf>
    <xf numFmtId="177" fontId="18" fillId="0" borderId="1" xfId="53" applyNumberFormat="1" applyFont="1" applyFill="1" applyBorder="1" applyAlignment="1">
      <alignment horizontal="center" vertical="center"/>
    </xf>
    <xf numFmtId="177" fontId="17" fillId="6" borderId="1" xfId="53" applyNumberFormat="1" applyFont="1" applyFill="1" applyBorder="1" applyAlignment="1">
      <alignment horizontal="center" vertical="center"/>
    </xf>
    <xf numFmtId="0" fontId="50" fillId="0" borderId="0" xfId="53" applyNumberFormat="1" applyFont="1" applyBorder="1">
      <alignment vertical="center"/>
    </xf>
    <xf numFmtId="177" fontId="50" fillId="0" borderId="0" xfId="53" applyNumberFormat="1" applyFont="1" applyBorder="1">
      <alignment vertical="center"/>
    </xf>
    <xf numFmtId="177" fontId="50" fillId="0" borderId="0" xfId="53" applyNumberFormat="1" applyFont="1" applyBorder="1" applyAlignment="1">
      <alignment horizontal="center" vertical="center"/>
    </xf>
    <xf numFmtId="0" fontId="44" fillId="0" borderId="0" xfId="0" applyFont="1" applyFill="1" applyBorder="1" applyAlignment="1">
      <alignment horizontal="left" vertical="center" wrapText="1"/>
    </xf>
    <xf numFmtId="0" fontId="44" fillId="0" borderId="0" xfId="0" applyFont="1" applyFill="1" applyBorder="1" applyAlignment="1">
      <alignment horizontal="left" vertical="center"/>
    </xf>
    <xf numFmtId="0" fontId="48" fillId="0" borderId="0" xfId="53" applyNumberFormat="1" applyFont="1" applyBorder="1">
      <alignment vertical="center"/>
    </xf>
    <xf numFmtId="177" fontId="48" fillId="0" borderId="0" xfId="53" applyNumberFormat="1" applyFont="1" applyBorder="1">
      <alignment vertical="center"/>
    </xf>
    <xf numFmtId="177" fontId="48" fillId="0" borderId="0" xfId="53" applyNumberFormat="1" applyFont="1" applyBorder="1" applyAlignment="1">
      <alignment horizontal="center" vertical="center"/>
    </xf>
    <xf numFmtId="177" fontId="17" fillId="0" borderId="5" xfId="53" applyNumberFormat="1" applyFont="1" applyBorder="1" applyAlignment="1">
      <alignment horizontal="center" vertical="center" wrapText="1"/>
    </xf>
    <xf numFmtId="177" fontId="17" fillId="0" borderId="6" xfId="53" applyNumberFormat="1" applyFont="1" applyBorder="1" applyAlignment="1">
      <alignment horizontal="center" vertical="center" wrapText="1"/>
    </xf>
    <xf numFmtId="177" fontId="17" fillId="0" borderId="7" xfId="53" applyNumberFormat="1" applyFont="1" applyBorder="1" applyAlignment="1">
      <alignment horizontal="center" vertical="center" wrapText="1"/>
    </xf>
    <xf numFmtId="0" fontId="57" fillId="0" borderId="0" xfId="53" applyNumberFormat="1" applyFont="1" applyFill="1" applyAlignment="1">
      <alignment vertical="center"/>
    </xf>
    <xf numFmtId="177" fontId="17" fillId="0" borderId="1" xfId="53" applyNumberFormat="1" applyFont="1" applyFill="1" applyBorder="1" applyAlignment="1">
      <alignment horizontal="left" vertical="center" wrapText="1"/>
    </xf>
    <xf numFmtId="0" fontId="44" fillId="0" borderId="0" xfId="0" applyFont="1" applyFill="1" applyBorder="1" applyAlignment="1">
      <alignment vertical="center" wrapText="1"/>
    </xf>
    <xf numFmtId="0" fontId="44" fillId="0" borderId="0" xfId="0" applyFont="1" applyFill="1" applyAlignment="1">
      <alignment vertical="center"/>
    </xf>
    <xf numFmtId="177" fontId="17" fillId="4" borderId="1" xfId="53" applyNumberFormat="1" applyFont="1" applyFill="1" applyBorder="1" applyAlignment="1">
      <alignment horizontal="center" vertical="center"/>
    </xf>
    <xf numFmtId="0" fontId="17" fillId="0" borderId="1" xfId="53" applyNumberFormat="1" applyFont="1" applyFill="1" applyBorder="1" applyAlignment="1">
      <alignment horizontal="center" vertical="center"/>
    </xf>
    <xf numFmtId="177" fontId="17" fillId="0" borderId="1" xfId="53" applyNumberFormat="1" applyFont="1" applyFill="1" applyBorder="1" applyAlignment="1">
      <alignment horizontal="center" vertical="center" wrapText="1"/>
    </xf>
    <xf numFmtId="177" fontId="43" fillId="0" borderId="1" xfId="53" applyNumberFormat="1" applyFont="1" applyFill="1" applyBorder="1" applyAlignment="1">
      <alignment horizontal="left" vertical="center" wrapText="1"/>
    </xf>
    <xf numFmtId="177" fontId="18" fillId="0" borderId="1" xfId="53" applyNumberFormat="1" applyFont="1" applyFill="1" applyBorder="1" applyAlignment="1">
      <alignment horizontal="left" vertical="center" wrapText="1"/>
    </xf>
    <xf numFmtId="177" fontId="48" fillId="0" borderId="0" xfId="53" applyNumberFormat="1" applyFont="1" applyFill="1" applyAlignment="1">
      <alignment horizontal="left" vertical="center"/>
    </xf>
    <xf numFmtId="177" fontId="48" fillId="0" borderId="0" xfId="53" applyNumberFormat="1" applyFont="1" applyFill="1" applyAlignment="1">
      <alignment vertical="center" wrapText="1"/>
    </xf>
    <xf numFmtId="10" fontId="17" fillId="0" borderId="1" xfId="3" applyNumberFormat="1" applyFont="1" applyFill="1" applyBorder="1" applyAlignment="1" applyProtection="1">
      <alignment horizontal="left" vertical="center" wrapText="1"/>
    </xf>
    <xf numFmtId="177" fontId="56" fillId="0" borderId="0" xfId="53" applyNumberFormat="1" applyFont="1">
      <alignment vertical="center"/>
    </xf>
    <xf numFmtId="177" fontId="56" fillId="0" borderId="1" xfId="53" applyNumberFormat="1" applyFont="1" applyBorder="1" applyAlignment="1">
      <alignment vertical="center" wrapText="1"/>
    </xf>
    <xf numFmtId="0" fontId="56" fillId="0" borderId="1" xfId="53" applyNumberFormat="1" applyFont="1" applyBorder="1" applyAlignment="1">
      <alignment horizontal="center" vertical="center"/>
    </xf>
    <xf numFmtId="0" fontId="48" fillId="0" borderId="1" xfId="53" applyNumberFormat="1" applyFont="1" applyBorder="1" applyAlignment="1">
      <alignment horizontal="center" vertical="center"/>
    </xf>
    <xf numFmtId="177" fontId="24" fillId="0" borderId="1" xfId="53" applyNumberFormat="1" applyFont="1" applyBorder="1" applyAlignment="1">
      <alignment vertical="center" wrapText="1"/>
    </xf>
    <xf numFmtId="177" fontId="17" fillId="0" borderId="1" xfId="53" applyNumberFormat="1" applyFont="1" applyBorder="1" applyAlignment="1">
      <alignment vertical="center" wrapText="1"/>
    </xf>
    <xf numFmtId="177" fontId="18" fillId="0" borderId="1" xfId="53" applyNumberFormat="1" applyFont="1" applyBorder="1" applyAlignment="1">
      <alignment vertical="center" wrapText="1"/>
    </xf>
    <xf numFmtId="0" fontId="1" fillId="0" borderId="1" xfId="0" applyFont="1" applyFill="1" applyBorder="1" applyAlignment="1" quotePrefix="1">
      <alignment vertical="center" wrapText="1"/>
    </xf>
    <xf numFmtId="0" fontId="15" fillId="0" borderId="1" xfId="57" applyFont="1" applyFill="1" applyBorder="1" applyAlignment="1" quotePrefix="1">
      <alignment horizontal="left" vertical="center"/>
    </xf>
    <xf numFmtId="177" fontId="34" fillId="0" borderId="1" xfId="57" applyNumberFormat="1" applyFont="1" applyBorder="1" applyAlignment="1" quotePrefix="1">
      <alignment horizontal="center" vertical="center"/>
    </xf>
    <xf numFmtId="177" fontId="34" fillId="0" borderId="1" xfId="57" applyNumberFormat="1" applyFont="1" applyFill="1" applyBorder="1" applyAlignment="1" quotePrefix="1">
      <alignment horizontal="center" vertical="center"/>
    </xf>
  </cellXfs>
  <cellStyles count="58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百分比 2" xfId="49"/>
    <cellStyle name="百分比 3" xfId="50"/>
    <cellStyle name="常规 2" xfId="51"/>
    <cellStyle name="常规 2 2" xfId="52"/>
    <cellStyle name="常规 3" xfId="53"/>
    <cellStyle name="常规 3 3" xfId="54"/>
    <cellStyle name="常规 5" xfId="55"/>
    <cellStyle name="常规 6" xfId="56"/>
    <cellStyle name="常规 66" xfId="57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E8E8E7"/>
      <color rgb="00F4F9F5"/>
      <color rgb="00B247F5"/>
      <color rgb="00EE2F10"/>
      <color rgb="0092D050"/>
      <color rgb="00FFFFFF"/>
      <color rgb="00FFFF00"/>
      <color rgb="00000000"/>
      <color rgb="00FF0000"/>
      <color rgb="00FFC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9" Type="http://schemas.openxmlformats.org/officeDocument/2006/relationships/styles" Target="styles.xml"/><Relationship Id="rId38" Type="http://schemas.openxmlformats.org/officeDocument/2006/relationships/sharedStrings" Target="sharedStrings.xml"/><Relationship Id="rId37" Type="http://schemas.openxmlformats.org/officeDocument/2006/relationships/theme" Target="theme/theme1.xml"/><Relationship Id="rId36" Type="http://schemas.openxmlformats.org/officeDocument/2006/relationships/externalLink" Target="externalLinks/externalLink17.xml"/><Relationship Id="rId35" Type="http://schemas.openxmlformats.org/officeDocument/2006/relationships/externalLink" Target="externalLinks/externalLink16.xml"/><Relationship Id="rId34" Type="http://schemas.openxmlformats.org/officeDocument/2006/relationships/externalLink" Target="externalLinks/externalLink15.xml"/><Relationship Id="rId33" Type="http://schemas.openxmlformats.org/officeDocument/2006/relationships/externalLink" Target="externalLinks/externalLink14.xml"/><Relationship Id="rId32" Type="http://schemas.openxmlformats.org/officeDocument/2006/relationships/externalLink" Target="externalLinks/externalLink13.xml"/><Relationship Id="rId31" Type="http://schemas.openxmlformats.org/officeDocument/2006/relationships/externalLink" Target="externalLinks/externalLink12.xml"/><Relationship Id="rId30" Type="http://schemas.openxmlformats.org/officeDocument/2006/relationships/externalLink" Target="externalLinks/externalLink11.xml"/><Relationship Id="rId3" Type="http://schemas.openxmlformats.org/officeDocument/2006/relationships/worksheet" Target="worksheets/sheet3.xml"/><Relationship Id="rId29" Type="http://schemas.openxmlformats.org/officeDocument/2006/relationships/externalLink" Target="externalLinks/externalLink10.xml"/><Relationship Id="rId28" Type="http://schemas.openxmlformats.org/officeDocument/2006/relationships/externalLink" Target="externalLinks/externalLink9.xml"/><Relationship Id="rId27" Type="http://schemas.openxmlformats.org/officeDocument/2006/relationships/externalLink" Target="externalLinks/externalLink8.xml"/><Relationship Id="rId26" Type="http://schemas.openxmlformats.org/officeDocument/2006/relationships/externalLink" Target="externalLinks/externalLink7.xml"/><Relationship Id="rId25" Type="http://schemas.openxmlformats.org/officeDocument/2006/relationships/externalLink" Target="externalLinks/externalLink6.xml"/><Relationship Id="rId24" Type="http://schemas.openxmlformats.org/officeDocument/2006/relationships/externalLink" Target="externalLinks/externalLink5.xml"/><Relationship Id="rId23" Type="http://schemas.openxmlformats.org/officeDocument/2006/relationships/externalLink" Target="externalLinks/externalLink4.xml"/><Relationship Id="rId22" Type="http://schemas.openxmlformats.org/officeDocument/2006/relationships/externalLink" Target="externalLinks/externalLink3.xml"/><Relationship Id="rId21" Type="http://schemas.openxmlformats.org/officeDocument/2006/relationships/externalLink" Target="externalLinks/externalLink2.xml"/><Relationship Id="rId20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12</xdr:col>
      <xdr:colOff>0</xdr:colOff>
      <xdr:row>3</xdr:row>
      <xdr:rowOff>0</xdr:rowOff>
    </xdr:from>
    <xdr:to>
      <xdr:col>15</xdr:col>
      <xdr:colOff>828675</xdr:colOff>
      <xdr:row>7</xdr:row>
      <xdr:rowOff>66675</xdr:rowOff>
    </xdr:to>
    <xdr:pic>
      <xdr:nvPicPr>
        <xdr:cNvPr id="99329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2569825" y="1244600"/>
          <a:ext cx="3902710" cy="26346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14</xdr:col>
      <xdr:colOff>0</xdr:colOff>
      <xdr:row>3</xdr:row>
      <xdr:rowOff>0</xdr:rowOff>
    </xdr:from>
    <xdr:to>
      <xdr:col>17</xdr:col>
      <xdr:colOff>898525</xdr:colOff>
      <xdr:row>175</xdr:row>
      <xdr:rowOff>475615</xdr:rowOff>
    </xdr:to>
    <xdr:pic>
      <xdr:nvPicPr>
        <xdr:cNvPr id="2" name="Picture 1"/>
        <xdr:cNvPicPr>
          <a:picLocks noChangeAspect="1" noChangeArrowheads="1"/>
        </xdr:cNvPicPr>
      </xdr:nvPicPr>
      <xdr:blipFill>
        <a:blip r:embed="rId1"/>
        <a:srcRect/>
        <a:stretch>
          <a:fillRect/>
        </a:stretch>
      </xdr:blipFill>
      <xdr:spPr>
        <a:xfrm>
          <a:off x="17377410" y="0"/>
          <a:ext cx="3902710" cy="263461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6350</xdr:colOff>
      <xdr:row>0</xdr:row>
      <xdr:rowOff>6350</xdr:rowOff>
    </xdr:from>
    <xdr:to>
      <xdr:col>12</xdr:col>
      <xdr:colOff>401955</xdr:colOff>
      <xdr:row>10</xdr:row>
      <xdr:rowOff>82550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0" y="6350"/>
          <a:ext cx="7710805" cy="18542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12700</xdr:colOff>
      <xdr:row>11</xdr:row>
      <xdr:rowOff>101600</xdr:rowOff>
    </xdr:from>
    <xdr:to>
      <xdr:col>13</xdr:col>
      <xdr:colOff>102235</xdr:colOff>
      <xdr:row>28</xdr:row>
      <xdr:rowOff>67310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2700" y="2057400"/>
          <a:ext cx="8014335" cy="298831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0</xdr:col>
      <xdr:colOff>635</xdr:colOff>
      <xdr:row>26</xdr:row>
      <xdr:rowOff>120650</xdr:rowOff>
    </xdr:from>
    <xdr:to>
      <xdr:col>11</xdr:col>
      <xdr:colOff>133985</xdr:colOff>
      <xdr:row>42</xdr:row>
      <xdr:rowOff>127000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35" y="4743450"/>
          <a:ext cx="6838950" cy="2851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013;&#20896;&#34892;&#25919;&#20154;&#20107;\&#20154;&#20107;\&#34218;&#37228;&#32489;&#25928;\2023&#24180;&#24037;&#36164;\12&#26376;&#24037;&#36164;\&#19987;&#21334;&#24215;\&#25910;&#27454;&#36864;&#27454;&#21333;_2024010616533502_170906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4&#24180;1-7&#26376;&#22238;&#27454;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4&#24180;1-8&#26376;&#22238;&#27454;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5.1&#26376;-3&#26376;&#22238;&#27454;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5.1&#26376;-4&#26376;&#22238;&#27454;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5.1&#26376;-5&#26376;&#22238;&#27454;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17108\Desktop\2025.1&#26376;-6&#26376;&#22238;&#27454;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5.1&#26376;-7&#26376;&#22238;&#27454;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17108\Downloads\2025.1&#26376;-8&#26376;&#22238;&#274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013;&#20896;&#34892;&#25919;&#20154;&#20107;\&#20154;&#20107;\&#34218;&#37228;&#32489;&#25928;\2023&#24180;&#24037;&#36164;\12&#26376;&#24037;&#36164;\2023&#24180;1-12&#26376;&#22238;&#27454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013;&#20896;&#34892;&#25919;&#20154;&#20107;\&#20154;&#20107;\&#34218;&#37228;&#32489;&#25928;\2023&#24180;&#24037;&#36164;\6&#26376;&#24037;&#36164;\2023&#24180;1-6&#26376;&#22238;&#27454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013;&#20896;&#34892;&#25919;&#20154;&#20107;\&#20154;&#20107;\&#34218;&#37228;&#32489;&#25928;\2023&#24180;&#24037;&#36164;\5&#26376;&#24037;&#36164;\2023&#24180;1-5&#26376;&#22238;&#27454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013;&#20896;&#34892;&#25919;&#20154;&#20107;\&#20154;&#20107;\&#34218;&#37228;&#32489;&#25928;\2023&#24180;&#24037;&#36164;\1&#26376;&#24037;&#36164;\&#19987;&#21334;&#24215;\&#25910;&#27454;&#36864;&#27454;&#21333;_20231.1-1.3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013;&#20896;&#34892;&#25919;&#20154;&#20107;\&#20154;&#20107;\&#34218;&#37228;&#32489;&#25928;\2023&#24180;&#24037;&#36164;\2&#26376;&#24037;&#36164;\&#19987;&#21334;&#24215;\&#25910;&#27454;&#36864;&#27454;&#21333;_2023031110555494_170906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013;&#20896;&#34892;&#25919;&#20154;&#20107;\&#20154;&#20107;\&#34218;&#37228;&#32489;&#25928;\2023&#24180;&#24037;&#36164;\3&#26376;&#24037;&#36164;\2023&#24180;1-3&#26376;&#22238;&#27454;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\&#20013;&#20896;&#34892;&#25919;&#20154;&#20107;\&#20154;&#20107;\&#32771;&#26680;\2023&#24180;&#19994;&#21153;&#32771;&#26680;\2023&#24180;&#20013;&#20896;&#21508;&#22320;&#21306;&#26376;&#24230;&#20219;&#21153;&#20998;&#35299;&#34920;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4&#24180;1-6&#26376;&#22238;&#27454;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2"/>
      <sheetName val="Sheet1"/>
    </sheetNames>
    <sheetDataSet>
      <sheetData sheetId="0">
        <row r="3">
          <cell r="A3" t="str">
            <v>收款单位</v>
          </cell>
          <cell r="B3" t="str">
            <v>求和项:表头-应退金额</v>
          </cell>
        </row>
        <row r="4">
          <cell r="A4" t="str">
            <v>（新）滨江第六空间专卖店</v>
          </cell>
          <cell r="B4">
            <v>39870</v>
          </cell>
        </row>
        <row r="5">
          <cell r="A5" t="str">
            <v>（新）古墩新时代专卖店</v>
          </cell>
          <cell r="B5">
            <v>45084</v>
          </cell>
        </row>
        <row r="6">
          <cell r="A6" t="str">
            <v>（新）金华八一南街专卖店</v>
          </cell>
          <cell r="B6">
            <v>4250</v>
          </cell>
        </row>
        <row r="7">
          <cell r="A7" t="str">
            <v>杭州恒大建材超级旗舰店</v>
          </cell>
          <cell r="B7">
            <v>14948</v>
          </cell>
        </row>
        <row r="8">
          <cell r="A8" t="str">
            <v>杭州金蝶零售</v>
          </cell>
          <cell r="B8">
            <v>3706</v>
          </cell>
        </row>
        <row r="9">
          <cell r="A9" t="str">
            <v>杭州临平江南家居专卖店</v>
          </cell>
          <cell r="B9">
            <v>40000</v>
          </cell>
        </row>
        <row r="10">
          <cell r="A10" t="str">
            <v>金华龙腾建材市场专卖店</v>
          </cell>
          <cell r="B10">
            <v>11941</v>
          </cell>
        </row>
        <row r="11">
          <cell r="A11" t="str">
            <v>萧山世纪龙建材专卖店</v>
          </cell>
          <cell r="B11">
            <v>4400</v>
          </cell>
        </row>
        <row r="12">
          <cell r="A12" t="str">
            <v>(空白)</v>
          </cell>
        </row>
        <row r="13">
          <cell r="A13" t="str">
            <v>总计</v>
          </cell>
          <cell r="B13">
            <v>164199</v>
          </cell>
        </row>
      </sheetData>
      <sheetData sheetId="1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汇总1"/>
      <sheetName val="杭州"/>
      <sheetName val="湖州"/>
      <sheetName val="嘉兴"/>
      <sheetName val="金衢"/>
      <sheetName val="绍兴"/>
      <sheetName val="台州"/>
      <sheetName val="壁挂炉电商"/>
      <sheetName val="温丽"/>
      <sheetName val="Sheet2"/>
      <sheetName val="汇总"/>
      <sheetName val="Sheet4"/>
      <sheetName val="23年人口数据"/>
      <sheetName val="Sheet1"/>
    </sheetNames>
    <sheetDataSet>
      <sheetData sheetId="0"/>
      <sheetData sheetId="1"/>
      <sheetData sheetId="2"/>
      <sheetData sheetId="3"/>
      <sheetData sheetId="4">
        <row r="3">
          <cell r="C3" t="str">
            <v>义乌市荣昌家电维修部</v>
          </cell>
          <cell r="D3" t="str">
            <v>加盟</v>
          </cell>
          <cell r="E3" t="str">
            <v>义乌市</v>
          </cell>
          <cell r="F3" t="str">
            <v>义乌市</v>
          </cell>
          <cell r="G3" t="str">
            <v>张韵威</v>
          </cell>
          <cell r="H3">
            <v>72000</v>
          </cell>
          <cell r="I3">
            <v>365000</v>
          </cell>
          <cell r="J3">
            <v>4.06944444444444</v>
          </cell>
          <cell r="K3">
            <v>100500</v>
          </cell>
          <cell r="L3">
            <v>30000</v>
          </cell>
          <cell r="M3">
            <v>-0.701492537313433</v>
          </cell>
          <cell r="N3">
            <v>131000</v>
          </cell>
          <cell r="O3">
            <v>148000</v>
          </cell>
          <cell r="P3">
            <v>0.129770992366412</v>
          </cell>
          <cell r="Q3">
            <v>303500</v>
          </cell>
          <cell r="R3">
            <v>543000</v>
          </cell>
          <cell r="S3">
            <v>0.789126853377265</v>
          </cell>
          <cell r="T3">
            <v>110500</v>
          </cell>
          <cell r="U3">
            <v>115000</v>
          </cell>
          <cell r="V3">
            <v>0.0407239819004526</v>
          </cell>
          <cell r="W3">
            <v>414000</v>
          </cell>
          <cell r="X3">
            <v>658000</v>
          </cell>
          <cell r="Y3">
            <v>0.589371980676328</v>
          </cell>
          <cell r="Z3">
            <v>161500</v>
          </cell>
          <cell r="AA3">
            <v>171600</v>
          </cell>
          <cell r="AB3">
            <v>0.0625386996904025</v>
          </cell>
          <cell r="AC3">
            <v>575500</v>
          </cell>
          <cell r="AD3">
            <v>829600</v>
          </cell>
          <cell r="AE3">
            <v>0.441529105125977</v>
          </cell>
          <cell r="AF3">
            <v>219754.66</v>
          </cell>
          <cell r="AG3">
            <v>165430.3</v>
          </cell>
          <cell r="AH3">
            <v>-0.247204587151872</v>
          </cell>
          <cell r="AI3">
            <v>795254.66</v>
          </cell>
          <cell r="AJ3">
            <v>995030.3</v>
          </cell>
          <cell r="AK3">
            <v>0.251209643964865</v>
          </cell>
          <cell r="AL3">
            <v>151500</v>
          </cell>
          <cell r="AM3">
            <v>130000</v>
          </cell>
        </row>
        <row r="4">
          <cell r="C4" t="str">
            <v>义乌市爱坤节能设备有限公司</v>
          </cell>
          <cell r="D4" t="str">
            <v>经销</v>
          </cell>
          <cell r="E4" t="str">
            <v>义乌市</v>
          </cell>
          <cell r="F4" t="str">
            <v>义乌市</v>
          </cell>
          <cell r="G4" t="str">
            <v>张韵威</v>
          </cell>
        </row>
        <row r="4">
          <cell r="J4" t="e">
            <v>#DIV/0!</v>
          </cell>
          <cell r="K4">
            <v>9518</v>
          </cell>
        </row>
        <row r="4">
          <cell r="M4">
            <v>-1</v>
          </cell>
        </row>
        <row r="4">
          <cell r="P4" t="e">
            <v>#DIV/0!</v>
          </cell>
          <cell r="Q4">
            <v>9518</v>
          </cell>
          <cell r="R4">
            <v>0</v>
          </cell>
          <cell r="S4">
            <v>-1</v>
          </cell>
        </row>
        <row r="4">
          <cell r="V4" t="e">
            <v>#DIV/0!</v>
          </cell>
          <cell r="W4">
            <v>9518</v>
          </cell>
          <cell r="X4">
            <v>0</v>
          </cell>
          <cell r="Y4">
            <v>-1</v>
          </cell>
        </row>
        <row r="4">
          <cell r="AB4" t="e">
            <v>#DIV/0!</v>
          </cell>
          <cell r="AC4">
            <v>9518</v>
          </cell>
          <cell r="AD4">
            <v>0</v>
          </cell>
          <cell r="AE4">
            <v>-1</v>
          </cell>
        </row>
        <row r="4">
          <cell r="AH4" t="e">
            <v>#DIV/0!</v>
          </cell>
          <cell r="AI4">
            <v>9518</v>
          </cell>
          <cell r="AJ4">
            <v>0</v>
          </cell>
          <cell r="AK4">
            <v>-1</v>
          </cell>
        </row>
        <row r="5">
          <cell r="C5" t="str">
            <v>浙江普农家电有限公司</v>
          </cell>
          <cell r="D5" t="str">
            <v>TOP渠道</v>
          </cell>
          <cell r="E5" t="str">
            <v>衢州市区</v>
          </cell>
          <cell r="F5" t="str">
            <v>衢州市</v>
          </cell>
          <cell r="G5" t="str">
            <v>江雯</v>
          </cell>
          <cell r="H5">
            <v>171360</v>
          </cell>
          <cell r="I5">
            <v>203140.4</v>
          </cell>
          <cell r="J5">
            <v>0.185459850606909</v>
          </cell>
          <cell r="K5">
            <v>70132</v>
          </cell>
          <cell r="L5">
            <v>108325</v>
          </cell>
          <cell r="M5">
            <v>0.544587349569383</v>
          </cell>
          <cell r="N5">
            <v>85306</v>
          </cell>
          <cell r="O5">
            <v>64094</v>
          </cell>
          <cell r="P5">
            <v>-0.248657773192976</v>
          </cell>
          <cell r="Q5">
            <v>326798</v>
          </cell>
          <cell r="R5">
            <v>375559.4</v>
          </cell>
          <cell r="S5">
            <v>0.149209603485946</v>
          </cell>
          <cell r="T5">
            <v>65302</v>
          </cell>
          <cell r="U5">
            <v>66218</v>
          </cell>
          <cell r="V5">
            <v>0.014027135462926</v>
          </cell>
          <cell r="W5">
            <v>392100</v>
          </cell>
          <cell r="X5">
            <v>441777.4</v>
          </cell>
          <cell r="Y5">
            <v>0.126695740882428</v>
          </cell>
          <cell r="Z5">
            <v>61011</v>
          </cell>
          <cell r="AA5">
            <v>62805</v>
          </cell>
          <cell r="AB5">
            <v>0.0294045336086934</v>
          </cell>
          <cell r="AC5">
            <v>453111</v>
          </cell>
          <cell r="AD5">
            <v>504582.4</v>
          </cell>
          <cell r="AE5">
            <v>0.11359556488366</v>
          </cell>
          <cell r="AF5">
            <v>128804</v>
          </cell>
          <cell r="AG5">
            <v>109740</v>
          </cell>
          <cell r="AH5">
            <v>-0.148007825843918</v>
          </cell>
          <cell r="AI5">
            <v>581915</v>
          </cell>
          <cell r="AJ5">
            <v>614322.4</v>
          </cell>
          <cell r="AK5">
            <v>0.055690951427614</v>
          </cell>
          <cell r="AL5">
            <v>131266</v>
          </cell>
          <cell r="AM5">
            <v>81839</v>
          </cell>
        </row>
        <row r="6">
          <cell r="C6" t="str">
            <v>金华五星</v>
          </cell>
          <cell r="D6" t="str">
            <v>五星</v>
          </cell>
          <cell r="E6" t="str">
            <v>金华市区</v>
          </cell>
          <cell r="F6" t="str">
            <v>市区</v>
          </cell>
          <cell r="G6" t="str">
            <v>潘杏</v>
          </cell>
        </row>
        <row r="6">
          <cell r="I6">
            <v>97567.31</v>
          </cell>
          <cell r="J6" t="e">
            <v>#DIV/0!</v>
          </cell>
          <cell r="K6">
            <v>173256.98</v>
          </cell>
        </row>
        <row r="6">
          <cell r="M6">
            <v>-1</v>
          </cell>
          <cell r="N6">
            <v>54981.65</v>
          </cell>
        </row>
        <row r="6">
          <cell r="P6">
            <v>-1</v>
          </cell>
          <cell r="Q6">
            <v>228238.63</v>
          </cell>
          <cell r="R6">
            <v>97567.31</v>
          </cell>
          <cell r="S6">
            <v>-0.572520611431991</v>
          </cell>
          <cell r="T6">
            <v>87089.25</v>
          </cell>
          <cell r="U6">
            <v>240583.45</v>
          </cell>
          <cell r="V6">
            <v>1.76249307463321</v>
          </cell>
          <cell r="W6">
            <v>315327.88</v>
          </cell>
          <cell r="X6">
            <v>338150.76</v>
          </cell>
          <cell r="Y6">
            <v>0.0723782495857963</v>
          </cell>
          <cell r="Z6">
            <v>60317.47</v>
          </cell>
          <cell r="AA6">
            <v>100835.81</v>
          </cell>
          <cell r="AB6">
            <v>0.671751318482025</v>
          </cell>
          <cell r="AC6">
            <v>375645.35</v>
          </cell>
          <cell r="AD6">
            <v>438986.57</v>
          </cell>
          <cell r="AE6">
            <v>0.168619736674499</v>
          </cell>
        </row>
        <row r="6">
          <cell r="AG6">
            <v>64337.91</v>
          </cell>
          <cell r="AH6" t="e">
            <v>#DIV/0!</v>
          </cell>
          <cell r="AI6">
            <v>375645.35</v>
          </cell>
          <cell r="AJ6">
            <v>503324.48</v>
          </cell>
          <cell r="AK6">
            <v>0.339892747241514</v>
          </cell>
        </row>
        <row r="6">
          <cell r="AM6">
            <v>130913.08</v>
          </cell>
        </row>
        <row r="7">
          <cell r="C7" t="str">
            <v>金华国美</v>
          </cell>
          <cell r="D7" t="str">
            <v>国美</v>
          </cell>
          <cell r="E7" t="str">
            <v>金华市区</v>
          </cell>
          <cell r="F7" t="str">
            <v>市区</v>
          </cell>
          <cell r="G7" t="str">
            <v>潘杏</v>
          </cell>
        </row>
        <row r="7">
          <cell r="J7" t="e">
            <v>#DIV/0!</v>
          </cell>
        </row>
        <row r="7">
          <cell r="M7" t="e">
            <v>#DIV/0!</v>
          </cell>
        </row>
        <row r="7">
          <cell r="P7" t="e">
            <v>#DIV/0!</v>
          </cell>
          <cell r="Q7">
            <v>0</v>
          </cell>
          <cell r="R7">
            <v>0</v>
          </cell>
          <cell r="S7" t="e">
            <v>#DIV/0!</v>
          </cell>
        </row>
        <row r="7">
          <cell r="V7" t="e">
            <v>#DIV/0!</v>
          </cell>
          <cell r="W7">
            <v>0</v>
          </cell>
          <cell r="X7">
            <v>0</v>
          </cell>
          <cell r="Y7" t="e">
            <v>#DIV/0!</v>
          </cell>
        </row>
        <row r="7">
          <cell r="AB7" t="e">
            <v>#DIV/0!</v>
          </cell>
          <cell r="AC7">
            <v>0</v>
          </cell>
          <cell r="AD7">
            <v>0</v>
          </cell>
          <cell r="AE7" t="e">
            <v>#DIV/0!</v>
          </cell>
        </row>
        <row r="7">
          <cell r="AH7" t="e">
            <v>#DIV/0!</v>
          </cell>
          <cell r="AI7">
            <v>0</v>
          </cell>
          <cell r="AJ7">
            <v>0</v>
          </cell>
          <cell r="AK7" t="e">
            <v>#DIV/0!</v>
          </cell>
        </row>
        <row r="8">
          <cell r="C8" t="str">
            <v>（新）金华八一南街专卖店</v>
          </cell>
          <cell r="D8" t="str">
            <v>直营</v>
          </cell>
          <cell r="E8" t="str">
            <v>金华市区</v>
          </cell>
          <cell r="F8" t="str">
            <v>婺城区</v>
          </cell>
          <cell r="G8" t="str">
            <v>杨华才</v>
          </cell>
          <cell r="H8">
            <v>31072</v>
          </cell>
          <cell r="I8">
            <v>17958</v>
          </cell>
          <cell r="J8">
            <v>-0.422052008238929</v>
          </cell>
          <cell r="K8">
            <v>42511</v>
          </cell>
          <cell r="L8">
            <v>3966</v>
          </cell>
          <cell r="M8">
            <v>-0.906706499494249</v>
          </cell>
          <cell r="N8">
            <v>25944.9</v>
          </cell>
          <cell r="O8">
            <v>6800</v>
          </cell>
          <cell r="P8">
            <v>-0.737906101006363</v>
          </cell>
          <cell r="Q8">
            <v>99527.9</v>
          </cell>
          <cell r="R8">
            <v>28724</v>
          </cell>
          <cell r="S8">
            <v>-0.711397507633538</v>
          </cell>
          <cell r="T8">
            <v>20300</v>
          </cell>
        </row>
        <row r="8">
          <cell r="V8">
            <v>-1</v>
          </cell>
          <cell r="W8">
            <v>119827.9</v>
          </cell>
          <cell r="X8">
            <v>28724</v>
          </cell>
          <cell r="Y8">
            <v>-0.760289548594276</v>
          </cell>
          <cell r="Z8">
            <v>21103</v>
          </cell>
        </row>
        <row r="8">
          <cell r="AB8">
            <v>-1</v>
          </cell>
          <cell r="AC8">
            <v>140930.9</v>
          </cell>
          <cell r="AD8">
            <v>28724</v>
          </cell>
          <cell r="AE8">
            <v>-0.796183803551954</v>
          </cell>
          <cell r="AF8">
            <v>7231</v>
          </cell>
        </row>
        <row r="8">
          <cell r="AH8">
            <v>-1</v>
          </cell>
          <cell r="AI8">
            <v>148161.9</v>
          </cell>
          <cell r="AJ8">
            <v>28724</v>
          </cell>
          <cell r="AK8">
            <v>-0.806130995890306</v>
          </cell>
          <cell r="AL8">
            <v>1403</v>
          </cell>
        </row>
        <row r="9">
          <cell r="C9" t="str">
            <v>衢州市柯城汇鑫家用电器商行</v>
          </cell>
          <cell r="D9" t="str">
            <v>加盟</v>
          </cell>
          <cell r="E9" t="str">
            <v>衢州市区</v>
          </cell>
          <cell r="F9" t="str">
            <v>柯城区</v>
          </cell>
          <cell r="G9" t="str">
            <v>江雯</v>
          </cell>
          <cell r="H9">
            <v>21300</v>
          </cell>
          <cell r="I9">
            <v>25400</v>
          </cell>
          <cell r="J9">
            <v>0.192488262910798</v>
          </cell>
          <cell r="K9">
            <v>23900</v>
          </cell>
          <cell r="L9">
            <v>10400</v>
          </cell>
          <cell r="M9">
            <v>-0.564853556485356</v>
          </cell>
          <cell r="N9">
            <v>80450</v>
          </cell>
          <cell r="O9">
            <v>30900</v>
          </cell>
          <cell r="P9">
            <v>-0.615910503418272</v>
          </cell>
          <cell r="Q9">
            <v>125650</v>
          </cell>
          <cell r="R9">
            <v>66700</v>
          </cell>
          <cell r="S9">
            <v>-0.469160366096299</v>
          </cell>
          <cell r="T9">
            <v>45410</v>
          </cell>
          <cell r="U9">
            <v>32900</v>
          </cell>
          <cell r="V9">
            <v>-0.275489980180577</v>
          </cell>
          <cell r="W9">
            <v>171060</v>
          </cell>
          <cell r="X9">
            <v>99600</v>
          </cell>
          <cell r="Y9">
            <v>-0.417748158540863</v>
          </cell>
          <cell r="Z9">
            <v>88770</v>
          </cell>
          <cell r="AA9">
            <v>65953</v>
          </cell>
          <cell r="AB9">
            <v>-0.257035034358454</v>
          </cell>
          <cell r="AC9">
            <v>259830</v>
          </cell>
          <cell r="AD9">
            <v>165553</v>
          </cell>
          <cell r="AE9">
            <v>-0.362841088403956</v>
          </cell>
          <cell r="AF9">
            <v>46100</v>
          </cell>
          <cell r="AG9">
            <v>14600</v>
          </cell>
          <cell r="AH9">
            <v>-0.683297180043384</v>
          </cell>
          <cell r="AI9">
            <v>305930</v>
          </cell>
          <cell r="AJ9">
            <v>180153</v>
          </cell>
          <cell r="AK9">
            <v>-0.411129997058151</v>
          </cell>
          <cell r="AL9">
            <v>23900</v>
          </cell>
          <cell r="AM9">
            <v>20800</v>
          </cell>
        </row>
        <row r="10">
          <cell r="C10" t="str">
            <v>东阳市国美电器有限公司</v>
          </cell>
          <cell r="D10" t="str">
            <v>经销</v>
          </cell>
          <cell r="E10" t="str">
            <v>东阳市</v>
          </cell>
          <cell r="F10" t="str">
            <v>东阳市</v>
          </cell>
          <cell r="G10" t="str">
            <v>张韵威</v>
          </cell>
          <cell r="H10">
            <v>30000</v>
          </cell>
          <cell r="I10">
            <v>25000</v>
          </cell>
          <cell r="J10">
            <v>-0.166666666666667</v>
          </cell>
        </row>
        <row r="10">
          <cell r="M10" t="e">
            <v>#DIV/0!</v>
          </cell>
        </row>
        <row r="10">
          <cell r="P10" t="e">
            <v>#DIV/0!</v>
          </cell>
          <cell r="Q10">
            <v>30000</v>
          </cell>
          <cell r="R10">
            <v>25000</v>
          </cell>
          <cell r="S10">
            <v>-0.166666666666667</v>
          </cell>
        </row>
        <row r="10">
          <cell r="U10">
            <v>800</v>
          </cell>
          <cell r="V10" t="e">
            <v>#DIV/0!</v>
          </cell>
          <cell r="W10">
            <v>30000</v>
          </cell>
          <cell r="X10">
            <v>25800</v>
          </cell>
          <cell r="Y10">
            <v>-0.14</v>
          </cell>
        </row>
        <row r="10">
          <cell r="AA10">
            <v>18078</v>
          </cell>
          <cell r="AB10" t="e">
            <v>#DIV/0!</v>
          </cell>
          <cell r="AC10">
            <v>30000</v>
          </cell>
          <cell r="AD10">
            <v>43878</v>
          </cell>
          <cell r="AE10">
            <v>0.4626</v>
          </cell>
        </row>
        <row r="10">
          <cell r="AH10" t="e">
            <v>#DIV/0!</v>
          </cell>
          <cell r="AI10">
            <v>30000</v>
          </cell>
          <cell r="AJ10">
            <v>43878</v>
          </cell>
          <cell r="AK10">
            <v>0.4626</v>
          </cell>
          <cell r="AL10">
            <v>5392</v>
          </cell>
        </row>
        <row r="11">
          <cell r="C11" t="str">
            <v>兰溪市福祥家电经营部</v>
          </cell>
          <cell r="D11" t="str">
            <v>加盟</v>
          </cell>
          <cell r="E11" t="str">
            <v>兰溪市</v>
          </cell>
          <cell r="F11" t="str">
            <v>兰溪市</v>
          </cell>
          <cell r="G11" t="str">
            <v>潘杏</v>
          </cell>
          <cell r="H11">
            <v>8727</v>
          </cell>
          <cell r="I11">
            <v>149023</v>
          </cell>
          <cell r="J11">
            <v>16.0760857110118</v>
          </cell>
          <cell r="K11">
            <v>7343</v>
          </cell>
          <cell r="L11">
            <v>3015</v>
          </cell>
          <cell r="M11">
            <v>-0.589404875391529</v>
          </cell>
          <cell r="N11">
            <v>13804</v>
          </cell>
          <cell r="O11">
            <v>19327</v>
          </cell>
          <cell r="P11">
            <v>0.400101419878296</v>
          </cell>
          <cell r="Q11">
            <v>29874</v>
          </cell>
          <cell r="R11">
            <v>171365</v>
          </cell>
          <cell r="S11">
            <v>4.73625895427462</v>
          </cell>
          <cell r="T11">
            <v>-849</v>
          </cell>
          <cell r="U11">
            <v>13493</v>
          </cell>
          <cell r="V11">
            <v>-16.8928150765607</v>
          </cell>
          <cell r="W11">
            <v>29025</v>
          </cell>
          <cell r="X11">
            <v>184858</v>
          </cell>
          <cell r="Y11">
            <v>5.3689233419466</v>
          </cell>
        </row>
        <row r="11">
          <cell r="AA11">
            <v>36809</v>
          </cell>
          <cell r="AB11" t="e">
            <v>#DIV/0!</v>
          </cell>
          <cell r="AC11">
            <v>29025</v>
          </cell>
          <cell r="AD11">
            <v>221667</v>
          </cell>
          <cell r="AE11">
            <v>6.63710594315245</v>
          </cell>
          <cell r="AF11">
            <v>15043</v>
          </cell>
          <cell r="AG11">
            <v>34615</v>
          </cell>
          <cell r="AH11">
            <v>1.30107026523965</v>
          </cell>
          <cell r="AI11">
            <v>44068</v>
          </cell>
          <cell r="AJ11">
            <v>256282</v>
          </cell>
          <cell r="AK11">
            <v>4.81560315875465</v>
          </cell>
          <cell r="AL11">
            <v>10512</v>
          </cell>
          <cell r="AM11">
            <v>58454</v>
          </cell>
        </row>
        <row r="12">
          <cell r="C12" t="str">
            <v>金华龙腾建材市场专卖店</v>
          </cell>
          <cell r="D12" t="str">
            <v>直营</v>
          </cell>
          <cell r="E12" t="str">
            <v>金华市区</v>
          </cell>
          <cell r="F12" t="str">
            <v>婺城区</v>
          </cell>
          <cell r="G12" t="str">
            <v>杨华才</v>
          </cell>
          <cell r="H12">
            <v>51441</v>
          </cell>
          <cell r="I12">
            <v>84544</v>
          </cell>
          <cell r="J12">
            <v>0.643513928578371</v>
          </cell>
          <cell r="K12">
            <v>94218</v>
          </cell>
          <cell r="L12">
            <v>15592</v>
          </cell>
          <cell r="M12">
            <v>-0.83451145216413</v>
          </cell>
          <cell r="N12">
            <v>157817</v>
          </cell>
          <cell r="O12">
            <v>40421</v>
          </cell>
          <cell r="P12">
            <v>-0.743874234081246</v>
          </cell>
          <cell r="Q12">
            <v>303476</v>
          </cell>
          <cell r="R12">
            <v>140557</v>
          </cell>
          <cell r="S12">
            <v>-0.536843111152117</v>
          </cell>
          <cell r="T12">
            <v>89841</v>
          </cell>
          <cell r="U12">
            <v>95170</v>
          </cell>
          <cell r="V12">
            <v>0.0593159025389298</v>
          </cell>
          <cell r="W12">
            <v>393317</v>
          </cell>
          <cell r="X12">
            <v>235727</v>
          </cell>
          <cell r="Y12">
            <v>-0.40066918033037</v>
          </cell>
          <cell r="Z12">
            <v>233247.9</v>
          </cell>
          <cell r="AA12">
            <v>66978</v>
          </cell>
          <cell r="AB12">
            <v>-0.712846289291351</v>
          </cell>
          <cell r="AC12">
            <v>626564.9</v>
          </cell>
          <cell r="AD12">
            <v>302705</v>
          </cell>
          <cell r="AE12">
            <v>-0.516881651046843</v>
          </cell>
          <cell r="AF12">
            <v>145756</v>
          </cell>
          <cell r="AG12">
            <v>187833</v>
          </cell>
          <cell r="AH12">
            <v>0.28868108345454</v>
          </cell>
          <cell r="AI12">
            <v>772320.9</v>
          </cell>
          <cell r="AJ12">
            <v>490538</v>
          </cell>
          <cell r="AK12">
            <v>-0.364852097101088</v>
          </cell>
          <cell r="AL12">
            <v>72974</v>
          </cell>
          <cell r="AM12">
            <v>88914</v>
          </cell>
        </row>
        <row r="13">
          <cell r="C13" t="str">
            <v>衢州江山专卖店</v>
          </cell>
          <cell r="D13" t="str">
            <v>经销</v>
          </cell>
          <cell r="E13" t="str">
            <v>江山市</v>
          </cell>
          <cell r="F13" t="str">
            <v>江山市</v>
          </cell>
          <cell r="G13" t="str">
            <v>江雯</v>
          </cell>
        </row>
        <row r="13">
          <cell r="J13" t="e">
            <v>#DIV/0!</v>
          </cell>
        </row>
        <row r="13">
          <cell r="M13" t="e">
            <v>#DIV/0!</v>
          </cell>
        </row>
        <row r="13">
          <cell r="P13" t="e">
            <v>#DIV/0!</v>
          </cell>
          <cell r="Q13">
            <v>0</v>
          </cell>
          <cell r="R13">
            <v>0</v>
          </cell>
          <cell r="S13" t="e">
            <v>#DIV/0!</v>
          </cell>
        </row>
        <row r="13">
          <cell r="V13" t="e">
            <v>#DIV/0!</v>
          </cell>
          <cell r="W13">
            <v>0</v>
          </cell>
          <cell r="X13">
            <v>0</v>
          </cell>
          <cell r="Y13" t="e">
            <v>#DIV/0!</v>
          </cell>
        </row>
        <row r="13">
          <cell r="AB13" t="e">
            <v>#DIV/0!</v>
          </cell>
          <cell r="AC13">
            <v>0</v>
          </cell>
          <cell r="AD13">
            <v>0</v>
          </cell>
          <cell r="AE13" t="e">
            <v>#DIV/0!</v>
          </cell>
        </row>
        <row r="13">
          <cell r="AH13" t="e">
            <v>#DIV/0!</v>
          </cell>
          <cell r="AI13">
            <v>0</v>
          </cell>
          <cell r="AJ13">
            <v>0</v>
          </cell>
          <cell r="AK13" t="e">
            <v>#DIV/0!</v>
          </cell>
        </row>
        <row r="14">
          <cell r="C14" t="str">
            <v>义乌市丰庆家电有限公司</v>
          </cell>
          <cell r="D14" t="str">
            <v>经销</v>
          </cell>
          <cell r="E14" t="str">
            <v>义乌市</v>
          </cell>
          <cell r="F14" t="str">
            <v>义乌市</v>
          </cell>
          <cell r="G14" t="str">
            <v>张韵威</v>
          </cell>
        </row>
        <row r="14">
          <cell r="J14" t="e">
            <v>#DIV/0!</v>
          </cell>
        </row>
        <row r="14">
          <cell r="M14" t="e">
            <v>#DIV/0!</v>
          </cell>
        </row>
        <row r="14">
          <cell r="P14" t="e">
            <v>#DIV/0!</v>
          </cell>
          <cell r="Q14">
            <v>0</v>
          </cell>
          <cell r="R14">
            <v>0</v>
          </cell>
          <cell r="S14" t="e">
            <v>#DIV/0!</v>
          </cell>
        </row>
        <row r="14">
          <cell r="V14" t="e">
            <v>#DIV/0!</v>
          </cell>
          <cell r="W14">
            <v>0</v>
          </cell>
          <cell r="X14">
            <v>0</v>
          </cell>
          <cell r="Y14" t="e">
            <v>#DIV/0!</v>
          </cell>
        </row>
        <row r="14">
          <cell r="AB14" t="e">
            <v>#DIV/0!</v>
          </cell>
          <cell r="AC14">
            <v>0</v>
          </cell>
          <cell r="AD14">
            <v>0</v>
          </cell>
          <cell r="AE14" t="e">
            <v>#DIV/0!</v>
          </cell>
        </row>
        <row r="14">
          <cell r="AH14" t="e">
            <v>#DIV/0!</v>
          </cell>
          <cell r="AI14">
            <v>0</v>
          </cell>
          <cell r="AJ14">
            <v>0</v>
          </cell>
          <cell r="AK14" t="e">
            <v>#DIV/0!</v>
          </cell>
        </row>
        <row r="15">
          <cell r="C15" t="str">
            <v>龙游县荣泰五交化公司</v>
          </cell>
          <cell r="D15" t="str">
            <v>经销</v>
          </cell>
          <cell r="E15" t="str">
            <v>龙游县</v>
          </cell>
          <cell r="F15" t="str">
            <v>龙游县</v>
          </cell>
          <cell r="G15" t="str">
            <v>江雯</v>
          </cell>
        </row>
        <row r="15">
          <cell r="J15" t="e">
            <v>#DIV/0!</v>
          </cell>
        </row>
        <row r="15">
          <cell r="M15" t="e">
            <v>#DIV/0!</v>
          </cell>
        </row>
        <row r="15">
          <cell r="P15" t="e">
            <v>#DIV/0!</v>
          </cell>
          <cell r="Q15">
            <v>0</v>
          </cell>
          <cell r="R15">
            <v>0</v>
          </cell>
          <cell r="S15" t="e">
            <v>#DIV/0!</v>
          </cell>
        </row>
        <row r="15">
          <cell r="V15" t="e">
            <v>#DIV/0!</v>
          </cell>
          <cell r="W15">
            <v>0</v>
          </cell>
          <cell r="X15">
            <v>0</v>
          </cell>
          <cell r="Y15" t="e">
            <v>#DIV/0!</v>
          </cell>
        </row>
        <row r="15">
          <cell r="AB15" t="e">
            <v>#DIV/0!</v>
          </cell>
          <cell r="AC15">
            <v>0</v>
          </cell>
          <cell r="AD15">
            <v>0</v>
          </cell>
          <cell r="AE15" t="e">
            <v>#DIV/0!</v>
          </cell>
        </row>
        <row r="15">
          <cell r="AH15" t="e">
            <v>#DIV/0!</v>
          </cell>
          <cell r="AI15">
            <v>0</v>
          </cell>
          <cell r="AJ15">
            <v>0</v>
          </cell>
          <cell r="AK15" t="e">
            <v>#DIV/0!</v>
          </cell>
        </row>
        <row r="16">
          <cell r="C16" t="str">
            <v>兰溪市小严家电经营部</v>
          </cell>
          <cell r="D16" t="str">
            <v>经销</v>
          </cell>
          <cell r="E16" t="str">
            <v>兰溪市</v>
          </cell>
          <cell r="F16" t="str">
            <v>兰溪市</v>
          </cell>
          <cell r="G16" t="str">
            <v>潘杏</v>
          </cell>
          <cell r="H16">
            <v>16546</v>
          </cell>
          <cell r="I16">
            <v>30425</v>
          </cell>
          <cell r="J16">
            <v>0.838813006164632</v>
          </cell>
          <cell r="K16">
            <v>7154</v>
          </cell>
          <cell r="L16">
            <v>10451</v>
          </cell>
          <cell r="M16">
            <v>0.460861056751468</v>
          </cell>
        </row>
        <row r="16">
          <cell r="P16" t="e">
            <v>#DIV/0!</v>
          </cell>
          <cell r="Q16">
            <v>23700</v>
          </cell>
          <cell r="R16">
            <v>40876</v>
          </cell>
          <cell r="S16">
            <v>0.724725738396625</v>
          </cell>
        </row>
        <row r="16">
          <cell r="U16">
            <v>7276</v>
          </cell>
          <cell r="V16" t="e">
            <v>#DIV/0!</v>
          </cell>
          <cell r="W16">
            <v>23700</v>
          </cell>
          <cell r="X16">
            <v>48152</v>
          </cell>
          <cell r="Y16">
            <v>1.03172995780591</v>
          </cell>
          <cell r="Z16">
            <v>28962</v>
          </cell>
          <cell r="AA16">
            <v>21993</v>
          </cell>
          <cell r="AB16">
            <v>-0.240625647400041</v>
          </cell>
          <cell r="AC16">
            <v>52662</v>
          </cell>
          <cell r="AD16">
            <v>70145</v>
          </cell>
          <cell r="AE16">
            <v>0.331985112604914</v>
          </cell>
          <cell r="AF16">
            <v>3556</v>
          </cell>
        </row>
        <row r="16">
          <cell r="AH16">
            <v>-1</v>
          </cell>
          <cell r="AI16">
            <v>56218</v>
          </cell>
          <cell r="AJ16">
            <v>70145</v>
          </cell>
          <cell r="AK16">
            <v>0.247732043117863</v>
          </cell>
          <cell r="AL16">
            <v>18643</v>
          </cell>
          <cell r="AM16">
            <v>12632</v>
          </cell>
        </row>
        <row r="17">
          <cell r="C17" t="str">
            <v>金华金蝶零售</v>
          </cell>
          <cell r="D17" t="str">
            <v>零售</v>
          </cell>
          <cell r="E17" t="str">
            <v>金华市区</v>
          </cell>
          <cell r="F17" t="str">
            <v>市区</v>
          </cell>
          <cell r="G17" t="str">
            <v>杨华才</v>
          </cell>
          <cell r="H17">
            <v>-50</v>
          </cell>
          <cell r="I17">
            <v>3850</v>
          </cell>
          <cell r="J17">
            <v>-78</v>
          </cell>
        </row>
        <row r="17">
          <cell r="M17" t="e">
            <v>#DIV/0!</v>
          </cell>
        </row>
        <row r="17">
          <cell r="O17">
            <v>8800</v>
          </cell>
          <cell r="P17" t="e">
            <v>#DIV/0!</v>
          </cell>
          <cell r="Q17">
            <v>-50</v>
          </cell>
          <cell r="R17">
            <v>12650</v>
          </cell>
          <cell r="S17">
            <v>-254</v>
          </cell>
        </row>
        <row r="17">
          <cell r="V17" t="e">
            <v>#DIV/0!</v>
          </cell>
          <cell r="W17">
            <v>-50</v>
          </cell>
          <cell r="X17">
            <v>12650</v>
          </cell>
          <cell r="Y17">
            <v>-254</v>
          </cell>
          <cell r="Z17">
            <v>23631</v>
          </cell>
          <cell r="AA17">
            <v>1800</v>
          </cell>
          <cell r="AB17">
            <v>-0.923828868858703</v>
          </cell>
          <cell r="AC17">
            <v>23581</v>
          </cell>
          <cell r="AD17">
            <v>14450</v>
          </cell>
          <cell r="AE17">
            <v>-0.387218523387473</v>
          </cell>
          <cell r="AF17">
            <v>35488</v>
          </cell>
          <cell r="AG17">
            <v>10093</v>
          </cell>
          <cell r="AH17">
            <v>-0.715594003606853</v>
          </cell>
          <cell r="AI17">
            <v>59069</v>
          </cell>
          <cell r="AJ17">
            <v>24543</v>
          </cell>
          <cell r="AK17">
            <v>-0.58450286952547</v>
          </cell>
          <cell r="AL17">
            <v>19219</v>
          </cell>
          <cell r="AM17">
            <v>20900</v>
          </cell>
        </row>
        <row r="18">
          <cell r="C18" t="str">
            <v>义乌市中科电器商行</v>
          </cell>
          <cell r="D18" t="str">
            <v>经销</v>
          </cell>
          <cell r="E18" t="str">
            <v>义乌市</v>
          </cell>
          <cell r="F18" t="str">
            <v>义乌市</v>
          </cell>
          <cell r="G18" t="str">
            <v>张韵威</v>
          </cell>
        </row>
        <row r="18">
          <cell r="J18" t="e">
            <v>#DIV/0!</v>
          </cell>
        </row>
        <row r="18">
          <cell r="M18" t="e">
            <v>#DIV/0!</v>
          </cell>
        </row>
        <row r="18">
          <cell r="P18" t="e">
            <v>#DIV/0!</v>
          </cell>
          <cell r="Q18">
            <v>0</v>
          </cell>
          <cell r="R18">
            <v>0</v>
          </cell>
          <cell r="S18" t="e">
            <v>#DIV/0!</v>
          </cell>
        </row>
        <row r="18">
          <cell r="V18" t="e">
            <v>#DIV/0!</v>
          </cell>
          <cell r="W18">
            <v>0</v>
          </cell>
          <cell r="X18">
            <v>0</v>
          </cell>
          <cell r="Y18" t="e">
            <v>#DIV/0!</v>
          </cell>
        </row>
        <row r="18">
          <cell r="AB18" t="e">
            <v>#DIV/0!</v>
          </cell>
          <cell r="AC18">
            <v>0</v>
          </cell>
          <cell r="AD18">
            <v>0</v>
          </cell>
          <cell r="AE18" t="e">
            <v>#DIV/0!</v>
          </cell>
        </row>
        <row r="18">
          <cell r="AH18" t="e">
            <v>#DIV/0!</v>
          </cell>
          <cell r="AI18">
            <v>0</v>
          </cell>
          <cell r="AJ18">
            <v>0</v>
          </cell>
          <cell r="AK18" t="e">
            <v>#DIV/0!</v>
          </cell>
        </row>
        <row r="19">
          <cell r="C19" t="str">
            <v>金华物美企业管理咨询有限公司</v>
          </cell>
          <cell r="D19" t="str">
            <v>经销</v>
          </cell>
          <cell r="E19" t="str">
            <v>金华市区</v>
          </cell>
          <cell r="F19" t="str">
            <v>婺城区</v>
          </cell>
          <cell r="G19" t="str">
            <v>潘杏</v>
          </cell>
        </row>
        <row r="19">
          <cell r="J19" t="e">
            <v>#DIV/0!</v>
          </cell>
        </row>
        <row r="19">
          <cell r="M19" t="e">
            <v>#DIV/0!</v>
          </cell>
        </row>
        <row r="19">
          <cell r="P19" t="e">
            <v>#DIV/0!</v>
          </cell>
          <cell r="Q19">
            <v>0</v>
          </cell>
          <cell r="R19">
            <v>0</v>
          </cell>
          <cell r="S19" t="e">
            <v>#DIV/0!</v>
          </cell>
        </row>
        <row r="19">
          <cell r="V19" t="e">
            <v>#DIV/0!</v>
          </cell>
          <cell r="W19">
            <v>0</v>
          </cell>
          <cell r="X19">
            <v>0</v>
          </cell>
          <cell r="Y19" t="e">
            <v>#DIV/0!</v>
          </cell>
        </row>
        <row r="19">
          <cell r="AB19" t="e">
            <v>#DIV/0!</v>
          </cell>
          <cell r="AC19">
            <v>0</v>
          </cell>
          <cell r="AD19">
            <v>0</v>
          </cell>
          <cell r="AE19" t="e">
            <v>#DIV/0!</v>
          </cell>
        </row>
        <row r="19">
          <cell r="AH19" t="e">
            <v>#DIV/0!</v>
          </cell>
          <cell r="AI19">
            <v>0</v>
          </cell>
          <cell r="AJ19">
            <v>0</v>
          </cell>
          <cell r="AK19" t="e">
            <v>#DIV/0!</v>
          </cell>
        </row>
        <row r="20">
          <cell r="C20" t="str">
            <v>东阳汉宁东路专卖店</v>
          </cell>
          <cell r="D20" t="str">
            <v>直营</v>
          </cell>
          <cell r="E20" t="str">
            <v>东阳市</v>
          </cell>
          <cell r="F20" t="str">
            <v>东阳市</v>
          </cell>
          <cell r="G20" t="str">
            <v>张韵威</v>
          </cell>
          <cell r="H20">
            <v>4776</v>
          </cell>
        </row>
        <row r="20">
          <cell r="J20">
            <v>-1</v>
          </cell>
          <cell r="K20">
            <v>23611</v>
          </cell>
        </row>
        <row r="20">
          <cell r="M20">
            <v>-1</v>
          </cell>
          <cell r="N20">
            <v>69265.9</v>
          </cell>
        </row>
        <row r="20">
          <cell r="P20">
            <v>-1</v>
          </cell>
          <cell r="Q20">
            <v>97652.9</v>
          </cell>
          <cell r="R20">
            <v>0</v>
          </cell>
          <cell r="S20">
            <v>-1</v>
          </cell>
          <cell r="T20">
            <v>32572</v>
          </cell>
        </row>
        <row r="20">
          <cell r="V20">
            <v>-1</v>
          </cell>
          <cell r="W20">
            <v>130224.9</v>
          </cell>
          <cell r="X20">
            <v>0</v>
          </cell>
          <cell r="Y20">
            <v>-1</v>
          </cell>
          <cell r="Z20">
            <v>2842</v>
          </cell>
        </row>
        <row r="20">
          <cell r="AB20">
            <v>-1</v>
          </cell>
          <cell r="AC20">
            <v>133066.9</v>
          </cell>
          <cell r="AD20">
            <v>0</v>
          </cell>
          <cell r="AE20">
            <v>-1</v>
          </cell>
        </row>
        <row r="20">
          <cell r="AH20" t="e">
            <v>#DIV/0!</v>
          </cell>
          <cell r="AI20">
            <v>133066.9</v>
          </cell>
          <cell r="AJ20">
            <v>0</v>
          </cell>
          <cell r="AK20">
            <v>-1</v>
          </cell>
          <cell r="AL20">
            <v>3858</v>
          </cell>
        </row>
        <row r="21">
          <cell r="C21" t="str">
            <v>浦江丰安电器有限公司</v>
          </cell>
          <cell r="D21" t="str">
            <v>经销</v>
          </cell>
          <cell r="E21" t="str">
            <v>浦江县</v>
          </cell>
          <cell r="F21" t="str">
            <v>浦江县</v>
          </cell>
          <cell r="G21" t="str">
            <v>张韵威</v>
          </cell>
        </row>
        <row r="21">
          <cell r="J21" t="e">
            <v>#DIV/0!</v>
          </cell>
        </row>
        <row r="21">
          <cell r="M21" t="e">
            <v>#DIV/0!</v>
          </cell>
          <cell r="N21">
            <v>2240</v>
          </cell>
        </row>
        <row r="21">
          <cell r="P21">
            <v>-1</v>
          </cell>
          <cell r="Q21">
            <v>2240</v>
          </cell>
          <cell r="R21">
            <v>0</v>
          </cell>
          <cell r="S21">
            <v>-1</v>
          </cell>
        </row>
        <row r="21">
          <cell r="V21" t="e">
            <v>#DIV/0!</v>
          </cell>
          <cell r="W21">
            <v>2240</v>
          </cell>
          <cell r="X21">
            <v>0</v>
          </cell>
          <cell r="Y21">
            <v>-1</v>
          </cell>
        </row>
        <row r="21">
          <cell r="AB21" t="e">
            <v>#DIV/0!</v>
          </cell>
          <cell r="AC21">
            <v>2240</v>
          </cell>
          <cell r="AD21">
            <v>0</v>
          </cell>
          <cell r="AE21">
            <v>-1</v>
          </cell>
        </row>
        <row r="21">
          <cell r="AH21" t="e">
            <v>#DIV/0!</v>
          </cell>
          <cell r="AI21">
            <v>2240</v>
          </cell>
          <cell r="AJ21">
            <v>0</v>
          </cell>
          <cell r="AK21">
            <v>-1</v>
          </cell>
        </row>
        <row r="22">
          <cell r="C22" t="str">
            <v>磐安县洪昌家电商场</v>
          </cell>
          <cell r="D22" t="str">
            <v>经销</v>
          </cell>
          <cell r="E22" t="str">
            <v>磐安县</v>
          </cell>
          <cell r="F22" t="str">
            <v>磐安县</v>
          </cell>
          <cell r="G22" t="str">
            <v>张韵威</v>
          </cell>
        </row>
        <row r="22">
          <cell r="I22">
            <v>6649</v>
          </cell>
          <cell r="J22" t="e">
            <v>#DIV/0!</v>
          </cell>
        </row>
        <row r="22">
          <cell r="M22" t="e">
            <v>#DIV/0!</v>
          </cell>
        </row>
        <row r="22">
          <cell r="P22" t="e">
            <v>#DIV/0!</v>
          </cell>
          <cell r="Q22">
            <v>0</v>
          </cell>
          <cell r="R22">
            <v>6649</v>
          </cell>
          <cell r="S22" t="e">
            <v>#DIV/0!</v>
          </cell>
        </row>
        <row r="22">
          <cell r="V22" t="e">
            <v>#DIV/0!</v>
          </cell>
          <cell r="W22">
            <v>0</v>
          </cell>
          <cell r="X22">
            <v>6649</v>
          </cell>
          <cell r="Y22" t="e">
            <v>#DIV/0!</v>
          </cell>
          <cell r="Z22">
            <v>41481</v>
          </cell>
        </row>
        <row r="22">
          <cell r="AB22">
            <v>-1</v>
          </cell>
          <cell r="AC22">
            <v>41481</v>
          </cell>
          <cell r="AD22">
            <v>6649</v>
          </cell>
          <cell r="AE22">
            <v>-0.839709746630988</v>
          </cell>
        </row>
        <row r="22">
          <cell r="AH22" t="e">
            <v>#DIV/0!</v>
          </cell>
          <cell r="AI22">
            <v>41481</v>
          </cell>
          <cell r="AJ22">
            <v>6649</v>
          </cell>
          <cell r="AK22">
            <v>-0.839709746630988</v>
          </cell>
          <cell r="AL22">
            <v>3799</v>
          </cell>
        </row>
        <row r="23">
          <cell r="C23" t="str">
            <v>义乌市钲天新能源有限公司</v>
          </cell>
          <cell r="D23" t="str">
            <v>暖通</v>
          </cell>
          <cell r="E23" t="str">
            <v>义乌市</v>
          </cell>
          <cell r="F23" t="str">
            <v>义乌市</v>
          </cell>
          <cell r="G23" t="str">
            <v>张韵威</v>
          </cell>
        </row>
        <row r="23">
          <cell r="J23" t="e">
            <v>#DIV/0!</v>
          </cell>
        </row>
        <row r="23">
          <cell r="M23" t="e">
            <v>#DIV/0!</v>
          </cell>
        </row>
        <row r="23">
          <cell r="P23" t="e">
            <v>#DIV/0!</v>
          </cell>
          <cell r="Q23">
            <v>0</v>
          </cell>
          <cell r="R23">
            <v>0</v>
          </cell>
          <cell r="S23" t="e">
            <v>#DIV/0!</v>
          </cell>
        </row>
        <row r="23">
          <cell r="V23" t="e">
            <v>#DIV/0!</v>
          </cell>
          <cell r="W23">
            <v>0</v>
          </cell>
          <cell r="X23">
            <v>0</v>
          </cell>
          <cell r="Y23" t="e">
            <v>#DIV/0!</v>
          </cell>
        </row>
        <row r="23">
          <cell r="AB23" t="e">
            <v>#DIV/0!</v>
          </cell>
          <cell r="AC23">
            <v>0</v>
          </cell>
          <cell r="AD23">
            <v>0</v>
          </cell>
          <cell r="AE23" t="e">
            <v>#DIV/0!</v>
          </cell>
        </row>
        <row r="23">
          <cell r="AH23" t="e">
            <v>#DIV/0!</v>
          </cell>
          <cell r="AI23">
            <v>0</v>
          </cell>
          <cell r="AJ23">
            <v>0</v>
          </cell>
          <cell r="AK23" t="e">
            <v>#DIV/0!</v>
          </cell>
        </row>
        <row r="24">
          <cell r="C24" t="str">
            <v>武义大中家电有限公司</v>
          </cell>
          <cell r="D24" t="str">
            <v>经销</v>
          </cell>
          <cell r="E24" t="str">
            <v>武义县</v>
          </cell>
          <cell r="F24" t="str">
            <v>武义县</v>
          </cell>
          <cell r="G24" t="str">
            <v>潘杏</v>
          </cell>
        </row>
        <row r="24">
          <cell r="J24" t="e">
            <v>#DIV/0!</v>
          </cell>
        </row>
        <row r="24">
          <cell r="M24" t="e">
            <v>#DIV/0!</v>
          </cell>
        </row>
        <row r="24">
          <cell r="P24" t="e">
            <v>#DIV/0!</v>
          </cell>
          <cell r="Q24">
            <v>0</v>
          </cell>
          <cell r="R24">
            <v>0</v>
          </cell>
          <cell r="S24" t="e">
            <v>#DIV/0!</v>
          </cell>
        </row>
        <row r="24">
          <cell r="V24" t="e">
            <v>#DIV/0!</v>
          </cell>
          <cell r="W24">
            <v>0</v>
          </cell>
          <cell r="X24">
            <v>0</v>
          </cell>
          <cell r="Y24" t="e">
            <v>#DIV/0!</v>
          </cell>
        </row>
        <row r="24">
          <cell r="AB24" t="e">
            <v>#DIV/0!</v>
          </cell>
          <cell r="AC24">
            <v>0</v>
          </cell>
          <cell r="AD24">
            <v>0</v>
          </cell>
          <cell r="AE24" t="e">
            <v>#DIV/0!</v>
          </cell>
        </row>
        <row r="24">
          <cell r="AH24" t="e">
            <v>#DIV/0!</v>
          </cell>
          <cell r="AI24">
            <v>0</v>
          </cell>
          <cell r="AJ24">
            <v>0</v>
          </cell>
          <cell r="AK24" t="e">
            <v>#DIV/0!</v>
          </cell>
        </row>
        <row r="25">
          <cell r="C25" t="str">
            <v>江山硕邦家电有限公司</v>
          </cell>
          <cell r="D25" t="str">
            <v>经销</v>
          </cell>
          <cell r="E25" t="str">
            <v>江山市</v>
          </cell>
          <cell r="F25" t="str">
            <v>江山市</v>
          </cell>
          <cell r="G25" t="str">
            <v>江雯</v>
          </cell>
        </row>
        <row r="25">
          <cell r="J25" t="e">
            <v>#DIV/0!</v>
          </cell>
        </row>
        <row r="25">
          <cell r="L25">
            <v>19218</v>
          </cell>
          <cell r="M25" t="e">
            <v>#DIV/0!</v>
          </cell>
        </row>
        <row r="25">
          <cell r="P25" t="e">
            <v>#DIV/0!</v>
          </cell>
          <cell r="Q25">
            <v>0</v>
          </cell>
          <cell r="R25">
            <v>19218</v>
          </cell>
          <cell r="S25" t="e">
            <v>#DIV/0!</v>
          </cell>
        </row>
        <row r="25">
          <cell r="V25" t="e">
            <v>#DIV/0!</v>
          </cell>
          <cell r="W25">
            <v>0</v>
          </cell>
          <cell r="X25">
            <v>19218</v>
          </cell>
          <cell r="Y25" t="e">
            <v>#DIV/0!</v>
          </cell>
        </row>
        <row r="25">
          <cell r="AB25" t="e">
            <v>#DIV/0!</v>
          </cell>
          <cell r="AC25">
            <v>0</v>
          </cell>
          <cell r="AD25">
            <v>19218</v>
          </cell>
          <cell r="AE25" t="e">
            <v>#DIV/0!</v>
          </cell>
        </row>
        <row r="25">
          <cell r="AH25" t="e">
            <v>#DIV/0!</v>
          </cell>
          <cell r="AI25">
            <v>0</v>
          </cell>
          <cell r="AJ25">
            <v>19218</v>
          </cell>
          <cell r="AK25" t="e">
            <v>#DIV/0!</v>
          </cell>
        </row>
        <row r="26">
          <cell r="C26" t="str">
            <v>义乌艾欧机电设备有限公司</v>
          </cell>
          <cell r="D26" t="str">
            <v>加盟</v>
          </cell>
          <cell r="E26" t="str">
            <v>义乌市</v>
          </cell>
          <cell r="F26" t="str">
            <v>义乌市</v>
          </cell>
          <cell r="G26" t="str">
            <v>张韵威</v>
          </cell>
          <cell r="H26">
            <v>5264</v>
          </cell>
          <cell r="I26">
            <v>95208</v>
          </cell>
          <cell r="J26">
            <v>17.0866261398176</v>
          </cell>
          <cell r="K26">
            <v>20852</v>
          </cell>
          <cell r="L26">
            <v>23568</v>
          </cell>
          <cell r="M26">
            <v>0.130251294839824</v>
          </cell>
          <cell r="N26">
            <v>27673</v>
          </cell>
          <cell r="O26">
            <v>27546</v>
          </cell>
          <cell r="P26">
            <v>-0.00458931088064174</v>
          </cell>
          <cell r="Q26">
            <v>53789</v>
          </cell>
          <cell r="R26">
            <v>146322</v>
          </cell>
          <cell r="S26">
            <v>1.72029597129525</v>
          </cell>
          <cell r="T26">
            <v>78278</v>
          </cell>
          <cell r="U26">
            <v>48756</v>
          </cell>
          <cell r="V26">
            <v>-0.377143003142645</v>
          </cell>
          <cell r="W26">
            <v>132067</v>
          </cell>
          <cell r="X26">
            <v>195078</v>
          </cell>
          <cell r="Y26">
            <v>0.477113889162319</v>
          </cell>
          <cell r="Z26">
            <v>9041</v>
          </cell>
          <cell r="AA26">
            <v>57457</v>
          </cell>
          <cell r="AB26">
            <v>5.35515982745272</v>
          </cell>
          <cell r="AC26">
            <v>141108</v>
          </cell>
          <cell r="AD26">
            <v>252535</v>
          </cell>
          <cell r="AE26">
            <v>0.789657567253451</v>
          </cell>
        </row>
        <row r="26">
          <cell r="AG26">
            <v>34276</v>
          </cell>
          <cell r="AH26" t="e">
            <v>#DIV/0!</v>
          </cell>
          <cell r="AI26">
            <v>141108</v>
          </cell>
          <cell r="AJ26">
            <v>286811</v>
          </cell>
          <cell r="AK26">
            <v>1.03256371006605</v>
          </cell>
          <cell r="AL26">
            <v>40364</v>
          </cell>
          <cell r="AM26">
            <v>66284</v>
          </cell>
        </row>
        <row r="27">
          <cell r="C27" t="str">
            <v>金华市婺城区菱通家用电器商行</v>
          </cell>
          <cell r="D27" t="str">
            <v>经销</v>
          </cell>
          <cell r="E27" t="str">
            <v>金华市区</v>
          </cell>
          <cell r="F27" t="str">
            <v>婺城区</v>
          </cell>
          <cell r="G27" t="str">
            <v>潘杏</v>
          </cell>
        </row>
        <row r="27">
          <cell r="J27" t="e">
            <v>#DIV/0!</v>
          </cell>
        </row>
        <row r="27">
          <cell r="M27" t="e">
            <v>#DIV/0!</v>
          </cell>
        </row>
        <row r="27">
          <cell r="P27" t="e">
            <v>#DIV/0!</v>
          </cell>
          <cell r="Q27">
            <v>0</v>
          </cell>
          <cell r="R27">
            <v>0</v>
          </cell>
          <cell r="S27" t="e">
            <v>#DIV/0!</v>
          </cell>
        </row>
        <row r="27">
          <cell r="V27" t="e">
            <v>#DIV/0!</v>
          </cell>
          <cell r="W27">
            <v>0</v>
          </cell>
          <cell r="X27">
            <v>0</v>
          </cell>
          <cell r="Y27" t="e">
            <v>#DIV/0!</v>
          </cell>
        </row>
        <row r="27">
          <cell r="AB27" t="e">
            <v>#DIV/0!</v>
          </cell>
          <cell r="AC27">
            <v>0</v>
          </cell>
          <cell r="AD27">
            <v>0</v>
          </cell>
          <cell r="AE27" t="e">
            <v>#DIV/0!</v>
          </cell>
        </row>
        <row r="27">
          <cell r="AH27" t="e">
            <v>#DIV/0!</v>
          </cell>
          <cell r="AI27">
            <v>0</v>
          </cell>
          <cell r="AJ27">
            <v>0</v>
          </cell>
          <cell r="AK27" t="e">
            <v>#DIV/0!</v>
          </cell>
        </row>
        <row r="28">
          <cell r="C28" t="str">
            <v>东阳市大中商贸有限公司</v>
          </cell>
          <cell r="D28" t="str">
            <v>经销</v>
          </cell>
          <cell r="E28" t="str">
            <v>东阳市</v>
          </cell>
          <cell r="F28" t="str">
            <v>东阳市</v>
          </cell>
          <cell r="G28" t="str">
            <v>张韵威</v>
          </cell>
        </row>
        <row r="28">
          <cell r="I28">
            <v>1690</v>
          </cell>
          <cell r="J28" t="e">
            <v>#DIV/0!</v>
          </cell>
        </row>
        <row r="28">
          <cell r="M28" t="e">
            <v>#DIV/0!</v>
          </cell>
        </row>
        <row r="28">
          <cell r="P28" t="e">
            <v>#DIV/0!</v>
          </cell>
          <cell r="Q28">
            <v>0</v>
          </cell>
          <cell r="R28">
            <v>1690</v>
          </cell>
          <cell r="S28" t="e">
            <v>#DIV/0!</v>
          </cell>
        </row>
        <row r="28">
          <cell r="U28">
            <v>3375</v>
          </cell>
          <cell r="V28" t="e">
            <v>#DIV/0!</v>
          </cell>
          <cell r="W28">
            <v>0</v>
          </cell>
          <cell r="X28">
            <v>5065</v>
          </cell>
          <cell r="Y28" t="e">
            <v>#DIV/0!</v>
          </cell>
        </row>
        <row r="28">
          <cell r="AB28" t="e">
            <v>#DIV/0!</v>
          </cell>
          <cell r="AC28">
            <v>0</v>
          </cell>
          <cell r="AD28">
            <v>5065</v>
          </cell>
          <cell r="AE28" t="e">
            <v>#DIV/0!</v>
          </cell>
        </row>
        <row r="28">
          <cell r="AH28" t="e">
            <v>#DIV/0!</v>
          </cell>
          <cell r="AI28">
            <v>0</v>
          </cell>
          <cell r="AJ28">
            <v>5065</v>
          </cell>
          <cell r="AK28" t="e">
            <v>#DIV/0!</v>
          </cell>
        </row>
        <row r="29">
          <cell r="C29" t="str">
            <v>金华市创佳机电工程有限公司</v>
          </cell>
          <cell r="D29" t="str">
            <v>经销</v>
          </cell>
          <cell r="E29" t="str">
            <v>金华市区</v>
          </cell>
          <cell r="F29" t="str">
            <v>婺城区</v>
          </cell>
          <cell r="G29" t="str">
            <v>潘杏</v>
          </cell>
        </row>
        <row r="29">
          <cell r="J29" t="e">
            <v>#DIV/0!</v>
          </cell>
        </row>
        <row r="29">
          <cell r="M29" t="e">
            <v>#DIV/0!</v>
          </cell>
        </row>
        <row r="29">
          <cell r="P29" t="e">
            <v>#DIV/0!</v>
          </cell>
          <cell r="Q29">
            <v>0</v>
          </cell>
          <cell r="R29">
            <v>0</v>
          </cell>
          <cell r="S29" t="e">
            <v>#DIV/0!</v>
          </cell>
        </row>
        <row r="29">
          <cell r="V29" t="e">
            <v>#DIV/0!</v>
          </cell>
          <cell r="W29">
            <v>0</v>
          </cell>
          <cell r="X29">
            <v>0</v>
          </cell>
          <cell r="Y29" t="e">
            <v>#DIV/0!</v>
          </cell>
        </row>
        <row r="29">
          <cell r="AB29" t="e">
            <v>#DIV/0!</v>
          </cell>
          <cell r="AC29">
            <v>0</v>
          </cell>
          <cell r="AD29">
            <v>0</v>
          </cell>
          <cell r="AE29" t="e">
            <v>#DIV/0!</v>
          </cell>
        </row>
        <row r="29">
          <cell r="AH29" t="e">
            <v>#DIV/0!</v>
          </cell>
          <cell r="AI29">
            <v>0</v>
          </cell>
          <cell r="AJ29">
            <v>0</v>
          </cell>
          <cell r="AK29" t="e">
            <v>#DIV/0!</v>
          </cell>
        </row>
        <row r="30">
          <cell r="C30" t="str">
            <v>浙江新隆环境设备有限公司</v>
          </cell>
          <cell r="D30" t="str">
            <v>经销</v>
          </cell>
          <cell r="E30" t="str">
            <v>金华市区</v>
          </cell>
          <cell r="F30" t="str">
            <v>婺城区</v>
          </cell>
          <cell r="G30" t="str">
            <v>潘杏</v>
          </cell>
        </row>
        <row r="30">
          <cell r="J30" t="e">
            <v>#DIV/0!</v>
          </cell>
        </row>
        <row r="30">
          <cell r="M30" t="e">
            <v>#DIV/0!</v>
          </cell>
        </row>
        <row r="30">
          <cell r="P30" t="e">
            <v>#DIV/0!</v>
          </cell>
          <cell r="Q30">
            <v>0</v>
          </cell>
          <cell r="R30">
            <v>0</v>
          </cell>
          <cell r="S30" t="e">
            <v>#DIV/0!</v>
          </cell>
        </row>
        <row r="30">
          <cell r="V30" t="e">
            <v>#DIV/0!</v>
          </cell>
          <cell r="W30">
            <v>0</v>
          </cell>
          <cell r="X30">
            <v>0</v>
          </cell>
          <cell r="Y30" t="e">
            <v>#DIV/0!</v>
          </cell>
        </row>
        <row r="30">
          <cell r="AB30" t="e">
            <v>#DIV/0!</v>
          </cell>
          <cell r="AC30">
            <v>0</v>
          </cell>
          <cell r="AD30">
            <v>0</v>
          </cell>
          <cell r="AE30" t="e">
            <v>#DIV/0!</v>
          </cell>
        </row>
        <row r="30">
          <cell r="AH30" t="e">
            <v>#DIV/0!</v>
          </cell>
          <cell r="AI30">
            <v>0</v>
          </cell>
          <cell r="AJ30">
            <v>0</v>
          </cell>
          <cell r="AK30" t="e">
            <v>#DIV/0!</v>
          </cell>
          <cell r="AL30">
            <v>5204</v>
          </cell>
        </row>
        <row r="31">
          <cell r="C31" t="str">
            <v>金华市万普电器销售有限公司</v>
          </cell>
          <cell r="D31" t="str">
            <v>经销</v>
          </cell>
          <cell r="E31" t="str">
            <v>金华市区</v>
          </cell>
          <cell r="F31" t="str">
            <v>金东区</v>
          </cell>
          <cell r="G31" t="str">
            <v>潘杏</v>
          </cell>
        </row>
        <row r="31">
          <cell r="I31">
            <v>5412</v>
          </cell>
          <cell r="J31" t="e">
            <v>#DIV/0!</v>
          </cell>
        </row>
        <row r="31">
          <cell r="L31">
            <v>729</v>
          </cell>
          <cell r="M31" t="e">
            <v>#DIV/0!</v>
          </cell>
        </row>
        <row r="31">
          <cell r="O31">
            <v>20000</v>
          </cell>
          <cell r="P31" t="e">
            <v>#DIV/0!</v>
          </cell>
          <cell r="Q31">
            <v>0</v>
          </cell>
          <cell r="R31">
            <v>26141</v>
          </cell>
          <cell r="S31" t="e">
            <v>#DIV/0!</v>
          </cell>
        </row>
        <row r="31">
          <cell r="V31" t="e">
            <v>#DIV/0!</v>
          </cell>
          <cell r="W31">
            <v>0</v>
          </cell>
          <cell r="X31">
            <v>26141</v>
          </cell>
          <cell r="Y31" t="e">
            <v>#DIV/0!</v>
          </cell>
          <cell r="Z31">
            <v>22240</v>
          </cell>
        </row>
        <row r="31">
          <cell r="AB31">
            <v>-1</v>
          </cell>
          <cell r="AC31">
            <v>22240</v>
          </cell>
          <cell r="AD31">
            <v>26141</v>
          </cell>
          <cell r="AE31">
            <v>0.175404676258993</v>
          </cell>
        </row>
        <row r="31">
          <cell r="AG31">
            <v>47792</v>
          </cell>
          <cell r="AH31" t="e">
            <v>#DIV/0!</v>
          </cell>
          <cell r="AI31">
            <v>22240</v>
          </cell>
          <cell r="AJ31">
            <v>73933</v>
          </cell>
          <cell r="AK31">
            <v>2.32432553956835</v>
          </cell>
        </row>
        <row r="31">
          <cell r="AM31">
            <v>37572</v>
          </cell>
        </row>
        <row r="32">
          <cell r="C32" t="str">
            <v>龙游博美电器有限公司</v>
          </cell>
          <cell r="D32" t="str">
            <v>经销</v>
          </cell>
          <cell r="E32" t="str">
            <v>龙游县</v>
          </cell>
          <cell r="F32" t="str">
            <v>龙游县</v>
          </cell>
          <cell r="G32" t="str">
            <v>江雯</v>
          </cell>
        </row>
        <row r="32">
          <cell r="J32" t="e">
            <v>#DIV/0!</v>
          </cell>
        </row>
        <row r="32">
          <cell r="M32" t="e">
            <v>#DIV/0!</v>
          </cell>
        </row>
        <row r="32">
          <cell r="P32" t="e">
            <v>#DIV/0!</v>
          </cell>
          <cell r="Q32">
            <v>0</v>
          </cell>
          <cell r="R32">
            <v>0</v>
          </cell>
          <cell r="S32" t="e">
            <v>#DIV/0!</v>
          </cell>
          <cell r="T32">
            <v>8514</v>
          </cell>
          <cell r="U32">
            <v>2998</v>
          </cell>
          <cell r="V32">
            <v>-0.647874089734555</v>
          </cell>
          <cell r="W32">
            <v>8514</v>
          </cell>
          <cell r="X32">
            <v>2998</v>
          </cell>
          <cell r="Y32">
            <v>-0.647874089734555</v>
          </cell>
        </row>
        <row r="32">
          <cell r="AB32" t="e">
            <v>#DIV/0!</v>
          </cell>
          <cell r="AC32">
            <v>8514</v>
          </cell>
          <cell r="AD32">
            <v>2998</v>
          </cell>
          <cell r="AE32">
            <v>-0.647874089734555</v>
          </cell>
          <cell r="AF32">
            <v>424</v>
          </cell>
        </row>
        <row r="32">
          <cell r="AH32">
            <v>-1</v>
          </cell>
          <cell r="AI32">
            <v>8938</v>
          </cell>
          <cell r="AJ32">
            <v>2998</v>
          </cell>
          <cell r="AK32">
            <v>-0.664578205415082</v>
          </cell>
          <cell r="AL32">
            <v>2334</v>
          </cell>
        </row>
        <row r="33">
          <cell r="C33" t="str">
            <v>衢州众冠电器有限公司</v>
          </cell>
          <cell r="D33" t="str">
            <v>经销</v>
          </cell>
          <cell r="E33" t="str">
            <v>常山县</v>
          </cell>
          <cell r="F33" t="str">
            <v>常山县</v>
          </cell>
          <cell r="G33" t="str">
            <v>江雯</v>
          </cell>
        </row>
        <row r="33">
          <cell r="J33" t="e">
            <v>#DIV/0!</v>
          </cell>
        </row>
        <row r="33">
          <cell r="M33" t="e">
            <v>#DIV/0!</v>
          </cell>
        </row>
        <row r="33">
          <cell r="P33" t="e">
            <v>#DIV/0!</v>
          </cell>
          <cell r="Q33">
            <v>0</v>
          </cell>
          <cell r="R33">
            <v>0</v>
          </cell>
          <cell r="S33" t="e">
            <v>#DIV/0!</v>
          </cell>
        </row>
        <row r="33">
          <cell r="U33">
            <v>20000</v>
          </cell>
          <cell r="V33" t="e">
            <v>#DIV/0!</v>
          </cell>
          <cell r="W33">
            <v>0</v>
          </cell>
          <cell r="X33">
            <v>20000</v>
          </cell>
          <cell r="Y33" t="e">
            <v>#DIV/0!</v>
          </cell>
        </row>
        <row r="33">
          <cell r="AB33" t="e">
            <v>#DIV/0!</v>
          </cell>
          <cell r="AC33">
            <v>0</v>
          </cell>
          <cell r="AD33">
            <v>20000</v>
          </cell>
          <cell r="AE33" t="e">
            <v>#DIV/0!</v>
          </cell>
        </row>
        <row r="33">
          <cell r="AH33" t="e">
            <v>#DIV/0!</v>
          </cell>
          <cell r="AI33">
            <v>0</v>
          </cell>
          <cell r="AJ33">
            <v>20000</v>
          </cell>
          <cell r="AK33" t="e">
            <v>#DIV/0!</v>
          </cell>
        </row>
        <row r="33">
          <cell r="AM33">
            <v>10000</v>
          </cell>
        </row>
        <row r="34">
          <cell r="C34" t="str">
            <v>永康市新森态暖通设备有限公司</v>
          </cell>
          <cell r="D34" t="str">
            <v>暖通</v>
          </cell>
          <cell r="E34" t="str">
            <v>永康市</v>
          </cell>
          <cell r="F34" t="str">
            <v>永康市</v>
          </cell>
          <cell r="G34" t="str">
            <v>潘杏</v>
          </cell>
        </row>
        <row r="34">
          <cell r="J34" t="e">
            <v>#DIV/0!</v>
          </cell>
        </row>
        <row r="34">
          <cell r="M34" t="e">
            <v>#DIV/0!</v>
          </cell>
        </row>
        <row r="34">
          <cell r="P34" t="e">
            <v>#DIV/0!</v>
          </cell>
          <cell r="Q34">
            <v>0</v>
          </cell>
          <cell r="R34">
            <v>0</v>
          </cell>
          <cell r="S34" t="e">
            <v>#DIV/0!</v>
          </cell>
        </row>
        <row r="34">
          <cell r="V34" t="e">
            <v>#DIV/0!</v>
          </cell>
          <cell r="W34">
            <v>0</v>
          </cell>
          <cell r="X34">
            <v>0</v>
          </cell>
          <cell r="Y34" t="e">
            <v>#DIV/0!</v>
          </cell>
        </row>
        <row r="34">
          <cell r="AB34" t="e">
            <v>#DIV/0!</v>
          </cell>
          <cell r="AC34">
            <v>0</v>
          </cell>
          <cell r="AD34">
            <v>0</v>
          </cell>
          <cell r="AE34" t="e">
            <v>#DIV/0!</v>
          </cell>
        </row>
        <row r="34">
          <cell r="AH34" t="e">
            <v>#DIV/0!</v>
          </cell>
          <cell r="AI34">
            <v>0</v>
          </cell>
          <cell r="AJ34">
            <v>0</v>
          </cell>
          <cell r="AK34" t="e">
            <v>#DIV/0!</v>
          </cell>
        </row>
        <row r="35">
          <cell r="C35" t="str">
            <v>武义国美电器商场</v>
          </cell>
          <cell r="D35" t="str">
            <v>经销</v>
          </cell>
          <cell r="E35" t="str">
            <v>武义县</v>
          </cell>
          <cell r="F35" t="str">
            <v>武义县</v>
          </cell>
          <cell r="G35" t="str">
            <v>潘杏</v>
          </cell>
        </row>
        <row r="35">
          <cell r="J35" t="e">
            <v>#DIV/0!</v>
          </cell>
        </row>
        <row r="35">
          <cell r="M35" t="e">
            <v>#DIV/0!</v>
          </cell>
        </row>
        <row r="35">
          <cell r="P35" t="e">
            <v>#DIV/0!</v>
          </cell>
          <cell r="Q35">
            <v>0</v>
          </cell>
          <cell r="R35">
            <v>0</v>
          </cell>
          <cell r="S35" t="e">
            <v>#DIV/0!</v>
          </cell>
        </row>
        <row r="35">
          <cell r="V35" t="e">
            <v>#DIV/0!</v>
          </cell>
          <cell r="W35">
            <v>0</v>
          </cell>
          <cell r="X35">
            <v>0</v>
          </cell>
          <cell r="Y35" t="e">
            <v>#DIV/0!</v>
          </cell>
        </row>
        <row r="35">
          <cell r="AB35" t="e">
            <v>#DIV/0!</v>
          </cell>
          <cell r="AC35">
            <v>0</v>
          </cell>
          <cell r="AD35">
            <v>0</v>
          </cell>
          <cell r="AE35" t="e">
            <v>#DIV/0!</v>
          </cell>
        </row>
        <row r="35">
          <cell r="AH35" t="e">
            <v>#DIV/0!</v>
          </cell>
          <cell r="AI35">
            <v>0</v>
          </cell>
          <cell r="AJ35">
            <v>0</v>
          </cell>
          <cell r="AK35" t="e">
            <v>#DIV/0!</v>
          </cell>
        </row>
        <row r="36">
          <cell r="C36" t="str">
            <v>浙江省永康市金城家电有限公司</v>
          </cell>
          <cell r="D36" t="str">
            <v>经销</v>
          </cell>
          <cell r="E36" t="str">
            <v>永康市</v>
          </cell>
          <cell r="F36" t="str">
            <v>永康市</v>
          </cell>
          <cell r="G36" t="str">
            <v>潘杏</v>
          </cell>
        </row>
        <row r="36">
          <cell r="J36" t="e">
            <v>#DIV/0!</v>
          </cell>
        </row>
        <row r="36">
          <cell r="M36" t="e">
            <v>#DIV/0!</v>
          </cell>
        </row>
        <row r="36">
          <cell r="P36" t="e">
            <v>#DIV/0!</v>
          </cell>
          <cell r="Q36">
            <v>0</v>
          </cell>
          <cell r="R36">
            <v>0</v>
          </cell>
          <cell r="S36" t="e">
            <v>#DIV/0!</v>
          </cell>
        </row>
        <row r="36">
          <cell r="V36" t="e">
            <v>#DIV/0!</v>
          </cell>
          <cell r="W36">
            <v>0</v>
          </cell>
          <cell r="X36">
            <v>0</v>
          </cell>
          <cell r="Y36" t="e">
            <v>#DIV/0!</v>
          </cell>
        </row>
        <row r="36">
          <cell r="AB36" t="e">
            <v>#DIV/0!</v>
          </cell>
          <cell r="AC36">
            <v>0</v>
          </cell>
          <cell r="AD36">
            <v>0</v>
          </cell>
          <cell r="AE36" t="e">
            <v>#DIV/0!</v>
          </cell>
        </row>
        <row r="36">
          <cell r="AH36" t="e">
            <v>#DIV/0!</v>
          </cell>
          <cell r="AI36">
            <v>0</v>
          </cell>
          <cell r="AJ36">
            <v>0</v>
          </cell>
          <cell r="AK36" t="e">
            <v>#DIV/0!</v>
          </cell>
        </row>
        <row r="37">
          <cell r="C37" t="str">
            <v>金华市婺美电器有限公司</v>
          </cell>
          <cell r="D37" t="str">
            <v>经销</v>
          </cell>
          <cell r="E37" t="str">
            <v>金华市区</v>
          </cell>
          <cell r="F37" t="str">
            <v>婺城区</v>
          </cell>
          <cell r="G37" t="str">
            <v>潘杏</v>
          </cell>
        </row>
        <row r="37">
          <cell r="U37">
            <v>1810</v>
          </cell>
          <cell r="V37" t="e">
            <v>#DIV/0!</v>
          </cell>
          <cell r="W37">
            <v>0</v>
          </cell>
          <cell r="X37">
            <v>1810</v>
          </cell>
          <cell r="Y37" t="e">
            <v>#DIV/0!</v>
          </cell>
        </row>
        <row r="37">
          <cell r="AA37">
            <v>4787</v>
          </cell>
          <cell r="AB37" t="e">
            <v>#DIV/0!</v>
          </cell>
          <cell r="AC37">
            <v>0</v>
          </cell>
          <cell r="AD37">
            <v>6597</v>
          </cell>
          <cell r="AE37" t="e">
            <v>#DIV/0!</v>
          </cell>
        </row>
        <row r="37">
          <cell r="AG37">
            <v>8454</v>
          </cell>
          <cell r="AH37" t="e">
            <v>#DIV/0!</v>
          </cell>
          <cell r="AI37">
            <v>0</v>
          </cell>
          <cell r="AJ37">
            <v>15051</v>
          </cell>
          <cell r="AK37" t="e">
            <v>#DIV/0!</v>
          </cell>
        </row>
        <row r="38">
          <cell r="C38" t="str">
            <v>兰溪市升美电器商行</v>
          </cell>
          <cell r="D38" t="str">
            <v>经销</v>
          </cell>
          <cell r="E38" t="str">
            <v>兰溪市</v>
          </cell>
          <cell r="F38" t="str">
            <v>兰溪市</v>
          </cell>
          <cell r="G38" t="str">
            <v>潘杏</v>
          </cell>
        </row>
        <row r="38">
          <cell r="AA38">
            <v>30000</v>
          </cell>
          <cell r="AB38" t="e">
            <v>#DIV/0!</v>
          </cell>
          <cell r="AC38">
            <v>0</v>
          </cell>
          <cell r="AD38">
            <v>30000</v>
          </cell>
          <cell r="AE38" t="e">
            <v>#DIV/0!</v>
          </cell>
        </row>
        <row r="38">
          <cell r="AH38" t="e">
            <v>#DIV/0!</v>
          </cell>
          <cell r="AI38">
            <v>0</v>
          </cell>
          <cell r="AJ38">
            <v>30000</v>
          </cell>
          <cell r="AK38" t="e">
            <v>#DIV/0!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汇总1"/>
      <sheetName val="杭州"/>
      <sheetName val="湖州"/>
      <sheetName val="嘉兴"/>
      <sheetName val="金衢"/>
      <sheetName val="绍兴"/>
      <sheetName val="台州"/>
      <sheetName val="壁挂炉电商"/>
      <sheetName val="温丽"/>
      <sheetName val="汇总"/>
      <sheetName val="Sheet2"/>
      <sheetName val="Sheet4"/>
      <sheetName val="23年人口数据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C1" t="str">
            <v>系统名称</v>
          </cell>
          <cell r="D1" t="str">
            <v>渠道</v>
          </cell>
          <cell r="E1" t="str">
            <v>大区</v>
          </cell>
          <cell r="F1" t="str">
            <v>市/区/县</v>
          </cell>
          <cell r="G1" t="str">
            <v>业务员</v>
          </cell>
          <cell r="H1" t="str">
            <v>1月</v>
          </cell>
        </row>
        <row r="1">
          <cell r="J1" t="str">
            <v>同比</v>
          </cell>
          <cell r="K1" t="str">
            <v>2月</v>
          </cell>
        </row>
        <row r="1">
          <cell r="M1" t="str">
            <v>同比</v>
          </cell>
          <cell r="N1" t="str">
            <v>3月</v>
          </cell>
        </row>
        <row r="1">
          <cell r="P1" t="str">
            <v>同比</v>
          </cell>
          <cell r="Q1" t="str">
            <v>Q1</v>
          </cell>
        </row>
        <row r="1">
          <cell r="S1" t="str">
            <v>同比</v>
          </cell>
          <cell r="T1" t="str">
            <v>4月</v>
          </cell>
        </row>
        <row r="1">
          <cell r="V1" t="str">
            <v>同比</v>
          </cell>
          <cell r="W1" t="str">
            <v>1-4月</v>
          </cell>
        </row>
        <row r="1">
          <cell r="Y1" t="str">
            <v>同比</v>
          </cell>
          <cell r="Z1" t="str">
            <v>5月</v>
          </cell>
        </row>
        <row r="1">
          <cell r="AB1" t="str">
            <v>同比</v>
          </cell>
          <cell r="AC1" t="str">
            <v>1-5月</v>
          </cell>
        </row>
        <row r="1">
          <cell r="AE1" t="str">
            <v>同比</v>
          </cell>
          <cell r="AF1" t="str">
            <v>6月</v>
          </cell>
        </row>
        <row r="1">
          <cell r="AH1" t="str">
            <v>同比</v>
          </cell>
          <cell r="AI1" t="str">
            <v>1-6月</v>
          </cell>
        </row>
        <row r="1">
          <cell r="AK1" t="str">
            <v>同比</v>
          </cell>
          <cell r="AL1" t="str">
            <v>7月</v>
          </cell>
        </row>
        <row r="1">
          <cell r="AN1" t="str">
            <v>同比</v>
          </cell>
          <cell r="AO1" t="str">
            <v>1-7月</v>
          </cell>
        </row>
        <row r="1">
          <cell r="AQ1" t="str">
            <v>同比</v>
          </cell>
          <cell r="AR1" t="str">
            <v>8月</v>
          </cell>
        </row>
        <row r="2">
          <cell r="H2" t="str">
            <v>2023年</v>
          </cell>
          <cell r="I2" t="str">
            <v>2024年</v>
          </cell>
        </row>
        <row r="2">
          <cell r="K2" t="str">
            <v>2023年</v>
          </cell>
          <cell r="L2" t="str">
            <v>2024年</v>
          </cell>
        </row>
        <row r="2">
          <cell r="N2" t="str">
            <v>2023年</v>
          </cell>
          <cell r="O2" t="str">
            <v>2024年</v>
          </cell>
        </row>
        <row r="2">
          <cell r="Q2" t="str">
            <v>2023年</v>
          </cell>
          <cell r="R2" t="str">
            <v>2024年</v>
          </cell>
        </row>
        <row r="2">
          <cell r="T2" t="str">
            <v>2023年</v>
          </cell>
          <cell r="U2" t="str">
            <v>2024年</v>
          </cell>
        </row>
        <row r="2">
          <cell r="W2" t="str">
            <v>2023年</v>
          </cell>
          <cell r="X2" t="str">
            <v>2024年</v>
          </cell>
        </row>
        <row r="2">
          <cell r="Z2" t="str">
            <v>2023年</v>
          </cell>
          <cell r="AA2" t="str">
            <v>2024年</v>
          </cell>
        </row>
        <row r="2">
          <cell r="AC2" t="str">
            <v>2023年</v>
          </cell>
          <cell r="AD2" t="str">
            <v>2024年</v>
          </cell>
        </row>
        <row r="2">
          <cell r="AF2" t="str">
            <v>2023年</v>
          </cell>
          <cell r="AG2" t="str">
            <v>2024年</v>
          </cell>
        </row>
        <row r="2">
          <cell r="AI2" t="str">
            <v>2023年</v>
          </cell>
          <cell r="AJ2" t="str">
            <v>2024年</v>
          </cell>
        </row>
        <row r="2">
          <cell r="AL2" t="str">
            <v>2023年</v>
          </cell>
          <cell r="AM2" t="str">
            <v>2024年</v>
          </cell>
        </row>
        <row r="2">
          <cell r="AO2" t="str">
            <v>2023年</v>
          </cell>
          <cell r="AP2" t="str">
            <v>2024年</v>
          </cell>
        </row>
        <row r="2">
          <cell r="AR2" t="str">
            <v>2023年</v>
          </cell>
          <cell r="AS2" t="str">
            <v>2024年</v>
          </cell>
        </row>
        <row r="3">
          <cell r="C3" t="str">
            <v>义乌市荣昌家电维修部</v>
          </cell>
          <cell r="D3" t="str">
            <v>加盟</v>
          </cell>
          <cell r="E3" t="str">
            <v>义乌市</v>
          </cell>
          <cell r="F3" t="str">
            <v>义乌市</v>
          </cell>
          <cell r="G3" t="str">
            <v>张韵威</v>
          </cell>
          <cell r="H3">
            <v>72000</v>
          </cell>
          <cell r="I3">
            <v>365000</v>
          </cell>
          <cell r="J3">
            <v>4.06944444444444</v>
          </cell>
          <cell r="K3">
            <v>100500</v>
          </cell>
          <cell r="L3">
            <v>30000</v>
          </cell>
          <cell r="M3">
            <v>-0.701492537313433</v>
          </cell>
          <cell r="N3">
            <v>131000</v>
          </cell>
          <cell r="O3">
            <v>148000</v>
          </cell>
          <cell r="P3">
            <v>0.129770992366412</v>
          </cell>
          <cell r="Q3">
            <v>303500</v>
          </cell>
          <cell r="R3">
            <v>543000</v>
          </cell>
          <cell r="S3">
            <v>0.789126853377265</v>
          </cell>
          <cell r="T3">
            <v>110500</v>
          </cell>
          <cell r="U3">
            <v>115000</v>
          </cell>
          <cell r="V3">
            <v>0.0407239819004526</v>
          </cell>
          <cell r="W3">
            <v>414000</v>
          </cell>
          <cell r="X3">
            <v>658000</v>
          </cell>
          <cell r="Y3">
            <v>0.589371980676328</v>
          </cell>
          <cell r="Z3">
            <v>161500</v>
          </cell>
          <cell r="AA3">
            <v>171600</v>
          </cell>
          <cell r="AB3">
            <v>0.0625386996904025</v>
          </cell>
          <cell r="AC3">
            <v>575500</v>
          </cell>
          <cell r="AD3">
            <v>829600</v>
          </cell>
          <cell r="AE3">
            <v>0.441529105125977</v>
          </cell>
          <cell r="AF3">
            <v>219754.66</v>
          </cell>
          <cell r="AG3">
            <v>165430.3</v>
          </cell>
          <cell r="AH3">
            <v>-0.247204587151872</v>
          </cell>
          <cell r="AI3">
            <v>795254.66</v>
          </cell>
          <cell r="AJ3">
            <v>995030.3</v>
          </cell>
          <cell r="AK3">
            <v>0.251209643964865</v>
          </cell>
          <cell r="AL3">
            <v>151500</v>
          </cell>
          <cell r="AM3">
            <v>130000</v>
          </cell>
          <cell r="AN3">
            <v>-0.141914191419142</v>
          </cell>
          <cell r="AO3">
            <v>946754.66</v>
          </cell>
          <cell r="AP3">
            <v>1125030.3</v>
          </cell>
          <cell r="AQ3">
            <v>0.188301835239977</v>
          </cell>
          <cell r="AR3">
            <v>199000</v>
          </cell>
          <cell r="AS3">
            <v>110000</v>
          </cell>
        </row>
        <row r="4">
          <cell r="C4" t="str">
            <v>义乌市爱坤节能设备有限公司</v>
          </cell>
          <cell r="D4" t="str">
            <v>经销</v>
          </cell>
          <cell r="E4" t="str">
            <v>义乌市</v>
          </cell>
          <cell r="F4" t="str">
            <v>义乌市</v>
          </cell>
          <cell r="G4" t="str">
            <v>张韵威</v>
          </cell>
        </row>
        <row r="4">
          <cell r="J4" t="e">
            <v>#DIV/0!</v>
          </cell>
          <cell r="K4">
            <v>9518</v>
          </cell>
        </row>
        <row r="4">
          <cell r="M4">
            <v>-1</v>
          </cell>
        </row>
        <row r="4">
          <cell r="P4" t="e">
            <v>#DIV/0!</v>
          </cell>
          <cell r="Q4">
            <v>9518</v>
          </cell>
          <cell r="R4">
            <v>0</v>
          </cell>
          <cell r="S4">
            <v>-1</v>
          </cell>
        </row>
        <row r="4">
          <cell r="V4" t="e">
            <v>#DIV/0!</v>
          </cell>
          <cell r="W4">
            <v>9518</v>
          </cell>
          <cell r="X4">
            <v>0</v>
          </cell>
          <cell r="Y4">
            <v>-1</v>
          </cell>
        </row>
        <row r="4">
          <cell r="AB4" t="e">
            <v>#DIV/0!</v>
          </cell>
          <cell r="AC4">
            <v>9518</v>
          </cell>
          <cell r="AD4">
            <v>0</v>
          </cell>
          <cell r="AE4">
            <v>-1</v>
          </cell>
        </row>
        <row r="4">
          <cell r="AH4" t="e">
            <v>#DIV/0!</v>
          </cell>
          <cell r="AI4">
            <v>9518</v>
          </cell>
          <cell r="AJ4">
            <v>0</v>
          </cell>
          <cell r="AK4">
            <v>-1</v>
          </cell>
        </row>
        <row r="4">
          <cell r="AN4" t="e">
            <v>#DIV/0!</v>
          </cell>
          <cell r="AO4">
            <v>9518</v>
          </cell>
          <cell r="AP4">
            <v>0</v>
          </cell>
          <cell r="AQ4">
            <v>-1</v>
          </cell>
        </row>
        <row r="5">
          <cell r="C5" t="str">
            <v>浙江普农家电有限公司</v>
          </cell>
          <cell r="D5" t="str">
            <v>TOP渠道</v>
          </cell>
          <cell r="E5" t="str">
            <v>衢州市区</v>
          </cell>
          <cell r="F5" t="str">
            <v>衢州市</v>
          </cell>
          <cell r="G5" t="str">
            <v>江雯</v>
          </cell>
          <cell r="H5">
            <v>171360</v>
          </cell>
          <cell r="I5">
            <v>203140.4</v>
          </cell>
          <cell r="J5">
            <v>0.185459850606909</v>
          </cell>
          <cell r="K5">
            <v>70132</v>
          </cell>
          <cell r="L5">
            <v>108325</v>
          </cell>
          <cell r="M5">
            <v>0.544587349569383</v>
          </cell>
          <cell r="N5">
            <v>85306</v>
          </cell>
          <cell r="O5">
            <v>64094</v>
          </cell>
          <cell r="P5">
            <v>-0.248657773192976</v>
          </cell>
          <cell r="Q5">
            <v>326798</v>
          </cell>
          <cell r="R5">
            <v>375559.4</v>
          </cell>
          <cell r="S5">
            <v>0.149209603485946</v>
          </cell>
          <cell r="T5">
            <v>65302</v>
          </cell>
          <cell r="U5">
            <v>66218</v>
          </cell>
          <cell r="V5">
            <v>0.014027135462926</v>
          </cell>
          <cell r="W5">
            <v>392100</v>
          </cell>
          <cell r="X5">
            <v>441777.4</v>
          </cell>
          <cell r="Y5">
            <v>0.126695740882428</v>
          </cell>
          <cell r="Z5">
            <v>61011</v>
          </cell>
          <cell r="AA5">
            <v>62805</v>
          </cell>
          <cell r="AB5">
            <v>0.0294045336086934</v>
          </cell>
          <cell r="AC5">
            <v>453111</v>
          </cell>
          <cell r="AD5">
            <v>504582.4</v>
          </cell>
          <cell r="AE5">
            <v>0.11359556488366</v>
          </cell>
          <cell r="AF5">
            <v>128804</v>
          </cell>
          <cell r="AG5">
            <v>109740</v>
          </cell>
          <cell r="AH5">
            <v>-0.148007825843918</v>
          </cell>
          <cell r="AI5">
            <v>581915</v>
          </cell>
          <cell r="AJ5">
            <v>614322.4</v>
          </cell>
          <cell r="AK5">
            <v>0.055690951427614</v>
          </cell>
          <cell r="AL5">
            <v>131266</v>
          </cell>
          <cell r="AM5">
            <v>81839</v>
          </cell>
          <cell r="AN5">
            <v>-0.376540764554416</v>
          </cell>
          <cell r="AO5">
            <v>713181</v>
          </cell>
          <cell r="AP5">
            <v>696161.4</v>
          </cell>
          <cell r="AQ5">
            <v>-0.0238643486015471</v>
          </cell>
          <cell r="AR5">
            <v>93679</v>
          </cell>
          <cell r="AS5">
            <v>111235</v>
          </cell>
        </row>
        <row r="6">
          <cell r="C6" t="str">
            <v>金华五星</v>
          </cell>
          <cell r="D6" t="str">
            <v>五星</v>
          </cell>
          <cell r="E6" t="str">
            <v>金华市区</v>
          </cell>
          <cell r="F6" t="str">
            <v>市区</v>
          </cell>
          <cell r="G6" t="str">
            <v>潘杏</v>
          </cell>
        </row>
        <row r="6">
          <cell r="I6">
            <v>97567.31</v>
          </cell>
          <cell r="J6" t="e">
            <v>#DIV/0!</v>
          </cell>
          <cell r="K6">
            <v>173256.98</v>
          </cell>
        </row>
        <row r="6">
          <cell r="M6">
            <v>-1</v>
          </cell>
          <cell r="N6">
            <v>54981.65</v>
          </cell>
        </row>
        <row r="6">
          <cell r="P6">
            <v>-1</v>
          </cell>
          <cell r="Q6">
            <v>228238.63</v>
          </cell>
          <cell r="R6">
            <v>97567.31</v>
          </cell>
          <cell r="S6">
            <v>-0.572520611431991</v>
          </cell>
          <cell r="T6">
            <v>87089.25</v>
          </cell>
          <cell r="U6">
            <v>240583.45</v>
          </cell>
          <cell r="V6">
            <v>1.76249307463321</v>
          </cell>
          <cell r="W6">
            <v>315327.88</v>
          </cell>
          <cell r="X6">
            <v>338150.76</v>
          </cell>
          <cell r="Y6">
            <v>0.0723782495857963</v>
          </cell>
          <cell r="Z6">
            <v>60317.47</v>
          </cell>
          <cell r="AA6">
            <v>100835.81</v>
          </cell>
          <cell r="AB6">
            <v>0.671751318482025</v>
          </cell>
          <cell r="AC6">
            <v>375645.35</v>
          </cell>
          <cell r="AD6">
            <v>438986.57</v>
          </cell>
          <cell r="AE6">
            <v>0.168619736674499</v>
          </cell>
        </row>
        <row r="6">
          <cell r="AG6">
            <v>64337.91</v>
          </cell>
          <cell r="AH6" t="e">
            <v>#DIV/0!</v>
          </cell>
          <cell r="AI6">
            <v>375645.35</v>
          </cell>
          <cell r="AJ6">
            <v>503324.48</v>
          </cell>
          <cell r="AK6">
            <v>0.339892747241514</v>
          </cell>
        </row>
        <row r="6">
          <cell r="AM6">
            <v>130913.08</v>
          </cell>
          <cell r="AN6" t="e">
            <v>#DIV/0!</v>
          </cell>
          <cell r="AO6">
            <v>375645.35</v>
          </cell>
          <cell r="AP6">
            <v>634237.56</v>
          </cell>
          <cell r="AQ6">
            <v>0.68839454554675</v>
          </cell>
          <cell r="AR6">
            <v>20000</v>
          </cell>
          <cell r="AS6">
            <v>41058.21</v>
          </cell>
        </row>
        <row r="7">
          <cell r="C7" t="str">
            <v>金华国美</v>
          </cell>
          <cell r="D7" t="str">
            <v>国美</v>
          </cell>
          <cell r="E7" t="str">
            <v>金华市区</v>
          </cell>
          <cell r="F7" t="str">
            <v>市区</v>
          </cell>
          <cell r="G7" t="str">
            <v>潘杏</v>
          </cell>
        </row>
        <row r="7">
          <cell r="J7" t="e">
            <v>#DIV/0!</v>
          </cell>
        </row>
        <row r="7">
          <cell r="M7" t="e">
            <v>#DIV/0!</v>
          </cell>
        </row>
        <row r="7">
          <cell r="P7" t="e">
            <v>#DIV/0!</v>
          </cell>
          <cell r="Q7">
            <v>0</v>
          </cell>
          <cell r="R7">
            <v>0</v>
          </cell>
          <cell r="S7" t="e">
            <v>#DIV/0!</v>
          </cell>
        </row>
        <row r="7">
          <cell r="V7" t="e">
            <v>#DIV/0!</v>
          </cell>
          <cell r="W7">
            <v>0</v>
          </cell>
          <cell r="X7">
            <v>0</v>
          </cell>
          <cell r="Y7" t="e">
            <v>#DIV/0!</v>
          </cell>
        </row>
        <row r="7">
          <cell r="AB7" t="e">
            <v>#DIV/0!</v>
          </cell>
          <cell r="AC7">
            <v>0</v>
          </cell>
          <cell r="AD7">
            <v>0</v>
          </cell>
          <cell r="AE7" t="e">
            <v>#DIV/0!</v>
          </cell>
        </row>
        <row r="7">
          <cell r="AH7" t="e">
            <v>#DIV/0!</v>
          </cell>
          <cell r="AI7">
            <v>0</v>
          </cell>
          <cell r="AJ7">
            <v>0</v>
          </cell>
          <cell r="AK7" t="e">
            <v>#DIV/0!</v>
          </cell>
        </row>
        <row r="7">
          <cell r="AN7" t="e">
            <v>#DIV/0!</v>
          </cell>
          <cell r="AO7">
            <v>0</v>
          </cell>
          <cell r="AP7">
            <v>0</v>
          </cell>
          <cell r="AQ7" t="e">
            <v>#DIV/0!</v>
          </cell>
        </row>
        <row r="8">
          <cell r="C8" t="str">
            <v>（新）金华八一南街专卖店</v>
          </cell>
          <cell r="D8" t="str">
            <v>直营</v>
          </cell>
          <cell r="E8" t="str">
            <v>金华市区</v>
          </cell>
          <cell r="F8" t="str">
            <v>婺城区</v>
          </cell>
          <cell r="G8" t="str">
            <v>杨华才</v>
          </cell>
          <cell r="H8">
            <v>31072</v>
          </cell>
          <cell r="I8">
            <v>17958</v>
          </cell>
          <cell r="J8">
            <v>-0.422052008238929</v>
          </cell>
          <cell r="K8">
            <v>42511</v>
          </cell>
          <cell r="L8">
            <v>3966</v>
          </cell>
          <cell r="M8">
            <v>-0.906706499494249</v>
          </cell>
          <cell r="N8">
            <v>25944.9</v>
          </cell>
          <cell r="O8">
            <v>6800</v>
          </cell>
          <cell r="P8">
            <v>-0.737906101006363</v>
          </cell>
          <cell r="Q8">
            <v>99527.9</v>
          </cell>
          <cell r="R8">
            <v>28724</v>
          </cell>
          <cell r="S8">
            <v>-0.711397507633538</v>
          </cell>
          <cell r="T8">
            <v>20300</v>
          </cell>
        </row>
        <row r="8">
          <cell r="V8">
            <v>-1</v>
          </cell>
          <cell r="W8">
            <v>119827.9</v>
          </cell>
          <cell r="X8">
            <v>28724</v>
          </cell>
          <cell r="Y8">
            <v>-0.760289548594276</v>
          </cell>
          <cell r="Z8">
            <v>21103</v>
          </cell>
        </row>
        <row r="8">
          <cell r="AB8">
            <v>-1</v>
          </cell>
          <cell r="AC8">
            <v>140930.9</v>
          </cell>
          <cell r="AD8">
            <v>28724</v>
          </cell>
          <cell r="AE8">
            <v>-0.796183803551954</v>
          </cell>
          <cell r="AF8">
            <v>7231</v>
          </cell>
        </row>
        <row r="8">
          <cell r="AH8">
            <v>-1</v>
          </cell>
          <cell r="AI8">
            <v>148161.9</v>
          </cell>
          <cell r="AJ8">
            <v>28724</v>
          </cell>
          <cell r="AK8">
            <v>-0.806130995890306</v>
          </cell>
          <cell r="AL8">
            <v>1403</v>
          </cell>
        </row>
        <row r="8">
          <cell r="AN8">
            <v>-1</v>
          </cell>
          <cell r="AO8">
            <v>149564.9</v>
          </cell>
          <cell r="AP8">
            <v>28724</v>
          </cell>
          <cell r="AQ8">
            <v>-0.80794959245117</v>
          </cell>
          <cell r="AR8">
            <v>6351</v>
          </cell>
        </row>
        <row r="9">
          <cell r="C9" t="str">
            <v>衢州市柯城汇鑫家用电器商行</v>
          </cell>
          <cell r="D9" t="str">
            <v>加盟</v>
          </cell>
          <cell r="E9" t="str">
            <v>衢州市区</v>
          </cell>
          <cell r="F9" t="str">
            <v>柯城区</v>
          </cell>
          <cell r="G9" t="str">
            <v>江雯</v>
          </cell>
          <cell r="H9">
            <v>21300</v>
          </cell>
          <cell r="I9">
            <v>25400</v>
          </cell>
          <cell r="J9">
            <v>0.192488262910798</v>
          </cell>
          <cell r="K9">
            <v>23900</v>
          </cell>
          <cell r="L9">
            <v>10400</v>
          </cell>
          <cell r="M9">
            <v>-0.564853556485356</v>
          </cell>
          <cell r="N9">
            <v>80450</v>
          </cell>
          <cell r="O9">
            <v>30900</v>
          </cell>
          <cell r="P9">
            <v>-0.615910503418272</v>
          </cell>
          <cell r="Q9">
            <v>125650</v>
          </cell>
          <cell r="R9">
            <v>66700</v>
          </cell>
          <cell r="S9">
            <v>-0.469160366096299</v>
          </cell>
          <cell r="T9">
            <v>45410</v>
          </cell>
          <cell r="U9">
            <v>32900</v>
          </cell>
          <cell r="V9">
            <v>-0.275489980180577</v>
          </cell>
          <cell r="W9">
            <v>171060</v>
          </cell>
          <cell r="X9">
            <v>99600</v>
          </cell>
          <cell r="Y9">
            <v>-0.417748158540863</v>
          </cell>
          <cell r="Z9">
            <v>88770</v>
          </cell>
          <cell r="AA9">
            <v>65953</v>
          </cell>
          <cell r="AB9">
            <v>-0.257035034358454</v>
          </cell>
          <cell r="AC9">
            <v>259830</v>
          </cell>
          <cell r="AD9">
            <v>165553</v>
          </cell>
          <cell r="AE9">
            <v>-0.362841088403956</v>
          </cell>
          <cell r="AF9">
            <v>46100</v>
          </cell>
          <cell r="AG9">
            <v>14600</v>
          </cell>
          <cell r="AH9">
            <v>-0.683297180043384</v>
          </cell>
          <cell r="AI9">
            <v>305930</v>
          </cell>
          <cell r="AJ9">
            <v>180153</v>
          </cell>
          <cell r="AK9">
            <v>-0.411129997058151</v>
          </cell>
          <cell r="AL9">
            <v>23900</v>
          </cell>
          <cell r="AM9">
            <v>20800</v>
          </cell>
          <cell r="AN9">
            <v>-0.129707112970711</v>
          </cell>
          <cell r="AO9">
            <v>329830</v>
          </cell>
          <cell r="AP9">
            <v>200953</v>
          </cell>
          <cell r="AQ9">
            <v>-0.390737652730194</v>
          </cell>
          <cell r="AR9">
            <v>82600</v>
          </cell>
          <cell r="AS9">
            <v>49150</v>
          </cell>
        </row>
        <row r="10">
          <cell r="C10" t="str">
            <v>东阳市国美电器有限公司</v>
          </cell>
          <cell r="D10" t="str">
            <v>经销</v>
          </cell>
          <cell r="E10" t="str">
            <v>东阳市</v>
          </cell>
          <cell r="F10" t="str">
            <v>东阳市</v>
          </cell>
          <cell r="G10" t="str">
            <v>张韵威</v>
          </cell>
          <cell r="H10">
            <v>30000</v>
          </cell>
          <cell r="I10">
            <v>25000</v>
          </cell>
          <cell r="J10">
            <v>-0.166666666666667</v>
          </cell>
        </row>
        <row r="10">
          <cell r="M10" t="e">
            <v>#DIV/0!</v>
          </cell>
        </row>
        <row r="10">
          <cell r="P10" t="e">
            <v>#DIV/0!</v>
          </cell>
          <cell r="Q10">
            <v>30000</v>
          </cell>
          <cell r="R10">
            <v>25000</v>
          </cell>
          <cell r="S10">
            <v>-0.166666666666667</v>
          </cell>
        </row>
        <row r="10">
          <cell r="U10">
            <v>800</v>
          </cell>
          <cell r="V10" t="e">
            <v>#DIV/0!</v>
          </cell>
          <cell r="W10">
            <v>30000</v>
          </cell>
          <cell r="X10">
            <v>25800</v>
          </cell>
          <cell r="Y10">
            <v>-0.14</v>
          </cell>
        </row>
        <row r="10">
          <cell r="AA10">
            <v>18078</v>
          </cell>
          <cell r="AB10" t="e">
            <v>#DIV/0!</v>
          </cell>
          <cell r="AC10">
            <v>30000</v>
          </cell>
          <cell r="AD10">
            <v>43878</v>
          </cell>
          <cell r="AE10">
            <v>0.4626</v>
          </cell>
        </row>
        <row r="10">
          <cell r="AH10" t="e">
            <v>#DIV/0!</v>
          </cell>
          <cell r="AI10">
            <v>30000</v>
          </cell>
          <cell r="AJ10">
            <v>43878</v>
          </cell>
          <cell r="AK10">
            <v>0.4626</v>
          </cell>
          <cell r="AL10">
            <v>5392</v>
          </cell>
        </row>
        <row r="10">
          <cell r="AN10">
            <v>-1</v>
          </cell>
          <cell r="AO10">
            <v>35392</v>
          </cell>
          <cell r="AP10">
            <v>43878</v>
          </cell>
          <cell r="AQ10">
            <v>0.239771699819168</v>
          </cell>
        </row>
        <row r="11">
          <cell r="C11" t="str">
            <v>兰溪市福祥家电经营部</v>
          </cell>
          <cell r="D11" t="str">
            <v>加盟</v>
          </cell>
          <cell r="E11" t="str">
            <v>兰溪市</v>
          </cell>
          <cell r="F11" t="str">
            <v>兰溪市</v>
          </cell>
          <cell r="G11" t="str">
            <v>潘杏</v>
          </cell>
          <cell r="H11">
            <v>8727</v>
          </cell>
          <cell r="I11">
            <v>149023</v>
          </cell>
          <cell r="J11">
            <v>16.0760857110118</v>
          </cell>
          <cell r="K11">
            <v>7343</v>
          </cell>
          <cell r="L11">
            <v>3015</v>
          </cell>
          <cell r="M11">
            <v>-0.589404875391529</v>
          </cell>
          <cell r="N11">
            <v>13804</v>
          </cell>
          <cell r="O11">
            <v>19327</v>
          </cell>
          <cell r="P11">
            <v>0.400101419878296</v>
          </cell>
          <cell r="Q11">
            <v>29874</v>
          </cell>
          <cell r="R11">
            <v>171365</v>
          </cell>
          <cell r="S11">
            <v>4.73625895427462</v>
          </cell>
          <cell r="T11">
            <v>-849</v>
          </cell>
          <cell r="U11">
            <v>13493</v>
          </cell>
          <cell r="V11">
            <v>-16.8928150765607</v>
          </cell>
          <cell r="W11">
            <v>29025</v>
          </cell>
          <cell r="X11">
            <v>184858</v>
          </cell>
          <cell r="Y11">
            <v>5.3689233419466</v>
          </cell>
        </row>
        <row r="11">
          <cell r="AA11">
            <v>36809</v>
          </cell>
          <cell r="AB11" t="e">
            <v>#DIV/0!</v>
          </cell>
          <cell r="AC11">
            <v>29025</v>
          </cell>
          <cell r="AD11">
            <v>221667</v>
          </cell>
          <cell r="AE11">
            <v>6.63710594315245</v>
          </cell>
          <cell r="AF11">
            <v>15043</v>
          </cell>
          <cell r="AG11">
            <v>34615</v>
          </cell>
          <cell r="AH11">
            <v>1.30107026523965</v>
          </cell>
          <cell r="AI11">
            <v>44068</v>
          </cell>
          <cell r="AJ11">
            <v>256282</v>
          </cell>
          <cell r="AK11">
            <v>4.81560315875465</v>
          </cell>
          <cell r="AL11">
            <v>10512</v>
          </cell>
          <cell r="AM11">
            <v>58454</v>
          </cell>
          <cell r="AN11">
            <v>4.56069254185693</v>
          </cell>
          <cell r="AO11">
            <v>54580</v>
          </cell>
          <cell r="AP11">
            <v>314736</v>
          </cell>
          <cell r="AQ11">
            <v>4.76650787834372</v>
          </cell>
          <cell r="AR11">
            <v>130118</v>
          </cell>
          <cell r="AS11">
            <v>36959</v>
          </cell>
        </row>
        <row r="12">
          <cell r="C12" t="str">
            <v>金华龙腾建材市场专卖店</v>
          </cell>
          <cell r="D12" t="str">
            <v>直营</v>
          </cell>
          <cell r="E12" t="str">
            <v>金华市区</v>
          </cell>
          <cell r="F12" t="str">
            <v>婺城区</v>
          </cell>
          <cell r="G12" t="str">
            <v>杨华才</v>
          </cell>
          <cell r="H12">
            <v>51441</v>
          </cell>
          <cell r="I12">
            <v>84544</v>
          </cell>
          <cell r="J12">
            <v>0.643513928578371</v>
          </cell>
          <cell r="K12">
            <v>94218</v>
          </cell>
          <cell r="L12">
            <v>15592</v>
          </cell>
          <cell r="M12">
            <v>-0.83451145216413</v>
          </cell>
          <cell r="N12">
            <v>157817</v>
          </cell>
          <cell r="O12">
            <v>40421</v>
          </cell>
          <cell r="P12">
            <v>-0.743874234081246</v>
          </cell>
          <cell r="Q12">
            <v>303476</v>
          </cell>
          <cell r="R12">
            <v>140557</v>
          </cell>
          <cell r="S12">
            <v>-0.536843111152117</v>
          </cell>
          <cell r="T12">
            <v>89841</v>
          </cell>
          <cell r="U12">
            <v>95170</v>
          </cell>
          <cell r="V12">
            <v>0.0593159025389298</v>
          </cell>
          <cell r="W12">
            <v>393317</v>
          </cell>
          <cell r="X12">
            <v>235727</v>
          </cell>
          <cell r="Y12">
            <v>-0.40066918033037</v>
          </cell>
          <cell r="Z12">
            <v>233247.9</v>
          </cell>
          <cell r="AA12">
            <v>66978</v>
          </cell>
          <cell r="AB12">
            <v>-0.712846289291351</v>
          </cell>
          <cell r="AC12">
            <v>626564.9</v>
          </cell>
          <cell r="AD12">
            <v>302705</v>
          </cell>
          <cell r="AE12">
            <v>-0.516881651046843</v>
          </cell>
          <cell r="AF12">
            <v>145756</v>
          </cell>
          <cell r="AG12">
            <v>187833</v>
          </cell>
          <cell r="AH12">
            <v>0.28868108345454</v>
          </cell>
          <cell r="AI12">
            <v>772320.9</v>
          </cell>
          <cell r="AJ12">
            <v>490538</v>
          </cell>
          <cell r="AK12">
            <v>-0.364852097101088</v>
          </cell>
          <cell r="AL12">
            <v>72974</v>
          </cell>
          <cell r="AM12">
            <v>88914</v>
          </cell>
          <cell r="AN12">
            <v>0.218433962781265</v>
          </cell>
          <cell r="AO12">
            <v>845294.9</v>
          </cell>
          <cell r="AP12">
            <v>579452</v>
          </cell>
          <cell r="AQ12">
            <v>-0.314497224578073</v>
          </cell>
          <cell r="AR12">
            <v>143811</v>
          </cell>
          <cell r="AS12">
            <v>50005.4</v>
          </cell>
        </row>
        <row r="13">
          <cell r="C13" t="str">
            <v>衢州江山专卖店</v>
          </cell>
          <cell r="D13" t="str">
            <v>经销</v>
          </cell>
          <cell r="E13" t="str">
            <v>江山市</v>
          </cell>
          <cell r="F13" t="str">
            <v>江山市</v>
          </cell>
          <cell r="G13" t="str">
            <v>江雯</v>
          </cell>
        </row>
        <row r="13">
          <cell r="J13" t="e">
            <v>#DIV/0!</v>
          </cell>
        </row>
        <row r="13">
          <cell r="M13" t="e">
            <v>#DIV/0!</v>
          </cell>
        </row>
        <row r="13">
          <cell r="P13" t="e">
            <v>#DIV/0!</v>
          </cell>
          <cell r="Q13">
            <v>0</v>
          </cell>
          <cell r="R13">
            <v>0</v>
          </cell>
          <cell r="S13" t="e">
            <v>#DIV/0!</v>
          </cell>
        </row>
        <row r="13">
          <cell r="V13" t="e">
            <v>#DIV/0!</v>
          </cell>
          <cell r="W13">
            <v>0</v>
          </cell>
          <cell r="X13">
            <v>0</v>
          </cell>
          <cell r="Y13" t="e">
            <v>#DIV/0!</v>
          </cell>
        </row>
        <row r="13">
          <cell r="AB13" t="e">
            <v>#DIV/0!</v>
          </cell>
          <cell r="AC13">
            <v>0</v>
          </cell>
          <cell r="AD13">
            <v>0</v>
          </cell>
          <cell r="AE13" t="e">
            <v>#DIV/0!</v>
          </cell>
        </row>
        <row r="13">
          <cell r="AH13" t="e">
            <v>#DIV/0!</v>
          </cell>
          <cell r="AI13">
            <v>0</v>
          </cell>
          <cell r="AJ13">
            <v>0</v>
          </cell>
          <cell r="AK13" t="e">
            <v>#DIV/0!</v>
          </cell>
        </row>
        <row r="13">
          <cell r="AN13" t="e">
            <v>#DIV/0!</v>
          </cell>
          <cell r="AO13">
            <v>0</v>
          </cell>
          <cell r="AP13">
            <v>0</v>
          </cell>
          <cell r="AQ13" t="e">
            <v>#DIV/0!</v>
          </cell>
        </row>
        <row r="14">
          <cell r="C14" t="str">
            <v>义乌市丰庆家电有限公司</v>
          </cell>
          <cell r="D14" t="str">
            <v>经销</v>
          </cell>
          <cell r="E14" t="str">
            <v>义乌市</v>
          </cell>
          <cell r="F14" t="str">
            <v>义乌市</v>
          </cell>
          <cell r="G14" t="str">
            <v>张韵威</v>
          </cell>
        </row>
        <row r="14">
          <cell r="J14" t="e">
            <v>#DIV/0!</v>
          </cell>
        </row>
        <row r="14">
          <cell r="M14" t="e">
            <v>#DIV/0!</v>
          </cell>
        </row>
        <row r="14">
          <cell r="P14" t="e">
            <v>#DIV/0!</v>
          </cell>
          <cell r="Q14">
            <v>0</v>
          </cell>
          <cell r="R14">
            <v>0</v>
          </cell>
          <cell r="S14" t="e">
            <v>#DIV/0!</v>
          </cell>
        </row>
        <row r="14">
          <cell r="V14" t="e">
            <v>#DIV/0!</v>
          </cell>
          <cell r="W14">
            <v>0</v>
          </cell>
          <cell r="X14">
            <v>0</v>
          </cell>
          <cell r="Y14" t="e">
            <v>#DIV/0!</v>
          </cell>
        </row>
        <row r="14">
          <cell r="AB14" t="e">
            <v>#DIV/0!</v>
          </cell>
          <cell r="AC14">
            <v>0</v>
          </cell>
          <cell r="AD14">
            <v>0</v>
          </cell>
          <cell r="AE14" t="e">
            <v>#DIV/0!</v>
          </cell>
        </row>
        <row r="14">
          <cell r="AH14" t="e">
            <v>#DIV/0!</v>
          </cell>
          <cell r="AI14">
            <v>0</v>
          </cell>
          <cell r="AJ14">
            <v>0</v>
          </cell>
          <cell r="AK14" t="e">
            <v>#DIV/0!</v>
          </cell>
        </row>
        <row r="14">
          <cell r="AN14" t="e">
            <v>#DIV/0!</v>
          </cell>
          <cell r="AO14">
            <v>0</v>
          </cell>
          <cell r="AP14">
            <v>0</v>
          </cell>
          <cell r="AQ14" t="e">
            <v>#DIV/0!</v>
          </cell>
        </row>
        <row r="15">
          <cell r="C15" t="str">
            <v>龙游县荣泰五交化公司</v>
          </cell>
          <cell r="D15" t="str">
            <v>经销</v>
          </cell>
          <cell r="E15" t="str">
            <v>龙游县</v>
          </cell>
          <cell r="F15" t="str">
            <v>龙游县</v>
          </cell>
          <cell r="G15" t="str">
            <v>江雯</v>
          </cell>
        </row>
        <row r="15">
          <cell r="J15" t="e">
            <v>#DIV/0!</v>
          </cell>
        </row>
        <row r="15">
          <cell r="M15" t="e">
            <v>#DIV/0!</v>
          </cell>
        </row>
        <row r="15">
          <cell r="P15" t="e">
            <v>#DIV/0!</v>
          </cell>
          <cell r="Q15">
            <v>0</v>
          </cell>
          <cell r="R15">
            <v>0</v>
          </cell>
          <cell r="S15" t="e">
            <v>#DIV/0!</v>
          </cell>
        </row>
        <row r="15">
          <cell r="V15" t="e">
            <v>#DIV/0!</v>
          </cell>
          <cell r="W15">
            <v>0</v>
          </cell>
          <cell r="X15">
            <v>0</v>
          </cell>
          <cell r="Y15" t="e">
            <v>#DIV/0!</v>
          </cell>
        </row>
        <row r="15">
          <cell r="AB15" t="e">
            <v>#DIV/0!</v>
          </cell>
          <cell r="AC15">
            <v>0</v>
          </cell>
          <cell r="AD15">
            <v>0</v>
          </cell>
          <cell r="AE15" t="e">
            <v>#DIV/0!</v>
          </cell>
        </row>
        <row r="15">
          <cell r="AH15" t="e">
            <v>#DIV/0!</v>
          </cell>
          <cell r="AI15">
            <v>0</v>
          </cell>
          <cell r="AJ15">
            <v>0</v>
          </cell>
          <cell r="AK15" t="e">
            <v>#DIV/0!</v>
          </cell>
        </row>
        <row r="15">
          <cell r="AN15" t="e">
            <v>#DIV/0!</v>
          </cell>
          <cell r="AO15">
            <v>0</v>
          </cell>
          <cell r="AP15">
            <v>0</v>
          </cell>
          <cell r="AQ15" t="e">
            <v>#DIV/0!</v>
          </cell>
        </row>
        <row r="16">
          <cell r="C16" t="str">
            <v>兰溪市小严家电经营部</v>
          </cell>
          <cell r="D16" t="str">
            <v>经销</v>
          </cell>
          <cell r="E16" t="str">
            <v>兰溪市</v>
          </cell>
          <cell r="F16" t="str">
            <v>兰溪市</v>
          </cell>
          <cell r="G16" t="str">
            <v>潘杏</v>
          </cell>
          <cell r="H16">
            <v>16546</v>
          </cell>
          <cell r="I16">
            <v>30425</v>
          </cell>
          <cell r="J16">
            <v>0.838813006164632</v>
          </cell>
          <cell r="K16">
            <v>7154</v>
          </cell>
          <cell r="L16">
            <v>10451</v>
          </cell>
          <cell r="M16">
            <v>0.460861056751468</v>
          </cell>
        </row>
        <row r="16">
          <cell r="P16" t="e">
            <v>#DIV/0!</v>
          </cell>
          <cell r="Q16">
            <v>23700</v>
          </cell>
          <cell r="R16">
            <v>40876</v>
          </cell>
          <cell r="S16">
            <v>0.724725738396625</v>
          </cell>
        </row>
        <row r="16">
          <cell r="U16">
            <v>7276</v>
          </cell>
          <cell r="V16" t="e">
            <v>#DIV/0!</v>
          </cell>
          <cell r="W16">
            <v>23700</v>
          </cell>
          <cell r="X16">
            <v>48152</v>
          </cell>
          <cell r="Y16">
            <v>1.03172995780591</v>
          </cell>
          <cell r="Z16">
            <v>28962</v>
          </cell>
          <cell r="AA16">
            <v>21993</v>
          </cell>
          <cell r="AB16">
            <v>-0.240625647400041</v>
          </cell>
          <cell r="AC16">
            <v>52662</v>
          </cell>
          <cell r="AD16">
            <v>70145</v>
          </cell>
          <cell r="AE16">
            <v>0.331985112604914</v>
          </cell>
          <cell r="AF16">
            <v>3556</v>
          </cell>
        </row>
        <row r="16">
          <cell r="AH16">
            <v>-1</v>
          </cell>
          <cell r="AI16">
            <v>56218</v>
          </cell>
          <cell r="AJ16">
            <v>70145</v>
          </cell>
          <cell r="AK16">
            <v>0.247732043117863</v>
          </cell>
          <cell r="AL16">
            <v>18643</v>
          </cell>
          <cell r="AM16">
            <v>12632</v>
          </cell>
          <cell r="AN16">
            <v>-0.322426648071662</v>
          </cell>
          <cell r="AO16">
            <v>74861</v>
          </cell>
          <cell r="AP16">
            <v>82777</v>
          </cell>
          <cell r="AQ16">
            <v>0.105742643031752</v>
          </cell>
          <cell r="AR16">
            <v>47632</v>
          </cell>
          <cell r="AS16">
            <v>15224</v>
          </cell>
        </row>
        <row r="17">
          <cell r="C17" t="str">
            <v>金华金蝶零售</v>
          </cell>
          <cell r="D17" t="str">
            <v>零售</v>
          </cell>
          <cell r="E17" t="str">
            <v>金华市区</v>
          </cell>
          <cell r="F17" t="str">
            <v>市区</v>
          </cell>
          <cell r="G17" t="str">
            <v>杨华才</v>
          </cell>
          <cell r="H17">
            <v>-50</v>
          </cell>
          <cell r="I17">
            <v>3850</v>
          </cell>
          <cell r="J17">
            <v>-78</v>
          </cell>
        </row>
        <row r="17">
          <cell r="M17" t="e">
            <v>#DIV/0!</v>
          </cell>
        </row>
        <row r="17">
          <cell r="O17">
            <v>8800</v>
          </cell>
          <cell r="P17" t="e">
            <v>#DIV/0!</v>
          </cell>
          <cell r="Q17">
            <v>-50</v>
          </cell>
          <cell r="R17">
            <v>12650</v>
          </cell>
          <cell r="S17">
            <v>-254</v>
          </cell>
        </row>
        <row r="17">
          <cell r="V17" t="e">
            <v>#DIV/0!</v>
          </cell>
          <cell r="W17">
            <v>-50</v>
          </cell>
          <cell r="X17">
            <v>12650</v>
          </cell>
          <cell r="Y17">
            <v>-254</v>
          </cell>
          <cell r="Z17">
            <v>23631</v>
          </cell>
          <cell r="AA17">
            <v>1800</v>
          </cell>
          <cell r="AB17">
            <v>-0.923828868858703</v>
          </cell>
          <cell r="AC17">
            <v>23581</v>
          </cell>
          <cell r="AD17">
            <v>14450</v>
          </cell>
          <cell r="AE17">
            <v>-0.387218523387473</v>
          </cell>
          <cell r="AF17">
            <v>35488</v>
          </cell>
          <cell r="AG17">
            <v>10093</v>
          </cell>
          <cell r="AH17">
            <v>-0.715594003606853</v>
          </cell>
          <cell r="AI17">
            <v>59069</v>
          </cell>
          <cell r="AJ17">
            <v>24543</v>
          </cell>
          <cell r="AK17">
            <v>-0.58450286952547</v>
          </cell>
          <cell r="AL17">
            <v>19219</v>
          </cell>
          <cell r="AM17">
            <v>20900</v>
          </cell>
          <cell r="AN17">
            <v>0.087465528903689</v>
          </cell>
          <cell r="AO17">
            <v>78288</v>
          </cell>
          <cell r="AP17">
            <v>45443</v>
          </cell>
          <cell r="AQ17">
            <v>-0.419540670345391</v>
          </cell>
        </row>
        <row r="17">
          <cell r="AS17">
            <v>7922</v>
          </cell>
        </row>
        <row r="18">
          <cell r="C18" t="str">
            <v>义乌市中科电器商行</v>
          </cell>
          <cell r="D18" t="str">
            <v>经销</v>
          </cell>
          <cell r="E18" t="str">
            <v>义乌市</v>
          </cell>
          <cell r="F18" t="str">
            <v>义乌市</v>
          </cell>
          <cell r="G18" t="str">
            <v>张韵威</v>
          </cell>
        </row>
        <row r="18">
          <cell r="J18" t="e">
            <v>#DIV/0!</v>
          </cell>
        </row>
        <row r="18">
          <cell r="M18" t="e">
            <v>#DIV/0!</v>
          </cell>
        </row>
        <row r="18">
          <cell r="P18" t="e">
            <v>#DIV/0!</v>
          </cell>
          <cell r="Q18">
            <v>0</v>
          </cell>
          <cell r="R18">
            <v>0</v>
          </cell>
          <cell r="S18" t="e">
            <v>#DIV/0!</v>
          </cell>
        </row>
        <row r="18">
          <cell r="V18" t="e">
            <v>#DIV/0!</v>
          </cell>
          <cell r="W18">
            <v>0</v>
          </cell>
          <cell r="X18">
            <v>0</v>
          </cell>
          <cell r="Y18" t="e">
            <v>#DIV/0!</v>
          </cell>
        </row>
        <row r="18">
          <cell r="AB18" t="e">
            <v>#DIV/0!</v>
          </cell>
          <cell r="AC18">
            <v>0</v>
          </cell>
          <cell r="AD18">
            <v>0</v>
          </cell>
          <cell r="AE18" t="e">
            <v>#DIV/0!</v>
          </cell>
        </row>
        <row r="18">
          <cell r="AH18" t="e">
            <v>#DIV/0!</v>
          </cell>
          <cell r="AI18">
            <v>0</v>
          </cell>
          <cell r="AJ18">
            <v>0</v>
          </cell>
          <cell r="AK18" t="e">
            <v>#DIV/0!</v>
          </cell>
        </row>
        <row r="18">
          <cell r="AN18" t="e">
            <v>#DIV/0!</v>
          </cell>
          <cell r="AO18">
            <v>0</v>
          </cell>
          <cell r="AP18">
            <v>0</v>
          </cell>
          <cell r="AQ18" t="e">
            <v>#DIV/0!</v>
          </cell>
        </row>
        <row r="19">
          <cell r="C19" t="str">
            <v>金华物美企业管理咨询有限公司</v>
          </cell>
          <cell r="D19" t="str">
            <v>经销</v>
          </cell>
          <cell r="E19" t="str">
            <v>金华市区</v>
          </cell>
          <cell r="F19" t="str">
            <v>婺城区</v>
          </cell>
          <cell r="G19" t="str">
            <v>潘杏</v>
          </cell>
        </row>
        <row r="19">
          <cell r="J19" t="e">
            <v>#DIV/0!</v>
          </cell>
        </row>
        <row r="19">
          <cell r="M19" t="e">
            <v>#DIV/0!</v>
          </cell>
        </row>
        <row r="19">
          <cell r="P19" t="e">
            <v>#DIV/0!</v>
          </cell>
          <cell r="Q19">
            <v>0</v>
          </cell>
          <cell r="R19">
            <v>0</v>
          </cell>
          <cell r="S19" t="e">
            <v>#DIV/0!</v>
          </cell>
        </row>
        <row r="19">
          <cell r="V19" t="e">
            <v>#DIV/0!</v>
          </cell>
          <cell r="W19">
            <v>0</v>
          </cell>
          <cell r="X19">
            <v>0</v>
          </cell>
          <cell r="Y19" t="e">
            <v>#DIV/0!</v>
          </cell>
        </row>
        <row r="19">
          <cell r="AB19" t="e">
            <v>#DIV/0!</v>
          </cell>
          <cell r="AC19">
            <v>0</v>
          </cell>
          <cell r="AD19">
            <v>0</v>
          </cell>
          <cell r="AE19" t="e">
            <v>#DIV/0!</v>
          </cell>
        </row>
        <row r="19">
          <cell r="AH19" t="e">
            <v>#DIV/0!</v>
          </cell>
          <cell r="AI19">
            <v>0</v>
          </cell>
          <cell r="AJ19">
            <v>0</v>
          </cell>
          <cell r="AK19" t="e">
            <v>#DIV/0!</v>
          </cell>
        </row>
        <row r="19">
          <cell r="AN19" t="e">
            <v>#DIV/0!</v>
          </cell>
          <cell r="AO19">
            <v>0</v>
          </cell>
          <cell r="AP19">
            <v>0</v>
          </cell>
          <cell r="AQ19" t="e">
            <v>#DIV/0!</v>
          </cell>
        </row>
        <row r="20">
          <cell r="C20" t="str">
            <v>东阳汉宁东路专卖店</v>
          </cell>
          <cell r="D20" t="str">
            <v>直营</v>
          </cell>
          <cell r="E20" t="str">
            <v>东阳市</v>
          </cell>
          <cell r="F20" t="str">
            <v>东阳市</v>
          </cell>
          <cell r="G20" t="str">
            <v>张韵威</v>
          </cell>
          <cell r="H20">
            <v>4776</v>
          </cell>
        </row>
        <row r="20">
          <cell r="J20">
            <v>-1</v>
          </cell>
          <cell r="K20">
            <v>23611</v>
          </cell>
        </row>
        <row r="20">
          <cell r="M20">
            <v>-1</v>
          </cell>
          <cell r="N20">
            <v>69265.9</v>
          </cell>
        </row>
        <row r="20">
          <cell r="P20">
            <v>-1</v>
          </cell>
          <cell r="Q20">
            <v>97652.9</v>
          </cell>
          <cell r="R20">
            <v>0</v>
          </cell>
          <cell r="S20">
            <v>-1</v>
          </cell>
          <cell r="T20">
            <v>32572</v>
          </cell>
        </row>
        <row r="20">
          <cell r="V20">
            <v>-1</v>
          </cell>
          <cell r="W20">
            <v>130224.9</v>
          </cell>
          <cell r="X20">
            <v>0</v>
          </cell>
          <cell r="Y20">
            <v>-1</v>
          </cell>
          <cell r="Z20">
            <v>2842</v>
          </cell>
        </row>
        <row r="20">
          <cell r="AB20">
            <v>-1</v>
          </cell>
          <cell r="AC20">
            <v>133066.9</v>
          </cell>
          <cell r="AD20">
            <v>0</v>
          </cell>
          <cell r="AE20">
            <v>-1</v>
          </cell>
        </row>
        <row r="20">
          <cell r="AH20" t="e">
            <v>#DIV/0!</v>
          </cell>
          <cell r="AI20">
            <v>133066.9</v>
          </cell>
          <cell r="AJ20">
            <v>0</v>
          </cell>
          <cell r="AK20">
            <v>-1</v>
          </cell>
          <cell r="AL20">
            <v>3858</v>
          </cell>
        </row>
        <row r="20">
          <cell r="AN20">
            <v>-1</v>
          </cell>
          <cell r="AO20">
            <v>136924.9</v>
          </cell>
          <cell r="AP20">
            <v>0</v>
          </cell>
          <cell r="AQ20">
            <v>-1</v>
          </cell>
          <cell r="AR20">
            <v>-5500</v>
          </cell>
        </row>
        <row r="21">
          <cell r="C21" t="str">
            <v>浦江丰安电器有限公司</v>
          </cell>
          <cell r="D21" t="str">
            <v>经销</v>
          </cell>
          <cell r="E21" t="str">
            <v>浦江县</v>
          </cell>
          <cell r="F21" t="str">
            <v>浦江县</v>
          </cell>
          <cell r="G21" t="str">
            <v>张韵威</v>
          </cell>
        </row>
        <row r="21">
          <cell r="J21" t="e">
            <v>#DIV/0!</v>
          </cell>
        </row>
        <row r="21">
          <cell r="M21" t="e">
            <v>#DIV/0!</v>
          </cell>
          <cell r="N21">
            <v>2240</v>
          </cell>
        </row>
        <row r="21">
          <cell r="P21">
            <v>-1</v>
          </cell>
          <cell r="Q21">
            <v>2240</v>
          </cell>
          <cell r="R21">
            <v>0</v>
          </cell>
          <cell r="S21">
            <v>-1</v>
          </cell>
        </row>
        <row r="21">
          <cell r="V21" t="e">
            <v>#DIV/0!</v>
          </cell>
          <cell r="W21">
            <v>2240</v>
          </cell>
          <cell r="X21">
            <v>0</v>
          </cell>
          <cell r="Y21">
            <v>-1</v>
          </cell>
        </row>
        <row r="21">
          <cell r="AB21" t="e">
            <v>#DIV/0!</v>
          </cell>
          <cell r="AC21">
            <v>2240</v>
          </cell>
          <cell r="AD21">
            <v>0</v>
          </cell>
          <cell r="AE21">
            <v>-1</v>
          </cell>
        </row>
        <row r="21">
          <cell r="AH21" t="e">
            <v>#DIV/0!</v>
          </cell>
          <cell r="AI21">
            <v>2240</v>
          </cell>
          <cell r="AJ21">
            <v>0</v>
          </cell>
          <cell r="AK21">
            <v>-1</v>
          </cell>
        </row>
        <row r="21">
          <cell r="AN21" t="e">
            <v>#DIV/0!</v>
          </cell>
          <cell r="AO21">
            <v>2240</v>
          </cell>
          <cell r="AP21">
            <v>0</v>
          </cell>
          <cell r="AQ21">
            <v>-1</v>
          </cell>
        </row>
        <row r="22">
          <cell r="C22" t="str">
            <v>磐安县洪昌家电商场</v>
          </cell>
          <cell r="D22" t="str">
            <v>经销</v>
          </cell>
          <cell r="E22" t="str">
            <v>磐安县</v>
          </cell>
          <cell r="F22" t="str">
            <v>磐安县</v>
          </cell>
          <cell r="G22" t="str">
            <v>张韵威</v>
          </cell>
        </row>
        <row r="22">
          <cell r="I22">
            <v>6649</v>
          </cell>
          <cell r="J22" t="e">
            <v>#DIV/0!</v>
          </cell>
        </row>
        <row r="22">
          <cell r="M22" t="e">
            <v>#DIV/0!</v>
          </cell>
        </row>
        <row r="22">
          <cell r="P22" t="e">
            <v>#DIV/0!</v>
          </cell>
          <cell r="Q22">
            <v>0</v>
          </cell>
          <cell r="R22">
            <v>6649</v>
          </cell>
          <cell r="S22" t="e">
            <v>#DIV/0!</v>
          </cell>
        </row>
        <row r="22">
          <cell r="V22" t="e">
            <v>#DIV/0!</v>
          </cell>
          <cell r="W22">
            <v>0</v>
          </cell>
          <cell r="X22">
            <v>6649</v>
          </cell>
          <cell r="Y22" t="e">
            <v>#DIV/0!</v>
          </cell>
          <cell r="Z22">
            <v>41481</v>
          </cell>
        </row>
        <row r="22">
          <cell r="AB22">
            <v>-1</v>
          </cell>
          <cell r="AC22">
            <v>41481</v>
          </cell>
          <cell r="AD22">
            <v>6649</v>
          </cell>
          <cell r="AE22">
            <v>-0.839709746630988</v>
          </cell>
        </row>
        <row r="22">
          <cell r="AH22" t="e">
            <v>#DIV/0!</v>
          </cell>
          <cell r="AI22">
            <v>41481</v>
          </cell>
          <cell r="AJ22">
            <v>6649</v>
          </cell>
          <cell r="AK22">
            <v>-0.839709746630988</v>
          </cell>
          <cell r="AL22">
            <v>3799</v>
          </cell>
        </row>
        <row r="22">
          <cell r="AN22">
            <v>-1</v>
          </cell>
          <cell r="AO22">
            <v>45280</v>
          </cell>
          <cell r="AP22">
            <v>6649</v>
          </cell>
          <cell r="AQ22">
            <v>-0.85315812720848</v>
          </cell>
        </row>
        <row r="23">
          <cell r="C23" t="str">
            <v>义乌市钲天新能源有限公司</v>
          </cell>
          <cell r="D23" t="str">
            <v>暖通</v>
          </cell>
          <cell r="E23" t="str">
            <v>义乌市</v>
          </cell>
          <cell r="F23" t="str">
            <v>义乌市</v>
          </cell>
          <cell r="G23" t="str">
            <v>张韵威</v>
          </cell>
        </row>
        <row r="23">
          <cell r="J23" t="e">
            <v>#DIV/0!</v>
          </cell>
        </row>
        <row r="23">
          <cell r="M23" t="e">
            <v>#DIV/0!</v>
          </cell>
        </row>
        <row r="23">
          <cell r="P23" t="e">
            <v>#DIV/0!</v>
          </cell>
          <cell r="Q23">
            <v>0</v>
          </cell>
          <cell r="R23">
            <v>0</v>
          </cell>
          <cell r="S23" t="e">
            <v>#DIV/0!</v>
          </cell>
        </row>
        <row r="23">
          <cell r="V23" t="e">
            <v>#DIV/0!</v>
          </cell>
          <cell r="W23">
            <v>0</v>
          </cell>
          <cell r="X23">
            <v>0</v>
          </cell>
          <cell r="Y23" t="e">
            <v>#DIV/0!</v>
          </cell>
        </row>
        <row r="23">
          <cell r="AB23" t="e">
            <v>#DIV/0!</v>
          </cell>
          <cell r="AC23">
            <v>0</v>
          </cell>
          <cell r="AD23">
            <v>0</v>
          </cell>
          <cell r="AE23" t="e">
            <v>#DIV/0!</v>
          </cell>
        </row>
        <row r="23">
          <cell r="AH23" t="e">
            <v>#DIV/0!</v>
          </cell>
          <cell r="AI23">
            <v>0</v>
          </cell>
          <cell r="AJ23">
            <v>0</v>
          </cell>
          <cell r="AK23" t="e">
            <v>#DIV/0!</v>
          </cell>
        </row>
        <row r="23">
          <cell r="AN23" t="e">
            <v>#DIV/0!</v>
          </cell>
          <cell r="AO23">
            <v>0</v>
          </cell>
          <cell r="AP23">
            <v>0</v>
          </cell>
          <cell r="AQ23" t="e">
            <v>#DIV/0!</v>
          </cell>
        </row>
        <row r="24">
          <cell r="C24" t="str">
            <v>武义大中家电有限公司</v>
          </cell>
          <cell r="D24" t="str">
            <v>经销</v>
          </cell>
          <cell r="E24" t="str">
            <v>武义县</v>
          </cell>
          <cell r="F24" t="str">
            <v>武义县</v>
          </cell>
          <cell r="G24" t="str">
            <v>潘杏</v>
          </cell>
        </row>
        <row r="24">
          <cell r="J24" t="e">
            <v>#DIV/0!</v>
          </cell>
        </row>
        <row r="24">
          <cell r="M24" t="e">
            <v>#DIV/0!</v>
          </cell>
        </row>
        <row r="24">
          <cell r="P24" t="e">
            <v>#DIV/0!</v>
          </cell>
          <cell r="Q24">
            <v>0</v>
          </cell>
          <cell r="R24">
            <v>0</v>
          </cell>
          <cell r="S24" t="e">
            <v>#DIV/0!</v>
          </cell>
        </row>
        <row r="24">
          <cell r="V24" t="e">
            <v>#DIV/0!</v>
          </cell>
          <cell r="W24">
            <v>0</v>
          </cell>
          <cell r="X24">
            <v>0</v>
          </cell>
          <cell r="Y24" t="e">
            <v>#DIV/0!</v>
          </cell>
        </row>
        <row r="24">
          <cell r="AB24" t="e">
            <v>#DIV/0!</v>
          </cell>
          <cell r="AC24">
            <v>0</v>
          </cell>
          <cell r="AD24">
            <v>0</v>
          </cell>
          <cell r="AE24" t="e">
            <v>#DIV/0!</v>
          </cell>
        </row>
        <row r="24">
          <cell r="AH24" t="e">
            <v>#DIV/0!</v>
          </cell>
          <cell r="AI24">
            <v>0</v>
          </cell>
          <cell r="AJ24">
            <v>0</v>
          </cell>
          <cell r="AK24" t="e">
            <v>#DIV/0!</v>
          </cell>
        </row>
        <row r="24">
          <cell r="AN24" t="e">
            <v>#DIV/0!</v>
          </cell>
          <cell r="AO24">
            <v>0</v>
          </cell>
          <cell r="AP24">
            <v>0</v>
          </cell>
          <cell r="AQ24" t="e">
            <v>#DIV/0!</v>
          </cell>
          <cell r="AR24">
            <v>5645</v>
          </cell>
        </row>
        <row r="25">
          <cell r="C25" t="str">
            <v>江山硕邦家电有限公司</v>
          </cell>
          <cell r="D25" t="str">
            <v>经销</v>
          </cell>
          <cell r="E25" t="str">
            <v>江山市</v>
          </cell>
          <cell r="F25" t="str">
            <v>江山市</v>
          </cell>
          <cell r="G25" t="str">
            <v>江雯</v>
          </cell>
        </row>
        <row r="25">
          <cell r="J25" t="e">
            <v>#DIV/0!</v>
          </cell>
        </row>
        <row r="25">
          <cell r="L25">
            <v>19218</v>
          </cell>
          <cell r="M25" t="e">
            <v>#DIV/0!</v>
          </cell>
        </row>
        <row r="25">
          <cell r="P25" t="e">
            <v>#DIV/0!</v>
          </cell>
          <cell r="Q25">
            <v>0</v>
          </cell>
          <cell r="R25">
            <v>19218</v>
          </cell>
          <cell r="S25" t="e">
            <v>#DIV/0!</v>
          </cell>
        </row>
        <row r="25">
          <cell r="V25" t="e">
            <v>#DIV/0!</v>
          </cell>
          <cell r="W25">
            <v>0</v>
          </cell>
          <cell r="X25">
            <v>19218</v>
          </cell>
          <cell r="Y25" t="e">
            <v>#DIV/0!</v>
          </cell>
        </row>
        <row r="25">
          <cell r="AB25" t="e">
            <v>#DIV/0!</v>
          </cell>
          <cell r="AC25">
            <v>0</v>
          </cell>
          <cell r="AD25">
            <v>19218</v>
          </cell>
          <cell r="AE25" t="e">
            <v>#DIV/0!</v>
          </cell>
        </row>
        <row r="25">
          <cell r="AH25" t="e">
            <v>#DIV/0!</v>
          </cell>
          <cell r="AI25">
            <v>0</v>
          </cell>
          <cell r="AJ25">
            <v>19218</v>
          </cell>
          <cell r="AK25" t="e">
            <v>#DIV/0!</v>
          </cell>
        </row>
        <row r="25">
          <cell r="AN25" t="e">
            <v>#DIV/0!</v>
          </cell>
          <cell r="AO25">
            <v>0</v>
          </cell>
          <cell r="AP25">
            <v>19218</v>
          </cell>
          <cell r="AQ25" t="e">
            <v>#DIV/0!</v>
          </cell>
        </row>
        <row r="26">
          <cell r="C26" t="str">
            <v>义乌艾欧机电设备有限公司</v>
          </cell>
          <cell r="D26" t="str">
            <v>加盟</v>
          </cell>
          <cell r="E26" t="str">
            <v>义乌市</v>
          </cell>
          <cell r="F26" t="str">
            <v>义乌市</v>
          </cell>
          <cell r="G26" t="str">
            <v>张韵威</v>
          </cell>
          <cell r="H26">
            <v>5264</v>
          </cell>
          <cell r="I26">
            <v>95208</v>
          </cell>
          <cell r="J26">
            <v>17.0866261398176</v>
          </cell>
          <cell r="K26">
            <v>20852</v>
          </cell>
          <cell r="L26">
            <v>23568</v>
          </cell>
          <cell r="M26">
            <v>0.130251294839824</v>
          </cell>
          <cell r="N26">
            <v>27673</v>
          </cell>
          <cell r="O26">
            <v>27546</v>
          </cell>
          <cell r="P26">
            <v>-0.00458931088064174</v>
          </cell>
          <cell r="Q26">
            <v>53789</v>
          </cell>
          <cell r="R26">
            <v>146322</v>
          </cell>
          <cell r="S26">
            <v>1.72029597129525</v>
          </cell>
          <cell r="T26">
            <v>78278</v>
          </cell>
          <cell r="U26">
            <v>48756</v>
          </cell>
          <cell r="V26">
            <v>-0.377143003142645</v>
          </cell>
          <cell r="W26">
            <v>132067</v>
          </cell>
          <cell r="X26">
            <v>195078</v>
          </cell>
          <cell r="Y26">
            <v>0.477113889162319</v>
          </cell>
          <cell r="Z26">
            <v>9041</v>
          </cell>
          <cell r="AA26">
            <v>57457</v>
          </cell>
          <cell r="AB26">
            <v>5.35515982745272</v>
          </cell>
          <cell r="AC26">
            <v>141108</v>
          </cell>
          <cell r="AD26">
            <v>252535</v>
          </cell>
          <cell r="AE26">
            <v>0.789657567253451</v>
          </cell>
        </row>
        <row r="26">
          <cell r="AG26">
            <v>34276</v>
          </cell>
          <cell r="AH26" t="e">
            <v>#DIV/0!</v>
          </cell>
          <cell r="AI26">
            <v>141108</v>
          </cell>
          <cell r="AJ26">
            <v>286811</v>
          </cell>
          <cell r="AK26">
            <v>1.03256371006605</v>
          </cell>
          <cell r="AL26">
            <v>40364</v>
          </cell>
          <cell r="AM26">
            <v>66284</v>
          </cell>
          <cell r="AN26">
            <v>0.642156376969577</v>
          </cell>
          <cell r="AO26">
            <v>181472</v>
          </cell>
          <cell r="AP26">
            <v>353095</v>
          </cell>
          <cell r="AQ26">
            <v>0.945727164521248</v>
          </cell>
          <cell r="AR26">
            <v>50307</v>
          </cell>
          <cell r="AS26">
            <v>21828</v>
          </cell>
        </row>
        <row r="27">
          <cell r="C27" t="str">
            <v>金华市婺城区菱通家用电器商行</v>
          </cell>
          <cell r="D27" t="str">
            <v>经销</v>
          </cell>
          <cell r="E27" t="str">
            <v>金华市区</v>
          </cell>
          <cell r="F27" t="str">
            <v>婺城区</v>
          </cell>
          <cell r="G27" t="str">
            <v>潘杏</v>
          </cell>
        </row>
        <row r="27">
          <cell r="J27" t="e">
            <v>#DIV/0!</v>
          </cell>
        </row>
        <row r="27">
          <cell r="M27" t="e">
            <v>#DIV/0!</v>
          </cell>
        </row>
        <row r="27">
          <cell r="P27" t="e">
            <v>#DIV/0!</v>
          </cell>
          <cell r="Q27">
            <v>0</v>
          </cell>
          <cell r="R27">
            <v>0</v>
          </cell>
          <cell r="S27" t="e">
            <v>#DIV/0!</v>
          </cell>
        </row>
        <row r="27">
          <cell r="V27" t="e">
            <v>#DIV/0!</v>
          </cell>
          <cell r="W27">
            <v>0</v>
          </cell>
          <cell r="X27">
            <v>0</v>
          </cell>
          <cell r="Y27" t="e">
            <v>#DIV/0!</v>
          </cell>
        </row>
        <row r="27">
          <cell r="AB27" t="e">
            <v>#DIV/0!</v>
          </cell>
          <cell r="AC27">
            <v>0</v>
          </cell>
          <cell r="AD27">
            <v>0</v>
          </cell>
          <cell r="AE27" t="e">
            <v>#DIV/0!</v>
          </cell>
        </row>
        <row r="27">
          <cell r="AH27" t="e">
            <v>#DIV/0!</v>
          </cell>
          <cell r="AI27">
            <v>0</v>
          </cell>
          <cell r="AJ27">
            <v>0</v>
          </cell>
          <cell r="AK27" t="e">
            <v>#DIV/0!</v>
          </cell>
        </row>
        <row r="27">
          <cell r="AN27" t="e">
            <v>#DIV/0!</v>
          </cell>
          <cell r="AO27">
            <v>0</v>
          </cell>
          <cell r="AP27">
            <v>0</v>
          </cell>
          <cell r="AQ27" t="e">
            <v>#DIV/0!</v>
          </cell>
        </row>
        <row r="28">
          <cell r="C28" t="str">
            <v>东阳市大中商贸有限公司</v>
          </cell>
          <cell r="D28" t="str">
            <v>经销</v>
          </cell>
          <cell r="E28" t="str">
            <v>东阳市</v>
          </cell>
          <cell r="F28" t="str">
            <v>东阳市</v>
          </cell>
          <cell r="G28" t="str">
            <v>张韵威</v>
          </cell>
        </row>
        <row r="28">
          <cell r="I28">
            <v>1690</v>
          </cell>
          <cell r="J28" t="e">
            <v>#DIV/0!</v>
          </cell>
        </row>
        <row r="28">
          <cell r="M28" t="e">
            <v>#DIV/0!</v>
          </cell>
        </row>
        <row r="28">
          <cell r="P28" t="e">
            <v>#DIV/0!</v>
          </cell>
          <cell r="Q28">
            <v>0</v>
          </cell>
          <cell r="R28">
            <v>1690</v>
          </cell>
          <cell r="S28" t="e">
            <v>#DIV/0!</v>
          </cell>
        </row>
        <row r="28">
          <cell r="U28">
            <v>3375</v>
          </cell>
          <cell r="V28" t="e">
            <v>#DIV/0!</v>
          </cell>
          <cell r="W28">
            <v>0</v>
          </cell>
          <cell r="X28">
            <v>5065</v>
          </cell>
          <cell r="Y28" t="e">
            <v>#DIV/0!</v>
          </cell>
        </row>
        <row r="28">
          <cell r="AB28" t="e">
            <v>#DIV/0!</v>
          </cell>
          <cell r="AC28">
            <v>0</v>
          </cell>
          <cell r="AD28">
            <v>5065</v>
          </cell>
          <cell r="AE28" t="e">
            <v>#DIV/0!</v>
          </cell>
        </row>
        <row r="28">
          <cell r="AH28" t="e">
            <v>#DIV/0!</v>
          </cell>
          <cell r="AI28">
            <v>0</v>
          </cell>
          <cell r="AJ28">
            <v>5065</v>
          </cell>
          <cell r="AK28" t="e">
            <v>#DIV/0!</v>
          </cell>
        </row>
        <row r="28">
          <cell r="AN28" t="e">
            <v>#DIV/0!</v>
          </cell>
          <cell r="AO28">
            <v>0</v>
          </cell>
          <cell r="AP28">
            <v>5065</v>
          </cell>
          <cell r="AQ28" t="e">
            <v>#DIV/0!</v>
          </cell>
        </row>
        <row r="29">
          <cell r="C29" t="str">
            <v>金华市创佳机电工程有限公司</v>
          </cell>
          <cell r="D29" t="str">
            <v>经销</v>
          </cell>
          <cell r="E29" t="str">
            <v>金华市区</v>
          </cell>
          <cell r="F29" t="str">
            <v>婺城区</v>
          </cell>
          <cell r="G29" t="str">
            <v>潘杏</v>
          </cell>
        </row>
        <row r="29">
          <cell r="J29" t="e">
            <v>#DIV/0!</v>
          </cell>
        </row>
        <row r="29">
          <cell r="M29" t="e">
            <v>#DIV/0!</v>
          </cell>
        </row>
        <row r="29">
          <cell r="P29" t="e">
            <v>#DIV/0!</v>
          </cell>
          <cell r="Q29">
            <v>0</v>
          </cell>
          <cell r="R29">
            <v>0</v>
          </cell>
          <cell r="S29" t="e">
            <v>#DIV/0!</v>
          </cell>
        </row>
        <row r="29">
          <cell r="V29" t="e">
            <v>#DIV/0!</v>
          </cell>
          <cell r="W29">
            <v>0</v>
          </cell>
          <cell r="X29">
            <v>0</v>
          </cell>
          <cell r="Y29" t="e">
            <v>#DIV/0!</v>
          </cell>
        </row>
        <row r="29">
          <cell r="AB29" t="e">
            <v>#DIV/0!</v>
          </cell>
          <cell r="AC29">
            <v>0</v>
          </cell>
          <cell r="AD29">
            <v>0</v>
          </cell>
          <cell r="AE29" t="e">
            <v>#DIV/0!</v>
          </cell>
        </row>
        <row r="29">
          <cell r="AH29" t="e">
            <v>#DIV/0!</v>
          </cell>
          <cell r="AI29">
            <v>0</v>
          </cell>
          <cell r="AJ29">
            <v>0</v>
          </cell>
          <cell r="AK29" t="e">
            <v>#DIV/0!</v>
          </cell>
        </row>
        <row r="29">
          <cell r="AN29" t="e">
            <v>#DIV/0!</v>
          </cell>
          <cell r="AO29">
            <v>0</v>
          </cell>
          <cell r="AP29">
            <v>0</v>
          </cell>
          <cell r="AQ29" t="e">
            <v>#DIV/0!</v>
          </cell>
        </row>
        <row r="30">
          <cell r="C30" t="str">
            <v>浙江新隆环境设备有限公司</v>
          </cell>
          <cell r="D30" t="str">
            <v>经销</v>
          </cell>
          <cell r="E30" t="str">
            <v>金华市区</v>
          </cell>
          <cell r="F30" t="str">
            <v>婺城区</v>
          </cell>
          <cell r="G30" t="str">
            <v>潘杏</v>
          </cell>
        </row>
        <row r="30">
          <cell r="J30" t="e">
            <v>#DIV/0!</v>
          </cell>
        </row>
        <row r="30">
          <cell r="M30" t="e">
            <v>#DIV/0!</v>
          </cell>
        </row>
        <row r="30">
          <cell r="P30" t="e">
            <v>#DIV/0!</v>
          </cell>
          <cell r="Q30">
            <v>0</v>
          </cell>
          <cell r="R30">
            <v>0</v>
          </cell>
          <cell r="S30" t="e">
            <v>#DIV/0!</v>
          </cell>
        </row>
        <row r="30">
          <cell r="V30" t="e">
            <v>#DIV/0!</v>
          </cell>
          <cell r="W30">
            <v>0</v>
          </cell>
          <cell r="X30">
            <v>0</v>
          </cell>
          <cell r="Y30" t="e">
            <v>#DIV/0!</v>
          </cell>
        </row>
        <row r="30">
          <cell r="AB30" t="e">
            <v>#DIV/0!</v>
          </cell>
          <cell r="AC30">
            <v>0</v>
          </cell>
          <cell r="AD30">
            <v>0</v>
          </cell>
          <cell r="AE30" t="e">
            <v>#DIV/0!</v>
          </cell>
        </row>
        <row r="30">
          <cell r="AH30" t="e">
            <v>#DIV/0!</v>
          </cell>
          <cell r="AI30">
            <v>0</v>
          </cell>
          <cell r="AJ30">
            <v>0</v>
          </cell>
          <cell r="AK30" t="e">
            <v>#DIV/0!</v>
          </cell>
          <cell r="AL30">
            <v>5204</v>
          </cell>
        </row>
        <row r="30">
          <cell r="AN30">
            <v>-1</v>
          </cell>
          <cell r="AO30">
            <v>5204</v>
          </cell>
          <cell r="AP30">
            <v>0</v>
          </cell>
          <cell r="AQ30">
            <v>-1</v>
          </cell>
        </row>
        <row r="31">
          <cell r="C31" t="str">
            <v>金华市万普电器销售有限公司</v>
          </cell>
          <cell r="D31" t="str">
            <v>经销</v>
          </cell>
          <cell r="E31" t="str">
            <v>金华市区</v>
          </cell>
          <cell r="F31" t="str">
            <v>金东区</v>
          </cell>
          <cell r="G31" t="str">
            <v>潘杏</v>
          </cell>
        </row>
        <row r="31">
          <cell r="I31">
            <v>5412</v>
          </cell>
          <cell r="J31" t="e">
            <v>#DIV/0!</v>
          </cell>
        </row>
        <row r="31">
          <cell r="L31">
            <v>729</v>
          </cell>
          <cell r="M31" t="e">
            <v>#DIV/0!</v>
          </cell>
        </row>
        <row r="31">
          <cell r="O31">
            <v>20000</v>
          </cell>
          <cell r="P31" t="e">
            <v>#DIV/0!</v>
          </cell>
          <cell r="Q31">
            <v>0</v>
          </cell>
          <cell r="R31">
            <v>26141</v>
          </cell>
          <cell r="S31" t="e">
            <v>#DIV/0!</v>
          </cell>
        </row>
        <row r="31">
          <cell r="V31" t="e">
            <v>#DIV/0!</v>
          </cell>
          <cell r="W31">
            <v>0</v>
          </cell>
          <cell r="X31">
            <v>26141</v>
          </cell>
          <cell r="Y31" t="e">
            <v>#DIV/0!</v>
          </cell>
          <cell r="Z31">
            <v>22240</v>
          </cell>
        </row>
        <row r="31">
          <cell r="AB31">
            <v>-1</v>
          </cell>
          <cell r="AC31">
            <v>22240</v>
          </cell>
          <cell r="AD31">
            <v>26141</v>
          </cell>
          <cell r="AE31">
            <v>0.175404676258993</v>
          </cell>
        </row>
        <row r="31">
          <cell r="AG31">
            <v>47792</v>
          </cell>
          <cell r="AH31" t="e">
            <v>#DIV/0!</v>
          </cell>
          <cell r="AI31">
            <v>22240</v>
          </cell>
          <cell r="AJ31">
            <v>73933</v>
          </cell>
          <cell r="AK31">
            <v>2.32432553956835</v>
          </cell>
        </row>
        <row r="31">
          <cell r="AM31">
            <v>37572</v>
          </cell>
          <cell r="AN31" t="e">
            <v>#DIV/0!</v>
          </cell>
          <cell r="AO31">
            <v>22240</v>
          </cell>
          <cell r="AP31">
            <v>111505</v>
          </cell>
          <cell r="AQ31">
            <v>4.01371402877698</v>
          </cell>
        </row>
        <row r="32">
          <cell r="C32" t="str">
            <v>龙游博美电器有限公司</v>
          </cell>
          <cell r="D32" t="str">
            <v>经销</v>
          </cell>
          <cell r="E32" t="str">
            <v>龙游县</v>
          </cell>
          <cell r="F32" t="str">
            <v>龙游县</v>
          </cell>
          <cell r="G32" t="str">
            <v>江雯</v>
          </cell>
        </row>
        <row r="32">
          <cell r="J32" t="e">
            <v>#DIV/0!</v>
          </cell>
        </row>
        <row r="32">
          <cell r="M32" t="e">
            <v>#DIV/0!</v>
          </cell>
        </row>
        <row r="32">
          <cell r="P32" t="e">
            <v>#DIV/0!</v>
          </cell>
          <cell r="Q32">
            <v>0</v>
          </cell>
          <cell r="R32">
            <v>0</v>
          </cell>
          <cell r="S32" t="e">
            <v>#DIV/0!</v>
          </cell>
          <cell r="T32">
            <v>8514</v>
          </cell>
          <cell r="U32">
            <v>2998</v>
          </cell>
          <cell r="V32">
            <v>-0.647874089734555</v>
          </cell>
          <cell r="W32">
            <v>8514</v>
          </cell>
          <cell r="X32">
            <v>2998</v>
          </cell>
          <cell r="Y32">
            <v>-0.647874089734555</v>
          </cell>
        </row>
        <row r="32">
          <cell r="AB32" t="e">
            <v>#DIV/0!</v>
          </cell>
          <cell r="AC32">
            <v>8514</v>
          </cell>
          <cell r="AD32">
            <v>2998</v>
          </cell>
          <cell r="AE32">
            <v>-0.647874089734555</v>
          </cell>
          <cell r="AF32">
            <v>424</v>
          </cell>
        </row>
        <row r="32">
          <cell r="AH32">
            <v>-1</v>
          </cell>
          <cell r="AI32">
            <v>8938</v>
          </cell>
          <cell r="AJ32">
            <v>2998</v>
          </cell>
          <cell r="AK32">
            <v>-0.664578205415082</v>
          </cell>
          <cell r="AL32">
            <v>2334</v>
          </cell>
        </row>
        <row r="32">
          <cell r="AN32">
            <v>-1</v>
          </cell>
          <cell r="AO32">
            <v>11272</v>
          </cell>
          <cell r="AP32">
            <v>2998</v>
          </cell>
          <cell r="AQ32">
            <v>-0.73403122782115</v>
          </cell>
          <cell r="AR32">
            <v>1480</v>
          </cell>
        </row>
        <row r="33">
          <cell r="C33" t="str">
            <v>衢州众冠电器有限公司</v>
          </cell>
          <cell r="D33" t="str">
            <v>经销</v>
          </cell>
          <cell r="E33" t="str">
            <v>常山县</v>
          </cell>
          <cell r="F33" t="str">
            <v>常山县</v>
          </cell>
          <cell r="G33" t="str">
            <v>江雯</v>
          </cell>
        </row>
        <row r="33">
          <cell r="J33" t="e">
            <v>#DIV/0!</v>
          </cell>
        </row>
        <row r="33">
          <cell r="M33" t="e">
            <v>#DIV/0!</v>
          </cell>
        </row>
        <row r="33">
          <cell r="P33" t="e">
            <v>#DIV/0!</v>
          </cell>
          <cell r="Q33">
            <v>0</v>
          </cell>
          <cell r="R33">
            <v>0</v>
          </cell>
          <cell r="S33" t="e">
            <v>#DIV/0!</v>
          </cell>
        </row>
        <row r="33">
          <cell r="U33">
            <v>20000</v>
          </cell>
          <cell r="V33" t="e">
            <v>#DIV/0!</v>
          </cell>
          <cell r="W33">
            <v>0</v>
          </cell>
          <cell r="X33">
            <v>20000</v>
          </cell>
          <cell r="Y33" t="e">
            <v>#DIV/0!</v>
          </cell>
        </row>
        <row r="33">
          <cell r="AB33" t="e">
            <v>#DIV/0!</v>
          </cell>
          <cell r="AC33">
            <v>0</v>
          </cell>
          <cell r="AD33">
            <v>20000</v>
          </cell>
          <cell r="AE33" t="e">
            <v>#DIV/0!</v>
          </cell>
        </row>
        <row r="33">
          <cell r="AH33" t="e">
            <v>#DIV/0!</v>
          </cell>
          <cell r="AI33">
            <v>0</v>
          </cell>
          <cell r="AJ33">
            <v>20000</v>
          </cell>
          <cell r="AK33" t="e">
            <v>#DIV/0!</v>
          </cell>
        </row>
        <row r="33">
          <cell r="AM33">
            <v>10000</v>
          </cell>
          <cell r="AN33" t="e">
            <v>#DIV/0!</v>
          </cell>
          <cell r="AO33">
            <v>0</v>
          </cell>
          <cell r="AP33">
            <v>30000</v>
          </cell>
          <cell r="AQ33" t="e">
            <v>#DIV/0!</v>
          </cell>
        </row>
        <row r="34">
          <cell r="C34" t="str">
            <v>永康市新森态暖通设备有限公司</v>
          </cell>
          <cell r="D34" t="str">
            <v>暖通</v>
          </cell>
          <cell r="E34" t="str">
            <v>永康市</v>
          </cell>
          <cell r="F34" t="str">
            <v>永康市</v>
          </cell>
          <cell r="G34" t="str">
            <v>潘杏</v>
          </cell>
        </row>
        <row r="34">
          <cell r="J34" t="e">
            <v>#DIV/0!</v>
          </cell>
        </row>
        <row r="34">
          <cell r="M34" t="e">
            <v>#DIV/0!</v>
          </cell>
        </row>
        <row r="34">
          <cell r="P34" t="e">
            <v>#DIV/0!</v>
          </cell>
          <cell r="Q34">
            <v>0</v>
          </cell>
          <cell r="R34">
            <v>0</v>
          </cell>
          <cell r="S34" t="e">
            <v>#DIV/0!</v>
          </cell>
        </row>
        <row r="34">
          <cell r="V34" t="e">
            <v>#DIV/0!</v>
          </cell>
          <cell r="W34">
            <v>0</v>
          </cell>
          <cell r="X34">
            <v>0</v>
          </cell>
          <cell r="Y34" t="e">
            <v>#DIV/0!</v>
          </cell>
        </row>
        <row r="34">
          <cell r="AB34" t="e">
            <v>#DIV/0!</v>
          </cell>
          <cell r="AC34">
            <v>0</v>
          </cell>
          <cell r="AD34">
            <v>0</v>
          </cell>
          <cell r="AE34" t="e">
            <v>#DIV/0!</v>
          </cell>
        </row>
        <row r="34">
          <cell r="AH34" t="e">
            <v>#DIV/0!</v>
          </cell>
          <cell r="AI34">
            <v>0</v>
          </cell>
          <cell r="AJ34">
            <v>0</v>
          </cell>
          <cell r="AK34" t="e">
            <v>#DIV/0!</v>
          </cell>
        </row>
        <row r="34">
          <cell r="AN34" t="e">
            <v>#DIV/0!</v>
          </cell>
          <cell r="AO34">
            <v>0</v>
          </cell>
          <cell r="AP34">
            <v>0</v>
          </cell>
          <cell r="AQ34" t="e">
            <v>#DIV/0!</v>
          </cell>
        </row>
        <row r="35">
          <cell r="C35" t="str">
            <v>武义国美电器商场</v>
          </cell>
          <cell r="D35" t="str">
            <v>经销</v>
          </cell>
          <cell r="E35" t="str">
            <v>武义县</v>
          </cell>
          <cell r="F35" t="str">
            <v>武义县</v>
          </cell>
          <cell r="G35" t="str">
            <v>潘杏</v>
          </cell>
        </row>
        <row r="35">
          <cell r="J35" t="e">
            <v>#DIV/0!</v>
          </cell>
        </row>
        <row r="35">
          <cell r="M35" t="e">
            <v>#DIV/0!</v>
          </cell>
        </row>
        <row r="35">
          <cell r="P35" t="e">
            <v>#DIV/0!</v>
          </cell>
          <cell r="Q35">
            <v>0</v>
          </cell>
          <cell r="R35">
            <v>0</v>
          </cell>
          <cell r="S35" t="e">
            <v>#DIV/0!</v>
          </cell>
        </row>
        <row r="35">
          <cell r="V35" t="e">
            <v>#DIV/0!</v>
          </cell>
          <cell r="W35">
            <v>0</v>
          </cell>
          <cell r="X35">
            <v>0</v>
          </cell>
          <cell r="Y35" t="e">
            <v>#DIV/0!</v>
          </cell>
        </row>
        <row r="35">
          <cell r="AB35" t="e">
            <v>#DIV/0!</v>
          </cell>
          <cell r="AC35">
            <v>0</v>
          </cell>
          <cell r="AD35">
            <v>0</v>
          </cell>
          <cell r="AE35" t="e">
            <v>#DIV/0!</v>
          </cell>
        </row>
        <row r="35">
          <cell r="AH35" t="e">
            <v>#DIV/0!</v>
          </cell>
          <cell r="AI35">
            <v>0</v>
          </cell>
          <cell r="AJ35">
            <v>0</v>
          </cell>
          <cell r="AK35" t="e">
            <v>#DIV/0!</v>
          </cell>
        </row>
        <row r="35">
          <cell r="AN35" t="e">
            <v>#DIV/0!</v>
          </cell>
          <cell r="AO35">
            <v>0</v>
          </cell>
          <cell r="AP35">
            <v>0</v>
          </cell>
          <cell r="AQ35" t="e">
            <v>#DIV/0!</v>
          </cell>
        </row>
        <row r="36">
          <cell r="C36" t="str">
            <v>浙江省永康市金城家电有限公司</v>
          </cell>
          <cell r="D36" t="str">
            <v>经销</v>
          </cell>
          <cell r="E36" t="str">
            <v>永康市</v>
          </cell>
          <cell r="F36" t="str">
            <v>永康市</v>
          </cell>
          <cell r="G36" t="str">
            <v>潘杏</v>
          </cell>
        </row>
        <row r="36">
          <cell r="J36" t="e">
            <v>#DIV/0!</v>
          </cell>
        </row>
        <row r="36">
          <cell r="M36" t="e">
            <v>#DIV/0!</v>
          </cell>
        </row>
        <row r="36">
          <cell r="P36" t="e">
            <v>#DIV/0!</v>
          </cell>
          <cell r="Q36">
            <v>0</v>
          </cell>
          <cell r="R36">
            <v>0</v>
          </cell>
          <cell r="S36" t="e">
            <v>#DIV/0!</v>
          </cell>
        </row>
        <row r="36">
          <cell r="V36" t="e">
            <v>#DIV/0!</v>
          </cell>
          <cell r="W36">
            <v>0</v>
          </cell>
          <cell r="X36">
            <v>0</v>
          </cell>
          <cell r="Y36" t="e">
            <v>#DIV/0!</v>
          </cell>
        </row>
        <row r="36">
          <cell r="AB36" t="e">
            <v>#DIV/0!</v>
          </cell>
          <cell r="AC36">
            <v>0</v>
          </cell>
          <cell r="AD36">
            <v>0</v>
          </cell>
          <cell r="AE36" t="e">
            <v>#DIV/0!</v>
          </cell>
        </row>
        <row r="36">
          <cell r="AH36" t="e">
            <v>#DIV/0!</v>
          </cell>
          <cell r="AI36">
            <v>0</v>
          </cell>
          <cell r="AJ36">
            <v>0</v>
          </cell>
          <cell r="AK36" t="e">
            <v>#DIV/0!</v>
          </cell>
        </row>
        <row r="36">
          <cell r="AN36" t="e">
            <v>#DIV/0!</v>
          </cell>
          <cell r="AO36">
            <v>0</v>
          </cell>
          <cell r="AP36">
            <v>0</v>
          </cell>
          <cell r="AQ36" t="e">
            <v>#DIV/0!</v>
          </cell>
        </row>
        <row r="37">
          <cell r="C37" t="str">
            <v>金华市婺美电器有限公司</v>
          </cell>
          <cell r="D37" t="str">
            <v>经销</v>
          </cell>
          <cell r="E37" t="str">
            <v>金华市区</v>
          </cell>
          <cell r="F37" t="str">
            <v>婺城区</v>
          </cell>
          <cell r="G37" t="str">
            <v>潘杏</v>
          </cell>
        </row>
        <row r="37">
          <cell r="U37">
            <v>1810</v>
          </cell>
          <cell r="V37" t="e">
            <v>#DIV/0!</v>
          </cell>
          <cell r="W37">
            <v>0</v>
          </cell>
          <cell r="X37">
            <v>1810</v>
          </cell>
          <cell r="Y37" t="e">
            <v>#DIV/0!</v>
          </cell>
        </row>
        <row r="37">
          <cell r="AA37">
            <v>4787</v>
          </cell>
          <cell r="AB37" t="e">
            <v>#DIV/0!</v>
          </cell>
          <cell r="AC37">
            <v>0</v>
          </cell>
          <cell r="AD37">
            <v>6597</v>
          </cell>
          <cell r="AE37" t="e">
            <v>#DIV/0!</v>
          </cell>
        </row>
        <row r="37">
          <cell r="AG37">
            <v>8454</v>
          </cell>
          <cell r="AH37" t="e">
            <v>#DIV/0!</v>
          </cell>
          <cell r="AI37">
            <v>0</v>
          </cell>
          <cell r="AJ37">
            <v>15051</v>
          </cell>
          <cell r="AK37" t="e">
            <v>#DIV/0!</v>
          </cell>
        </row>
        <row r="37">
          <cell r="AN37" t="e">
            <v>#DIV/0!</v>
          </cell>
          <cell r="AO37">
            <v>0</v>
          </cell>
          <cell r="AP37">
            <v>15051</v>
          </cell>
          <cell r="AQ37" t="e">
            <v>#DIV/0!</v>
          </cell>
        </row>
        <row r="37">
          <cell r="AS37">
            <v>2987</v>
          </cell>
        </row>
        <row r="38">
          <cell r="C38" t="str">
            <v>兰溪市升美电器商行</v>
          </cell>
          <cell r="D38" t="str">
            <v>经销</v>
          </cell>
          <cell r="E38" t="str">
            <v>兰溪市</v>
          </cell>
          <cell r="F38" t="str">
            <v>兰溪市</v>
          </cell>
          <cell r="G38" t="str">
            <v>潘杏</v>
          </cell>
        </row>
        <row r="38">
          <cell r="AA38">
            <v>30000</v>
          </cell>
          <cell r="AB38" t="e">
            <v>#DIV/0!</v>
          </cell>
          <cell r="AC38">
            <v>0</v>
          </cell>
          <cell r="AD38">
            <v>30000</v>
          </cell>
          <cell r="AE38" t="e">
            <v>#DIV/0!</v>
          </cell>
        </row>
        <row r="38">
          <cell r="AH38" t="e">
            <v>#DIV/0!</v>
          </cell>
          <cell r="AI38">
            <v>0</v>
          </cell>
          <cell r="AJ38">
            <v>30000</v>
          </cell>
          <cell r="AK38" t="e">
            <v>#DIV/0!</v>
          </cell>
        </row>
        <row r="38">
          <cell r="AN38" t="e">
            <v>#DIV/0!</v>
          </cell>
          <cell r="AO38">
            <v>0</v>
          </cell>
          <cell r="AP38">
            <v>30000</v>
          </cell>
          <cell r="AQ38" t="e">
            <v>#DIV/0!</v>
          </cell>
        </row>
        <row r="39">
          <cell r="C39" t="str">
            <v>杭州中博智能电器有限公司</v>
          </cell>
          <cell r="D39" t="str">
            <v>经销</v>
          </cell>
          <cell r="E39" t="str">
            <v>金华市区</v>
          </cell>
        </row>
        <row r="39">
          <cell r="G39" t="str">
            <v>潘杏</v>
          </cell>
        </row>
        <row r="39">
          <cell r="AS39">
            <v>5806.24</v>
          </cell>
        </row>
        <row r="40">
          <cell r="C40" t="str">
            <v>苏宁易购集团股份有限公司苏宁采购中心</v>
          </cell>
          <cell r="D40" t="str">
            <v>经销</v>
          </cell>
          <cell r="E40" t="str">
            <v>金华市区</v>
          </cell>
        </row>
        <row r="40">
          <cell r="G40" t="str">
            <v>潘杏</v>
          </cell>
        </row>
        <row r="40">
          <cell r="AS40">
            <v>662.33</v>
          </cell>
        </row>
        <row r="41">
          <cell r="C41" t="str">
            <v>合计</v>
          </cell>
        </row>
        <row r="41">
          <cell r="H41">
            <v>412436</v>
          </cell>
          <cell r="I41">
            <v>1110866.71</v>
          </cell>
          <cell r="J41">
            <v>1.69342809551058</v>
          </cell>
          <cell r="K41">
            <v>572995.98</v>
          </cell>
          <cell r="L41">
            <v>225264</v>
          </cell>
          <cell r="M41">
            <v>-0.606866351837233</v>
          </cell>
          <cell r="N41">
            <v>648482.45</v>
          </cell>
          <cell r="O41">
            <v>365888</v>
          </cell>
          <cell r="P41">
            <v>-0.435778100085823</v>
          </cell>
          <cell r="Q41">
            <v>1633914.43</v>
          </cell>
          <cell r="R41">
            <v>1702018.71</v>
          </cell>
          <cell r="S41">
            <v>0.0416816687272907</v>
          </cell>
          <cell r="T41">
            <v>536957.25</v>
          </cell>
          <cell r="U41">
            <v>648379.45</v>
          </cell>
          <cell r="V41">
            <v>0.207506649737945</v>
          </cell>
          <cell r="W41">
            <v>2170871.68</v>
          </cell>
          <cell r="X41">
            <v>2350398.16</v>
          </cell>
          <cell r="Y41">
            <v>0.0826978773798368</v>
          </cell>
          <cell r="Z41">
            <v>754146.37</v>
          </cell>
          <cell r="AA41">
            <v>639095.81</v>
          </cell>
          <cell r="AB41">
            <v>-0.152557334460153</v>
          </cell>
          <cell r="AC41">
            <v>2925018.05</v>
          </cell>
          <cell r="AD41">
            <v>2989493.97</v>
          </cell>
          <cell r="AE41">
            <v>0.0220429135471489</v>
          </cell>
          <cell r="AF41">
            <v>602156.66</v>
          </cell>
          <cell r="AG41">
            <v>677171.21</v>
          </cell>
          <cell r="AH41">
            <v>0.124576468190188</v>
          </cell>
          <cell r="AI41">
            <v>3527174.71</v>
          </cell>
          <cell r="AJ41">
            <v>3666665.18</v>
          </cell>
          <cell r="AK41">
            <v>0.0395473662261545</v>
          </cell>
          <cell r="AL41">
            <v>490368</v>
          </cell>
          <cell r="AM41">
            <v>658308.08</v>
          </cell>
          <cell r="AN41">
            <v>0.342477649438789</v>
          </cell>
          <cell r="AO41">
            <v>4017542.71</v>
          </cell>
          <cell r="AP41">
            <v>4324973.26</v>
          </cell>
          <cell r="AQ41">
            <v>0.076522036526153</v>
          </cell>
          <cell r="AR41">
            <v>775123</v>
          </cell>
          <cell r="AS41">
            <v>452837.18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汇总1"/>
      <sheetName val="Sheet3"/>
      <sheetName val="杭州"/>
      <sheetName val="湖州"/>
      <sheetName val="嘉兴"/>
      <sheetName val="金衢"/>
      <sheetName val="绍兴"/>
      <sheetName val="台州"/>
      <sheetName val="温丽"/>
      <sheetName val="电商 以旧换新"/>
      <sheetName val="Sheet5"/>
      <sheetName val="汇总"/>
      <sheetName val="汇总单位"/>
      <sheetName val="Sheet4"/>
      <sheetName val="客户汇总"/>
      <sheetName val="汇总2"/>
      <sheetName val="23年人口数据"/>
      <sheetName val="Sheet1"/>
    </sheetNames>
    <sheetDataSet>
      <sheetData sheetId="0" refreshError="1"/>
      <sheetData sheetId="1" refreshError="1"/>
      <sheetData sheetId="2" refreshError="1">
        <row r="1">
          <cell r="I1" t="str">
            <v>1月</v>
          </cell>
        </row>
        <row r="1">
          <cell r="K1" t="str">
            <v>同比</v>
          </cell>
          <cell r="L1" t="str">
            <v>2月</v>
          </cell>
        </row>
        <row r="1">
          <cell r="N1" t="str">
            <v>同比</v>
          </cell>
          <cell r="O1" t="str">
            <v>1-2月</v>
          </cell>
        </row>
        <row r="1">
          <cell r="Q1" t="str">
            <v>同比</v>
          </cell>
          <cell r="R1" t="str">
            <v>3月</v>
          </cell>
        </row>
        <row r="2">
          <cell r="C2" t="str">
            <v>门店</v>
          </cell>
          <cell r="D2" t="str">
            <v>渠道</v>
          </cell>
          <cell r="E2" t="str">
            <v>渠道细分</v>
          </cell>
          <cell r="F2" t="str">
            <v>大区</v>
          </cell>
          <cell r="G2" t="str">
            <v>市/区/县</v>
          </cell>
          <cell r="H2" t="str">
            <v>业务员</v>
          </cell>
          <cell r="I2" t="str">
            <v>2024年</v>
          </cell>
          <cell r="J2" t="str">
            <v>2025年</v>
          </cell>
        </row>
        <row r="2">
          <cell r="L2" t="str">
            <v>2024年</v>
          </cell>
          <cell r="M2" t="str">
            <v>2025年</v>
          </cell>
        </row>
        <row r="2">
          <cell r="O2" t="str">
            <v>2024年</v>
          </cell>
          <cell r="P2" t="str">
            <v>2025年</v>
          </cell>
        </row>
        <row r="2">
          <cell r="R2" t="str">
            <v>2024年</v>
          </cell>
          <cell r="S2" t="str">
            <v>2025年</v>
          </cell>
        </row>
        <row r="3">
          <cell r="C3" t="str">
            <v>汇德隆</v>
          </cell>
          <cell r="D3" t="str">
            <v>TOP渠道</v>
          </cell>
          <cell r="E3" t="str">
            <v>TOP渠道</v>
          </cell>
          <cell r="F3" t="str">
            <v>萧山区</v>
          </cell>
          <cell r="G3" t="str">
            <v>萧山区</v>
          </cell>
          <cell r="H3" t="str">
            <v>董培培</v>
          </cell>
          <cell r="I3">
            <v>100000</v>
          </cell>
          <cell r="J3">
            <v>180000</v>
          </cell>
          <cell r="K3">
            <v>0.8</v>
          </cell>
        </row>
        <row r="3">
          <cell r="M3">
            <v>90000</v>
          </cell>
          <cell r="N3" t="e">
            <v>#DIV/0!</v>
          </cell>
          <cell r="O3">
            <v>100000</v>
          </cell>
          <cell r="P3">
            <v>270000</v>
          </cell>
          <cell r="Q3">
            <v>1.7</v>
          </cell>
          <cell r="R3">
            <v>540000</v>
          </cell>
          <cell r="S3">
            <v>200000</v>
          </cell>
        </row>
        <row r="4">
          <cell r="C4" t="str">
            <v>萧山汇德隆净水</v>
          </cell>
          <cell r="D4" t="str">
            <v>TOP渠道</v>
          </cell>
          <cell r="E4" t="str">
            <v>TOP渠道</v>
          </cell>
          <cell r="F4" t="str">
            <v>萧山区</v>
          </cell>
          <cell r="G4" t="str">
            <v>萧山区</v>
          </cell>
          <cell r="H4" t="str">
            <v>董培培</v>
          </cell>
          <cell r="I4">
            <v>109082.35</v>
          </cell>
          <cell r="J4">
            <v>85017.95</v>
          </cell>
          <cell r="K4">
            <v>-0.220607641841233</v>
          </cell>
        </row>
        <row r="4">
          <cell r="M4">
            <v>124698.5</v>
          </cell>
          <cell r="N4" t="e">
            <v>#DIV/0!</v>
          </cell>
          <cell r="O4">
            <v>109082.35</v>
          </cell>
          <cell r="P4">
            <v>209716.45</v>
          </cell>
          <cell r="Q4">
            <v>0.92255163186345</v>
          </cell>
          <cell r="R4">
            <v>98942.87</v>
          </cell>
        </row>
        <row r="5">
          <cell r="C5" t="str">
            <v>杭州兴达京昀电器有限公司</v>
          </cell>
          <cell r="D5" t="str">
            <v>经销</v>
          </cell>
          <cell r="E5" t="str">
            <v>TOP渠道</v>
          </cell>
          <cell r="F5" t="str">
            <v>余杭区</v>
          </cell>
          <cell r="G5" t="str">
            <v>余杭区</v>
          </cell>
          <cell r="H5" t="str">
            <v>贾乐乐</v>
          </cell>
        </row>
        <row r="5">
          <cell r="J5">
            <v>100000</v>
          </cell>
          <cell r="K5" t="e">
            <v>#DIV/0!</v>
          </cell>
        </row>
        <row r="5">
          <cell r="N5" t="e">
            <v>#DIV/0!</v>
          </cell>
          <cell r="O5">
            <v>0</v>
          </cell>
          <cell r="P5">
            <v>100000</v>
          </cell>
          <cell r="Q5" t="e">
            <v>#DIV/0!</v>
          </cell>
        </row>
        <row r="5">
          <cell r="S5">
            <v>60000</v>
          </cell>
        </row>
        <row r="6">
          <cell r="C6" t="str">
            <v>杭州临安一栋电器有限公司</v>
          </cell>
          <cell r="D6" t="str">
            <v>加盟</v>
          </cell>
          <cell r="E6" t="str">
            <v>加盟</v>
          </cell>
          <cell r="F6" t="str">
            <v>临安区</v>
          </cell>
          <cell r="G6" t="str">
            <v>临安区</v>
          </cell>
          <cell r="H6" t="str">
            <v>贾乐乐</v>
          </cell>
          <cell r="I6">
            <v>140000</v>
          </cell>
          <cell r="J6">
            <v>41700</v>
          </cell>
          <cell r="K6">
            <v>-0.702142857142857</v>
          </cell>
          <cell r="L6">
            <v>60000</v>
          </cell>
          <cell r="M6">
            <v>27875</v>
          </cell>
          <cell r="N6">
            <v>-0.535416666666667</v>
          </cell>
          <cell r="O6">
            <v>200000</v>
          </cell>
          <cell r="P6">
            <v>69575</v>
          </cell>
          <cell r="Q6">
            <v>-0.652125</v>
          </cell>
          <cell r="R6">
            <v>60000</v>
          </cell>
          <cell r="S6">
            <v>94786</v>
          </cell>
        </row>
        <row r="7">
          <cell r="C7" t="str">
            <v>杭州宏信机电有限公司</v>
          </cell>
          <cell r="D7" t="str">
            <v>加盟</v>
          </cell>
          <cell r="E7" t="str">
            <v>加盟</v>
          </cell>
          <cell r="F7" t="str">
            <v>富阳区</v>
          </cell>
          <cell r="G7" t="str">
            <v>富阳区</v>
          </cell>
          <cell r="H7" t="str">
            <v>贾乐乐</v>
          </cell>
          <cell r="I7">
            <v>215180.88</v>
          </cell>
          <cell r="J7">
            <v>10000</v>
          </cell>
          <cell r="K7">
            <v>-0.953527469540974</v>
          </cell>
          <cell r="L7">
            <v>146500</v>
          </cell>
          <cell r="M7">
            <v>83000</v>
          </cell>
          <cell r="N7">
            <v>-0.433447098976109</v>
          </cell>
          <cell r="O7">
            <v>361680.88</v>
          </cell>
          <cell r="P7">
            <v>93000</v>
          </cell>
          <cell r="Q7">
            <v>-0.7428672480558</v>
          </cell>
          <cell r="R7">
            <v>280836</v>
          </cell>
          <cell r="S7">
            <v>71000</v>
          </cell>
        </row>
        <row r="8">
          <cell r="C8" t="str">
            <v>桐庐佳尼特水处理设备有限公司</v>
          </cell>
          <cell r="D8" t="str">
            <v>加盟</v>
          </cell>
          <cell r="E8" t="str">
            <v>加盟</v>
          </cell>
          <cell r="F8" t="str">
            <v>桐庐县</v>
          </cell>
          <cell r="G8" t="str">
            <v>桐庐县</v>
          </cell>
          <cell r="H8" t="str">
            <v>贾乐乐</v>
          </cell>
          <cell r="I8">
            <v>100000</v>
          </cell>
          <cell r="J8">
            <v>149040</v>
          </cell>
          <cell r="K8">
            <v>0.4904</v>
          </cell>
          <cell r="L8">
            <v>30000</v>
          </cell>
          <cell r="M8">
            <v>72140</v>
          </cell>
          <cell r="N8">
            <v>1.40466666666667</v>
          </cell>
          <cell r="O8">
            <v>130000</v>
          </cell>
          <cell r="P8">
            <v>221180</v>
          </cell>
          <cell r="Q8">
            <v>0.701384615384615</v>
          </cell>
          <cell r="R8">
            <v>70000</v>
          </cell>
          <cell r="S8">
            <v>160000</v>
          </cell>
        </row>
        <row r="9">
          <cell r="C9" t="str">
            <v>杭州佳威信息科技有限公司</v>
          </cell>
          <cell r="D9" t="str">
            <v>经销</v>
          </cell>
          <cell r="E9" t="str">
            <v>经销</v>
          </cell>
          <cell r="F9" t="str">
            <v>建德市</v>
          </cell>
          <cell r="G9" t="str">
            <v>建德市</v>
          </cell>
          <cell r="H9" t="str">
            <v>贾乐乐</v>
          </cell>
          <cell r="I9">
            <v>10000</v>
          </cell>
        </row>
        <row r="9">
          <cell r="K9">
            <v>-1</v>
          </cell>
        </row>
        <row r="9">
          <cell r="N9" t="e">
            <v>#DIV/0!</v>
          </cell>
          <cell r="O9">
            <v>10000</v>
          </cell>
          <cell r="P9">
            <v>0</v>
          </cell>
          <cell r="Q9">
            <v>-1</v>
          </cell>
          <cell r="R9">
            <v>10000</v>
          </cell>
        </row>
        <row r="10">
          <cell r="C10" t="str">
            <v>杭州京品满屋家电有限公司</v>
          </cell>
          <cell r="D10" t="str">
            <v>经销</v>
          </cell>
          <cell r="E10" t="str">
            <v>经销</v>
          </cell>
          <cell r="F10" t="str">
            <v>淳安县</v>
          </cell>
          <cell r="G10" t="str">
            <v>淳安县</v>
          </cell>
          <cell r="H10" t="str">
            <v>贾乐乐</v>
          </cell>
          <cell r="I10">
            <v>10980</v>
          </cell>
          <cell r="J10">
            <v>1887</v>
          </cell>
          <cell r="K10">
            <v>-0.828142076502732</v>
          </cell>
          <cell r="L10">
            <v>10390</v>
          </cell>
        </row>
        <row r="10">
          <cell r="N10">
            <v>-1</v>
          </cell>
          <cell r="O10">
            <v>21370</v>
          </cell>
          <cell r="P10">
            <v>1887</v>
          </cell>
          <cell r="Q10">
            <v>-0.911698642957417</v>
          </cell>
          <cell r="R10">
            <v>20613</v>
          </cell>
          <cell r="S10">
            <v>21472</v>
          </cell>
        </row>
        <row r="11">
          <cell r="C11" t="str">
            <v>杭州司亿博环境设备有限公司</v>
          </cell>
          <cell r="D11" t="str">
            <v>经销</v>
          </cell>
          <cell r="E11" t="str">
            <v>经销</v>
          </cell>
          <cell r="F11" t="str">
            <v>临平区</v>
          </cell>
          <cell r="G11" t="str">
            <v>临平区</v>
          </cell>
          <cell r="H11" t="str">
            <v>董培培</v>
          </cell>
          <cell r="I11">
            <v>11748</v>
          </cell>
        </row>
        <row r="11">
          <cell r="K11">
            <v>-1</v>
          </cell>
          <cell r="L11">
            <v>16445</v>
          </cell>
          <cell r="M11">
            <v>2274</v>
          </cell>
          <cell r="N11">
            <v>-0.861720887807844</v>
          </cell>
          <cell r="O11">
            <v>28193</v>
          </cell>
          <cell r="P11">
            <v>2274</v>
          </cell>
          <cell r="Q11">
            <v>-0.919341680559004</v>
          </cell>
          <cell r="R11">
            <v>800</v>
          </cell>
        </row>
        <row r="12">
          <cell r="C12" t="str">
            <v>杭州五星</v>
          </cell>
          <cell r="D12" t="str">
            <v>五星</v>
          </cell>
          <cell r="E12" t="str">
            <v>五星</v>
          </cell>
          <cell r="F12" t="str">
            <v>杭州市区</v>
          </cell>
          <cell r="G12" t="str">
            <v>市区</v>
          </cell>
          <cell r="H12" t="str">
            <v>李燕霞</v>
          </cell>
          <cell r="I12">
            <v>-55370.32</v>
          </cell>
          <cell r="J12">
            <v>513987.69</v>
          </cell>
          <cell r="K12">
            <v>-10.282729267232</v>
          </cell>
        </row>
        <row r="12">
          <cell r="M12">
            <v>456944.83</v>
          </cell>
          <cell r="N12" t="e">
            <v>#DIV/0!</v>
          </cell>
          <cell r="O12">
            <v>-55370.32</v>
          </cell>
          <cell r="P12">
            <v>970932.52</v>
          </cell>
          <cell r="Q12">
            <v>-18.5352520989584</v>
          </cell>
        </row>
        <row r="12">
          <cell r="S12">
            <v>639327.2</v>
          </cell>
        </row>
        <row r="13">
          <cell r="C13" t="str">
            <v>杭州临平江南家居专卖店</v>
          </cell>
          <cell r="D13" t="str">
            <v>直营</v>
          </cell>
          <cell r="E13" t="str">
            <v>直营</v>
          </cell>
          <cell r="F13" t="str">
            <v>临平区</v>
          </cell>
          <cell r="G13" t="str">
            <v>临平区</v>
          </cell>
          <cell r="H13" t="str">
            <v>专卖店</v>
          </cell>
          <cell r="I13">
            <v>103977</v>
          </cell>
          <cell r="J13">
            <v>22066</v>
          </cell>
          <cell r="K13">
            <v>-0.787779989805438</v>
          </cell>
          <cell r="L13">
            <v>19500</v>
          </cell>
          <cell r="M13">
            <v>49149</v>
          </cell>
          <cell r="N13">
            <v>1.52046153846154</v>
          </cell>
          <cell r="O13">
            <v>123477</v>
          </cell>
          <cell r="P13">
            <v>71215</v>
          </cell>
          <cell r="Q13">
            <v>-0.42325291349806</v>
          </cell>
          <cell r="R13">
            <v>113494</v>
          </cell>
          <cell r="S13">
            <v>91366</v>
          </cell>
        </row>
        <row r="14">
          <cell r="C14" t="str">
            <v>杭州华泓电器有限公司</v>
          </cell>
          <cell r="D14" t="str">
            <v>经销</v>
          </cell>
          <cell r="E14" t="str">
            <v>经销</v>
          </cell>
          <cell r="F14" t="str">
            <v>萧山区</v>
          </cell>
          <cell r="G14" t="str">
            <v>萧山区</v>
          </cell>
          <cell r="H14" t="str">
            <v>董培培</v>
          </cell>
          <cell r="I14">
            <v>800</v>
          </cell>
        </row>
        <row r="14">
          <cell r="K14">
            <v>-1</v>
          </cell>
        </row>
        <row r="14">
          <cell r="N14" t="e">
            <v>#DIV/0!</v>
          </cell>
          <cell r="O14">
            <v>800</v>
          </cell>
          <cell r="P14">
            <v>0</v>
          </cell>
          <cell r="Q14">
            <v>-1</v>
          </cell>
        </row>
        <row r="15">
          <cell r="C15" t="str">
            <v>杭州金蝶零售</v>
          </cell>
          <cell r="D15" t="str">
            <v>零售</v>
          </cell>
          <cell r="E15" t="str">
            <v>零售</v>
          </cell>
          <cell r="F15" t="str">
            <v>杭州市区</v>
          </cell>
          <cell r="G15" t="str">
            <v>市区</v>
          </cell>
          <cell r="H15" t="str">
            <v>杭州零售</v>
          </cell>
          <cell r="I15">
            <v>111956.28</v>
          </cell>
          <cell r="J15">
            <v>76873.34</v>
          </cell>
          <cell r="K15">
            <v>-0.313362859144659</v>
          </cell>
          <cell r="L15">
            <v>43919</v>
          </cell>
          <cell r="M15">
            <v>43284.9</v>
          </cell>
          <cell r="N15">
            <v>-0.014437942576106</v>
          </cell>
          <cell r="O15">
            <v>155875.28</v>
          </cell>
          <cell r="P15">
            <v>120158.24</v>
          </cell>
          <cell r="Q15">
            <v>-0.229138577970798</v>
          </cell>
          <cell r="R15">
            <v>80405.08</v>
          </cell>
          <cell r="S15">
            <v>119148.66</v>
          </cell>
        </row>
        <row r="16">
          <cell r="C16" t="str">
            <v>杭州金蝶零售（李燕霞）</v>
          </cell>
          <cell r="D16" t="str">
            <v>零售</v>
          </cell>
          <cell r="E16" t="str">
            <v>零售</v>
          </cell>
          <cell r="F16" t="str">
            <v>杭州市区</v>
          </cell>
          <cell r="G16" t="str">
            <v>市区</v>
          </cell>
          <cell r="H16" t="str">
            <v>李燕霞</v>
          </cell>
        </row>
        <row r="16">
          <cell r="K16" t="e">
            <v>#DIV/0!</v>
          </cell>
        </row>
        <row r="16">
          <cell r="M16">
            <v>6125</v>
          </cell>
          <cell r="N16" t="e">
            <v>#DIV/0!</v>
          </cell>
          <cell r="O16">
            <v>0</v>
          </cell>
          <cell r="P16">
            <v>6125</v>
          </cell>
          <cell r="Q16" t="e">
            <v>#DIV/0!</v>
          </cell>
        </row>
        <row r="17">
          <cell r="C17" t="str">
            <v>萧山世纪龙建材专卖店</v>
          </cell>
          <cell r="D17" t="str">
            <v>直营</v>
          </cell>
          <cell r="E17" t="str">
            <v>直营</v>
          </cell>
          <cell r="F17" t="str">
            <v>萧山区</v>
          </cell>
          <cell r="G17" t="str">
            <v>萧山区</v>
          </cell>
          <cell r="H17" t="str">
            <v>专卖店</v>
          </cell>
          <cell r="I17">
            <v>52801</v>
          </cell>
        </row>
        <row r="17">
          <cell r="K17">
            <v>-1</v>
          </cell>
        </row>
        <row r="17">
          <cell r="N17" t="e">
            <v>#DIV/0!</v>
          </cell>
          <cell r="O17">
            <v>52801</v>
          </cell>
          <cell r="P17">
            <v>0</v>
          </cell>
          <cell r="Q17">
            <v>-1</v>
          </cell>
        </row>
        <row r="18">
          <cell r="C18" t="str">
            <v>（新）古墩新时代专卖店</v>
          </cell>
          <cell r="D18" t="str">
            <v>直营</v>
          </cell>
          <cell r="E18" t="str">
            <v>直营</v>
          </cell>
          <cell r="F18" t="str">
            <v>杭州市区</v>
          </cell>
          <cell r="G18" t="str">
            <v>西湖风景名胜区</v>
          </cell>
          <cell r="H18" t="str">
            <v>专卖店</v>
          </cell>
          <cell r="I18">
            <v>-16596</v>
          </cell>
        </row>
        <row r="18">
          <cell r="K18">
            <v>-1</v>
          </cell>
        </row>
        <row r="18">
          <cell r="N18" t="e">
            <v>#DIV/0!</v>
          </cell>
          <cell r="O18">
            <v>-16596</v>
          </cell>
          <cell r="P18">
            <v>0</v>
          </cell>
          <cell r="Q18">
            <v>-1</v>
          </cell>
        </row>
        <row r="19">
          <cell r="C19" t="str">
            <v>（新）宏丰专卖店</v>
          </cell>
          <cell r="D19" t="str">
            <v>直营</v>
          </cell>
          <cell r="E19" t="str">
            <v>直营</v>
          </cell>
          <cell r="F19" t="str">
            <v>杭州市区</v>
          </cell>
          <cell r="G19" t="str">
            <v>市区</v>
          </cell>
          <cell r="H19" t="str">
            <v>专卖店</v>
          </cell>
        </row>
        <row r="19">
          <cell r="K19" t="e">
            <v>#DIV/0!</v>
          </cell>
          <cell r="L19">
            <v>-3358</v>
          </cell>
        </row>
        <row r="19">
          <cell r="N19">
            <v>-1</v>
          </cell>
          <cell r="O19">
            <v>-3358</v>
          </cell>
          <cell r="P19">
            <v>0</v>
          </cell>
          <cell r="Q19">
            <v>-1</v>
          </cell>
        </row>
        <row r="20">
          <cell r="C20" t="str">
            <v>杭州月星家居超级旗舰店</v>
          </cell>
          <cell r="D20" t="str">
            <v>直营</v>
          </cell>
          <cell r="E20" t="str">
            <v>直营</v>
          </cell>
          <cell r="F20" t="str">
            <v>杭州市区</v>
          </cell>
          <cell r="G20" t="str">
            <v>拱墅区</v>
          </cell>
          <cell r="H20" t="str">
            <v>专卖店</v>
          </cell>
        </row>
        <row r="20">
          <cell r="K20" t="e">
            <v>#DIV/0!</v>
          </cell>
        </row>
        <row r="20">
          <cell r="N20" t="e">
            <v>#DIV/0!</v>
          </cell>
          <cell r="O20">
            <v>0</v>
          </cell>
          <cell r="P20">
            <v>0</v>
          </cell>
          <cell r="Q20" t="e">
            <v>#DIV/0!</v>
          </cell>
        </row>
        <row r="21">
          <cell r="C21" t="str">
            <v>杭州恒大建材超级旗舰店</v>
          </cell>
          <cell r="D21" t="str">
            <v>直营</v>
          </cell>
          <cell r="E21" t="str">
            <v>直营</v>
          </cell>
          <cell r="F21" t="str">
            <v>临平区</v>
          </cell>
          <cell r="G21" t="str">
            <v>临平区</v>
          </cell>
          <cell r="H21" t="str">
            <v>专卖店</v>
          </cell>
          <cell r="I21">
            <v>164507</v>
          </cell>
          <cell r="J21">
            <v>108230.5</v>
          </cell>
          <cell r="K21">
            <v>-0.34209182587975</v>
          </cell>
          <cell r="L21">
            <v>107411</v>
          </cell>
          <cell r="M21">
            <v>59256.4</v>
          </cell>
          <cell r="N21">
            <v>-0.448320935472158</v>
          </cell>
          <cell r="O21">
            <v>271918</v>
          </cell>
          <cell r="P21">
            <v>167486.9</v>
          </cell>
          <cell r="Q21">
            <v>-0.384053648526394</v>
          </cell>
          <cell r="R21">
            <v>318901</v>
          </cell>
          <cell r="S21">
            <v>109309.1</v>
          </cell>
        </row>
        <row r="22">
          <cell r="C22" t="str">
            <v>二轻爱威专卖店</v>
          </cell>
          <cell r="D22" t="str">
            <v>加盟</v>
          </cell>
          <cell r="E22" t="str">
            <v>加盟</v>
          </cell>
          <cell r="F22" t="str">
            <v>杭州市区</v>
          </cell>
          <cell r="G22" t="str">
            <v>拱墅区</v>
          </cell>
          <cell r="H22" t="str">
            <v>专卖店</v>
          </cell>
          <cell r="I22">
            <v>78855</v>
          </cell>
          <cell r="J22">
            <v>24931</v>
          </cell>
          <cell r="K22">
            <v>-0.683837423118382</v>
          </cell>
          <cell r="L22">
            <v>39609</v>
          </cell>
          <cell r="M22">
            <v>30583</v>
          </cell>
          <cell r="N22">
            <v>-0.227877502587796</v>
          </cell>
          <cell r="O22">
            <v>118464</v>
          </cell>
          <cell r="P22">
            <v>55514</v>
          </cell>
          <cell r="Q22">
            <v>-0.531385062128579</v>
          </cell>
          <cell r="R22">
            <v>40486</v>
          </cell>
          <cell r="S22">
            <v>10700</v>
          </cell>
        </row>
        <row r="23">
          <cell r="C23" t="str">
            <v>（新）滨江第六空间专卖店</v>
          </cell>
          <cell r="D23" t="str">
            <v>直营</v>
          </cell>
          <cell r="E23" t="str">
            <v>直营</v>
          </cell>
          <cell r="F23" t="str">
            <v>杭州市区</v>
          </cell>
          <cell r="G23" t="str">
            <v>滨江区</v>
          </cell>
          <cell r="H23" t="str">
            <v>专卖店</v>
          </cell>
          <cell r="I23">
            <v>155330</v>
          </cell>
          <cell r="J23">
            <v>156262</v>
          </cell>
          <cell r="K23">
            <v>0.00600012875812794</v>
          </cell>
          <cell r="L23">
            <v>84728</v>
          </cell>
          <cell r="M23">
            <v>143497</v>
          </cell>
          <cell r="N23">
            <v>0.693619582664526</v>
          </cell>
          <cell r="O23">
            <v>240058</v>
          </cell>
          <cell r="P23">
            <v>299759</v>
          </cell>
          <cell r="Q23">
            <v>0.248694065600813</v>
          </cell>
          <cell r="R23">
            <v>296842</v>
          </cell>
          <cell r="S23">
            <v>199854.6</v>
          </cell>
        </row>
        <row r="24">
          <cell r="C24" t="str">
            <v>杭州日新人工环境工程有限公司</v>
          </cell>
          <cell r="D24" t="str">
            <v>暖通</v>
          </cell>
          <cell r="E24" t="str">
            <v>暖通</v>
          </cell>
          <cell r="F24" t="str">
            <v>杭州市区</v>
          </cell>
          <cell r="G24" t="str">
            <v>西湖风景名胜区</v>
          </cell>
          <cell r="H24" t="str">
            <v>陈雪君</v>
          </cell>
        </row>
        <row r="24">
          <cell r="K24" t="e">
            <v>#DIV/0!</v>
          </cell>
        </row>
        <row r="24">
          <cell r="N24" t="e">
            <v>#DIV/0!</v>
          </cell>
          <cell r="O24">
            <v>0</v>
          </cell>
          <cell r="P24">
            <v>0</v>
          </cell>
          <cell r="Q24" t="e">
            <v>#DIV/0!</v>
          </cell>
          <cell r="R24">
            <v>790</v>
          </cell>
        </row>
        <row r="25">
          <cell r="C25" t="str">
            <v>杭州汇意商贸有限公司</v>
          </cell>
          <cell r="D25" t="str">
            <v>暖通</v>
          </cell>
          <cell r="E25" t="str">
            <v>暖通</v>
          </cell>
          <cell r="F25" t="str">
            <v>杭州市区</v>
          </cell>
          <cell r="G25" t="str">
            <v>拱墅区</v>
          </cell>
          <cell r="H25" t="str">
            <v>陈雪君</v>
          </cell>
        </row>
        <row r="25">
          <cell r="K25" t="e">
            <v>#DIV/0!</v>
          </cell>
        </row>
        <row r="25">
          <cell r="N25" t="e">
            <v>#DIV/0!</v>
          </cell>
          <cell r="O25">
            <v>0</v>
          </cell>
          <cell r="P25">
            <v>0</v>
          </cell>
          <cell r="Q25" t="e">
            <v>#DIV/0!</v>
          </cell>
        </row>
        <row r="26">
          <cell r="C26" t="str">
            <v>浙江初韵供应链管理有限公司</v>
          </cell>
          <cell r="D26" t="str">
            <v>经销</v>
          </cell>
          <cell r="E26" t="str">
            <v>经销</v>
          </cell>
          <cell r="F26" t="str">
            <v>杭州市区</v>
          </cell>
          <cell r="G26" t="str">
            <v>上城区</v>
          </cell>
          <cell r="H26" t="str">
            <v>董培培</v>
          </cell>
          <cell r="I26">
            <v>20000</v>
          </cell>
          <cell r="J26">
            <v>10000</v>
          </cell>
          <cell r="K26">
            <v>-0.5</v>
          </cell>
        </row>
        <row r="26">
          <cell r="N26" t="e">
            <v>#DIV/0!</v>
          </cell>
          <cell r="O26">
            <v>20000</v>
          </cell>
          <cell r="P26">
            <v>10000</v>
          </cell>
          <cell r="Q26">
            <v>-0.5</v>
          </cell>
          <cell r="R26">
            <v>40000</v>
          </cell>
          <cell r="S26">
            <v>24752.5</v>
          </cell>
        </row>
        <row r="27">
          <cell r="C27" t="str">
            <v>杭州红星美凯龙一号店</v>
          </cell>
          <cell r="D27" t="str">
            <v>直营</v>
          </cell>
          <cell r="E27" t="str">
            <v>直营</v>
          </cell>
          <cell r="F27" t="str">
            <v>杭州市区</v>
          </cell>
          <cell r="G27" t="str">
            <v>西湖风景名胜区</v>
          </cell>
          <cell r="H27" t="str">
            <v>专卖店</v>
          </cell>
          <cell r="I27">
            <v>304654</v>
          </cell>
          <cell r="J27">
            <v>248878.5</v>
          </cell>
          <cell r="K27">
            <v>-0.183078180493281</v>
          </cell>
          <cell r="L27">
            <v>67549</v>
          </cell>
          <cell r="M27">
            <v>359062</v>
          </cell>
          <cell r="N27">
            <v>4.31557832092259</v>
          </cell>
          <cell r="O27">
            <v>372203</v>
          </cell>
          <cell r="P27">
            <v>607940.5</v>
          </cell>
          <cell r="Q27">
            <v>0.6333573345728</v>
          </cell>
          <cell r="R27">
            <v>191851</v>
          </cell>
          <cell r="S27">
            <v>586860</v>
          </cell>
        </row>
        <row r="28">
          <cell r="C28" t="str">
            <v>杭州德业电器有限公司</v>
          </cell>
          <cell r="D28" t="str">
            <v>经销</v>
          </cell>
          <cell r="E28" t="str">
            <v>经销</v>
          </cell>
          <cell r="F28" t="str">
            <v>杭州市区</v>
          </cell>
          <cell r="G28" t="str">
            <v>上城区</v>
          </cell>
          <cell r="H28" t="str">
            <v>贾乐乐</v>
          </cell>
          <cell r="I28">
            <v>4124</v>
          </cell>
        </row>
        <row r="28">
          <cell r="K28">
            <v>-1</v>
          </cell>
        </row>
        <row r="28">
          <cell r="N28" t="e">
            <v>#DIV/0!</v>
          </cell>
          <cell r="O28">
            <v>4124</v>
          </cell>
          <cell r="P28">
            <v>0</v>
          </cell>
          <cell r="Q28">
            <v>-1</v>
          </cell>
          <cell r="R28">
            <v>4124</v>
          </cell>
        </row>
        <row r="29">
          <cell r="C29" t="str">
            <v>杭州市余杭区临平街道泽晨材料商行</v>
          </cell>
          <cell r="D29" t="str">
            <v>经销</v>
          </cell>
          <cell r="E29" t="str">
            <v>经销</v>
          </cell>
          <cell r="F29" t="str">
            <v>余杭区</v>
          </cell>
          <cell r="G29" t="str">
            <v>余杭区</v>
          </cell>
          <cell r="H29" t="str">
            <v>贾乐乐</v>
          </cell>
          <cell r="I29">
            <v>10000</v>
          </cell>
        </row>
        <row r="29">
          <cell r="K29">
            <v>-1</v>
          </cell>
        </row>
        <row r="29">
          <cell r="N29" t="e">
            <v>#DIV/0!</v>
          </cell>
          <cell r="O29">
            <v>10000</v>
          </cell>
          <cell r="P29">
            <v>0</v>
          </cell>
          <cell r="Q29">
            <v>-1</v>
          </cell>
        </row>
        <row r="30">
          <cell r="C30" t="str">
            <v>浙江顶戴环境设备有限公司</v>
          </cell>
          <cell r="D30" t="str">
            <v>暖通</v>
          </cell>
          <cell r="E30" t="str">
            <v>暖通</v>
          </cell>
          <cell r="F30" t="str">
            <v>杭州市区</v>
          </cell>
          <cell r="G30" t="str">
            <v>钱塘区</v>
          </cell>
          <cell r="H30" t="str">
            <v>陈雪君</v>
          </cell>
          <cell r="I30">
            <v>2591</v>
          </cell>
        </row>
        <row r="30">
          <cell r="K30">
            <v>-1</v>
          </cell>
        </row>
        <row r="30">
          <cell r="N30" t="e">
            <v>#DIV/0!</v>
          </cell>
          <cell r="O30">
            <v>2591</v>
          </cell>
          <cell r="P30">
            <v>0</v>
          </cell>
          <cell r="Q30">
            <v>-1</v>
          </cell>
        </row>
        <row r="31">
          <cell r="C31" t="str">
            <v>浙江元天电子商务有限公司</v>
          </cell>
          <cell r="D31" t="str">
            <v>经销</v>
          </cell>
          <cell r="E31" t="str">
            <v>经销</v>
          </cell>
          <cell r="F31" t="str">
            <v>杭州市区</v>
          </cell>
          <cell r="G31" t="str">
            <v>滨江区</v>
          </cell>
          <cell r="H31" t="str">
            <v>黄颖</v>
          </cell>
          <cell r="I31">
            <v>20582</v>
          </cell>
          <cell r="J31">
            <v>14679</v>
          </cell>
          <cell r="K31">
            <v>-0.286804003498202</v>
          </cell>
          <cell r="L31">
            <v>3939</v>
          </cell>
        </row>
        <row r="31">
          <cell r="N31">
            <v>-1</v>
          </cell>
          <cell r="O31">
            <v>24521</v>
          </cell>
          <cell r="P31">
            <v>14679</v>
          </cell>
          <cell r="Q31">
            <v>-0.401370254067942</v>
          </cell>
        </row>
        <row r="31">
          <cell r="S31">
            <v>3148</v>
          </cell>
        </row>
        <row r="32">
          <cell r="C32" t="str">
            <v>杭州澎湃电器有限公司</v>
          </cell>
          <cell r="D32" t="str">
            <v>家装</v>
          </cell>
          <cell r="E32" t="str">
            <v>家装</v>
          </cell>
          <cell r="F32" t="str">
            <v>杭州市区</v>
          </cell>
          <cell r="G32" t="str">
            <v>上城区</v>
          </cell>
          <cell r="H32" t="str">
            <v>黄颖</v>
          </cell>
          <cell r="I32">
            <v>7088</v>
          </cell>
        </row>
        <row r="32">
          <cell r="K32">
            <v>-1</v>
          </cell>
        </row>
        <row r="32">
          <cell r="N32" t="e">
            <v>#DIV/0!</v>
          </cell>
          <cell r="O32">
            <v>7088</v>
          </cell>
          <cell r="P32">
            <v>0</v>
          </cell>
          <cell r="Q32">
            <v>-1</v>
          </cell>
        </row>
        <row r="33">
          <cell r="C33" t="str">
            <v>杭州中博智能电器有限公司</v>
          </cell>
          <cell r="D33" t="str">
            <v>家装</v>
          </cell>
          <cell r="E33" t="str">
            <v>家装</v>
          </cell>
          <cell r="F33" t="str">
            <v>杭州市区</v>
          </cell>
          <cell r="G33" t="str">
            <v>上城区</v>
          </cell>
          <cell r="H33" t="str">
            <v>黄颖</v>
          </cell>
          <cell r="I33">
            <v>91657.28</v>
          </cell>
          <cell r="J33">
            <v>218873.82</v>
          </cell>
          <cell r="K33">
            <v>1.38795892699412</v>
          </cell>
        </row>
        <row r="33">
          <cell r="M33">
            <v>131893.4</v>
          </cell>
          <cell r="N33" t="e">
            <v>#DIV/0!</v>
          </cell>
          <cell r="O33">
            <v>91657.28</v>
          </cell>
          <cell r="P33">
            <v>350767.22</v>
          </cell>
          <cell r="Q33">
            <v>2.82694336991017</v>
          </cell>
          <cell r="R33">
            <v>98407.6</v>
          </cell>
          <cell r="S33">
            <v>143496.71</v>
          </cell>
        </row>
        <row r="34">
          <cell r="C34" t="str">
            <v>浙江都都装饰有限公司</v>
          </cell>
          <cell r="D34" t="str">
            <v>家装</v>
          </cell>
          <cell r="E34" t="str">
            <v>家装</v>
          </cell>
          <cell r="F34" t="str">
            <v>杭州市区</v>
          </cell>
          <cell r="G34" t="str">
            <v>拱墅区</v>
          </cell>
          <cell r="H34" t="str">
            <v>黄颖</v>
          </cell>
          <cell r="I34">
            <v>16779</v>
          </cell>
          <cell r="J34">
            <v>37387</v>
          </cell>
          <cell r="K34">
            <v>1.2282019190655</v>
          </cell>
        </row>
        <row r="34">
          <cell r="N34" t="e">
            <v>#DIV/0!</v>
          </cell>
          <cell r="O34">
            <v>16779</v>
          </cell>
          <cell r="P34">
            <v>37387</v>
          </cell>
          <cell r="Q34">
            <v>1.2282019190655</v>
          </cell>
          <cell r="R34">
            <v>7332</v>
          </cell>
        </row>
        <row r="35">
          <cell r="C35" t="str">
            <v>桐庐县城南街道正亿家电经营部</v>
          </cell>
          <cell r="D35" t="str">
            <v>经销</v>
          </cell>
          <cell r="E35" t="str">
            <v>经销</v>
          </cell>
          <cell r="F35" t="str">
            <v>桐庐县</v>
          </cell>
          <cell r="G35" t="str">
            <v>桐庐县</v>
          </cell>
          <cell r="H35" t="str">
            <v>贾乐乐</v>
          </cell>
        </row>
        <row r="35">
          <cell r="K35" t="e">
            <v>#DIV/0!</v>
          </cell>
        </row>
        <row r="35">
          <cell r="N35" t="e">
            <v>#DIV/0!</v>
          </cell>
          <cell r="O35">
            <v>0</v>
          </cell>
          <cell r="P35">
            <v>0</v>
          </cell>
          <cell r="Q35" t="e">
            <v>#DIV/0!</v>
          </cell>
          <cell r="R35">
            <v>26405</v>
          </cell>
        </row>
        <row r="36">
          <cell r="C36" t="str">
            <v>杭州中瑞工程技术有限公司</v>
          </cell>
          <cell r="D36" t="str">
            <v>经销</v>
          </cell>
          <cell r="E36" t="str">
            <v>经销</v>
          </cell>
          <cell r="F36" t="str">
            <v>杭州市区</v>
          </cell>
          <cell r="G36" t="str">
            <v>市区</v>
          </cell>
          <cell r="H36" t="str">
            <v>陈雪君</v>
          </cell>
          <cell r="I36">
            <v>50000</v>
          </cell>
        </row>
        <row r="36">
          <cell r="K36">
            <v>-1</v>
          </cell>
          <cell r="L36">
            <v>39000</v>
          </cell>
          <cell r="M36">
            <v>20000</v>
          </cell>
          <cell r="N36">
            <v>-0.487179487179487</v>
          </cell>
          <cell r="O36">
            <v>89000</v>
          </cell>
          <cell r="P36">
            <v>20000</v>
          </cell>
          <cell r="Q36">
            <v>-0.775280898876405</v>
          </cell>
          <cell r="R36">
            <v>35000</v>
          </cell>
        </row>
        <row r="37">
          <cell r="C37" t="str">
            <v>苏宁易购集团股份有限公司苏宁采购中心</v>
          </cell>
          <cell r="D37" t="str">
            <v>经销</v>
          </cell>
          <cell r="E37" t="str">
            <v>经销</v>
          </cell>
          <cell r="F37" t="str">
            <v>杭州市区</v>
          </cell>
          <cell r="G37" t="str">
            <v>市区</v>
          </cell>
          <cell r="H37" t="str">
            <v>陈雪君</v>
          </cell>
        </row>
        <row r="37">
          <cell r="J37">
            <v>5208.12</v>
          </cell>
          <cell r="K37" t="e">
            <v>#DIV/0!</v>
          </cell>
        </row>
        <row r="37">
          <cell r="M37">
            <v>713</v>
          </cell>
          <cell r="N37" t="e">
            <v>#DIV/0!</v>
          </cell>
          <cell r="O37">
            <v>0</v>
          </cell>
          <cell r="P37">
            <v>5921.12</v>
          </cell>
          <cell r="Q37" t="e">
            <v>#DIV/0!</v>
          </cell>
        </row>
        <row r="38">
          <cell r="C38" t="str">
            <v>杭州华东家电市场铁人电器商行</v>
          </cell>
          <cell r="D38" t="str">
            <v>经销</v>
          </cell>
          <cell r="E38" t="str">
            <v>经销</v>
          </cell>
          <cell r="F38" t="str">
            <v>杭州市区</v>
          </cell>
          <cell r="G38" t="str">
            <v>市区</v>
          </cell>
          <cell r="H38" t="str">
            <v>李燕霞</v>
          </cell>
        </row>
        <row r="38">
          <cell r="K38" t="e">
            <v>#DIV/0!</v>
          </cell>
        </row>
        <row r="38">
          <cell r="N38" t="e">
            <v>#DIV/0!</v>
          </cell>
          <cell r="O38">
            <v>0</v>
          </cell>
          <cell r="P38">
            <v>0</v>
          </cell>
          <cell r="Q38" t="e">
            <v>#DIV/0!</v>
          </cell>
        </row>
        <row r="39">
          <cell r="C39" t="str">
            <v>杭州殊晟机电设备有限公司</v>
          </cell>
          <cell r="D39" t="str">
            <v>经销</v>
          </cell>
          <cell r="E39" t="str">
            <v>经销</v>
          </cell>
          <cell r="F39" t="str">
            <v>杭州市区</v>
          </cell>
          <cell r="G39" t="str">
            <v>市区</v>
          </cell>
          <cell r="H39" t="str">
            <v>李燕霞</v>
          </cell>
        </row>
        <row r="39">
          <cell r="K39" t="e">
            <v>#DIV/0!</v>
          </cell>
        </row>
        <row r="39">
          <cell r="N39" t="e">
            <v>#DIV/0!</v>
          </cell>
          <cell r="O39">
            <v>0</v>
          </cell>
          <cell r="P39">
            <v>0</v>
          </cell>
          <cell r="Q39" t="e">
            <v>#DIV/0!</v>
          </cell>
        </row>
        <row r="40">
          <cell r="C40" t="str">
            <v>滨江六空8090店</v>
          </cell>
          <cell r="D40" t="str">
            <v>直营</v>
          </cell>
          <cell r="E40" t="str">
            <v>直营</v>
          </cell>
          <cell r="F40" t="str">
            <v>杭州市区</v>
          </cell>
          <cell r="G40" t="str">
            <v>滨江区</v>
          </cell>
          <cell r="H40" t="str">
            <v>专卖店</v>
          </cell>
        </row>
        <row r="40">
          <cell r="J40">
            <v>128272</v>
          </cell>
          <cell r="K40" t="e">
            <v>#DIV/0!</v>
          </cell>
        </row>
        <row r="40">
          <cell r="M40">
            <v>300432</v>
          </cell>
          <cell r="N40" t="e">
            <v>#DIV/0!</v>
          </cell>
          <cell r="O40">
            <v>0</v>
          </cell>
          <cell r="P40">
            <v>428704</v>
          </cell>
          <cell r="Q40" t="e">
            <v>#DIV/0!</v>
          </cell>
        </row>
        <row r="40">
          <cell r="S40">
            <v>378127</v>
          </cell>
        </row>
        <row r="41">
          <cell r="C41" t="str">
            <v>萧山第六空间专卖店</v>
          </cell>
          <cell r="D41" t="str">
            <v>直营</v>
          </cell>
          <cell r="E41" t="str">
            <v>直营</v>
          </cell>
          <cell r="F41" t="str">
            <v>萧山区</v>
          </cell>
          <cell r="G41" t="str">
            <v>市区</v>
          </cell>
          <cell r="H41" t="str">
            <v>专卖店</v>
          </cell>
        </row>
        <row r="41">
          <cell r="J41">
            <v>840</v>
          </cell>
          <cell r="K41" t="e">
            <v>#DIV/0!</v>
          </cell>
        </row>
        <row r="41">
          <cell r="M41">
            <v>30008</v>
          </cell>
          <cell r="N41" t="e">
            <v>#DIV/0!</v>
          </cell>
          <cell r="O41">
            <v>0</v>
          </cell>
          <cell r="P41">
            <v>30848</v>
          </cell>
          <cell r="Q41" t="e">
            <v>#DIV/0!</v>
          </cell>
        </row>
        <row r="41">
          <cell r="S41">
            <v>250109.6</v>
          </cell>
        </row>
        <row r="42">
          <cell r="C42" t="str">
            <v>政采云</v>
          </cell>
          <cell r="D42" t="str">
            <v>经销</v>
          </cell>
          <cell r="E42" t="str">
            <v>经销</v>
          </cell>
          <cell r="F42" t="str">
            <v>杭州市区</v>
          </cell>
        </row>
        <row r="42">
          <cell r="H42" t="str">
            <v>陈雪君</v>
          </cell>
        </row>
        <row r="42">
          <cell r="K42" t="e">
            <v>#DIV/0!</v>
          </cell>
        </row>
        <row r="42">
          <cell r="N42" t="e">
            <v>#DIV/0!</v>
          </cell>
          <cell r="O42">
            <v>0</v>
          </cell>
          <cell r="P42">
            <v>0</v>
          </cell>
          <cell r="Q42" t="e">
            <v>#DIV/0!</v>
          </cell>
        </row>
        <row r="43">
          <cell r="C43" t="str">
            <v>杭州装家百科电器有限公司</v>
          </cell>
          <cell r="D43" t="str">
            <v>家装</v>
          </cell>
          <cell r="E43" t="str">
            <v>家装</v>
          </cell>
          <cell r="F43" t="str">
            <v>杭州市区</v>
          </cell>
          <cell r="G43" t="str">
            <v>西湖区</v>
          </cell>
          <cell r="H43" t="str">
            <v>黄颖</v>
          </cell>
        </row>
        <row r="43">
          <cell r="S43">
            <v>10661</v>
          </cell>
        </row>
        <row r="44">
          <cell r="C44" t="str">
            <v>贝壳美家供应链管理（浙江）有限责任公司</v>
          </cell>
          <cell r="D44" t="str">
            <v>家装</v>
          </cell>
          <cell r="E44" t="str">
            <v>家装</v>
          </cell>
          <cell r="F44" t="str">
            <v>杭州市区</v>
          </cell>
          <cell r="G44" t="str">
            <v>拱墅区</v>
          </cell>
          <cell r="H44" t="str">
            <v>黄颖</v>
          </cell>
        </row>
        <row r="44">
          <cell r="S44">
            <v>7250</v>
          </cell>
        </row>
        <row r="45">
          <cell r="C45" t="str">
            <v>北京天坛装饰工程有限责任公司杭州分公司</v>
          </cell>
          <cell r="D45" t="str">
            <v>家装</v>
          </cell>
          <cell r="E45" t="str">
            <v>家装</v>
          </cell>
          <cell r="F45" t="str">
            <v>杭州市区</v>
          </cell>
          <cell r="G45" t="str">
            <v>拱墅区</v>
          </cell>
          <cell r="H45" t="str">
            <v>黄颖</v>
          </cell>
        </row>
        <row r="45">
          <cell r="S45">
            <v>35400</v>
          </cell>
        </row>
        <row r="46">
          <cell r="C46" t="str">
            <v>合计</v>
          </cell>
        </row>
        <row r="46">
          <cell r="I46">
            <v>1820726.47</v>
          </cell>
          <cell r="J46">
            <v>2134133.92</v>
          </cell>
          <cell r="K46">
            <v>0.172133187034953</v>
          </cell>
          <cell r="L46">
            <v>665632</v>
          </cell>
          <cell r="M46">
            <v>2030936.03</v>
          </cell>
          <cell r="N46">
            <v>2.05113941336955</v>
          </cell>
          <cell r="O46">
            <v>2486358.47</v>
          </cell>
          <cell r="P46">
            <v>4165069.95</v>
          </cell>
          <cell r="Q46">
            <v>0.675168725771067</v>
          </cell>
          <cell r="R46">
            <v>2335229.55</v>
          </cell>
          <cell r="S46">
            <v>3216768.37</v>
          </cell>
        </row>
      </sheetData>
      <sheetData sheetId="3" refreshError="1">
        <row r="5">
          <cell r="J5">
            <v>400000</v>
          </cell>
        </row>
        <row r="5">
          <cell r="M5">
            <v>300000</v>
          </cell>
        </row>
        <row r="5">
          <cell r="S5">
            <v>210000</v>
          </cell>
        </row>
      </sheetData>
      <sheetData sheetId="4" refreshError="1"/>
      <sheetData sheetId="5" refreshError="1">
        <row r="1">
          <cell r="C1" t="str">
            <v>系统名称</v>
          </cell>
          <cell r="D1" t="str">
            <v>渠道</v>
          </cell>
          <cell r="E1" t="str">
            <v>渠道细分</v>
          </cell>
          <cell r="F1" t="str">
            <v>大区</v>
          </cell>
          <cell r="G1" t="str">
            <v>市/区/县</v>
          </cell>
          <cell r="H1" t="str">
            <v>业务员</v>
          </cell>
          <cell r="I1" t="str">
            <v>1月</v>
          </cell>
        </row>
        <row r="1">
          <cell r="K1" t="str">
            <v>同比</v>
          </cell>
          <cell r="L1" t="str">
            <v>2月</v>
          </cell>
        </row>
        <row r="1">
          <cell r="N1" t="str">
            <v>同比</v>
          </cell>
          <cell r="O1" t="str">
            <v>1-2月</v>
          </cell>
        </row>
        <row r="1">
          <cell r="Q1" t="str">
            <v>同比</v>
          </cell>
          <cell r="R1" t="str">
            <v>3月</v>
          </cell>
        </row>
        <row r="2">
          <cell r="I2" t="str">
            <v>2024年</v>
          </cell>
          <cell r="J2" t="str">
            <v>2025年</v>
          </cell>
        </row>
        <row r="2">
          <cell r="L2" t="str">
            <v>2024年</v>
          </cell>
          <cell r="M2" t="str">
            <v>2025年</v>
          </cell>
        </row>
        <row r="2">
          <cell r="O2" t="str">
            <v>2024年</v>
          </cell>
          <cell r="P2" t="str">
            <v>2025年</v>
          </cell>
        </row>
        <row r="2">
          <cell r="R2" t="str">
            <v>2024年</v>
          </cell>
          <cell r="S2" t="str">
            <v>2025年</v>
          </cell>
        </row>
        <row r="3">
          <cell r="C3" t="str">
            <v>义乌市荣昌家电维修部</v>
          </cell>
          <cell r="D3" t="str">
            <v>加盟</v>
          </cell>
          <cell r="E3" t="str">
            <v>加盟</v>
          </cell>
          <cell r="F3" t="str">
            <v>义乌市</v>
          </cell>
          <cell r="G3" t="str">
            <v>义乌市</v>
          </cell>
          <cell r="H3" t="str">
            <v>张韵威</v>
          </cell>
          <cell r="I3">
            <v>365000</v>
          </cell>
          <cell r="J3">
            <v>84500</v>
          </cell>
          <cell r="K3">
            <v>-0.768493150684932</v>
          </cell>
          <cell r="L3">
            <v>30000</v>
          </cell>
          <cell r="M3">
            <v>36876</v>
          </cell>
          <cell r="N3">
            <v>0.2292</v>
          </cell>
          <cell r="O3">
            <v>395000</v>
          </cell>
          <cell r="P3">
            <v>121376</v>
          </cell>
          <cell r="Q3">
            <v>-0.692718987341772</v>
          </cell>
          <cell r="R3">
            <v>148000</v>
          </cell>
          <cell r="S3">
            <v>114573.54</v>
          </cell>
        </row>
        <row r="4">
          <cell r="C4" t="str">
            <v>浙江普农家电有限公司</v>
          </cell>
          <cell r="D4" t="str">
            <v>TOP渠道</v>
          </cell>
          <cell r="E4" t="str">
            <v>TOP渠道</v>
          </cell>
          <cell r="F4" t="str">
            <v>衢州市区</v>
          </cell>
          <cell r="G4" t="str">
            <v>衢州市</v>
          </cell>
          <cell r="H4" t="str">
            <v>江雯</v>
          </cell>
          <cell r="I4">
            <v>203140.4</v>
          </cell>
          <cell r="J4">
            <v>211568</v>
          </cell>
          <cell r="K4">
            <v>0.0414865777560742</v>
          </cell>
          <cell r="L4">
            <v>108325</v>
          </cell>
          <cell r="M4">
            <v>126251</v>
          </cell>
          <cell r="N4">
            <v>0.165483498730672</v>
          </cell>
          <cell r="O4">
            <v>311465.4</v>
          </cell>
          <cell r="P4">
            <v>337819</v>
          </cell>
          <cell r="Q4">
            <v>0.0846116454668799</v>
          </cell>
          <cell r="R4">
            <v>64094</v>
          </cell>
          <cell r="S4">
            <v>164562</v>
          </cell>
        </row>
        <row r="5">
          <cell r="C5" t="str">
            <v>金华五星</v>
          </cell>
          <cell r="D5" t="str">
            <v>五星</v>
          </cell>
          <cell r="E5" t="str">
            <v>五星</v>
          </cell>
          <cell r="F5" t="str">
            <v>金华市区</v>
          </cell>
          <cell r="G5" t="str">
            <v>市区</v>
          </cell>
          <cell r="H5" t="str">
            <v>潘杏</v>
          </cell>
          <cell r="I5">
            <v>97567.31</v>
          </cell>
          <cell r="J5">
            <v>170180.19</v>
          </cell>
          <cell r="K5">
            <v>0.744233698766523</v>
          </cell>
        </row>
        <row r="5">
          <cell r="M5">
            <v>33500.8</v>
          </cell>
          <cell r="N5" t="e">
            <v>#DIV/0!</v>
          </cell>
          <cell r="O5">
            <v>97567.31</v>
          </cell>
          <cell r="P5">
            <v>203680.99</v>
          </cell>
          <cell r="Q5">
            <v>1.08759460520127</v>
          </cell>
        </row>
        <row r="5">
          <cell r="S5">
            <v>337846.67</v>
          </cell>
        </row>
        <row r="6">
          <cell r="C6" t="str">
            <v>（新）金华八一南街专卖店</v>
          </cell>
          <cell r="D6" t="str">
            <v>直营</v>
          </cell>
          <cell r="E6" t="str">
            <v>直营</v>
          </cell>
          <cell r="F6" t="str">
            <v>金华市区</v>
          </cell>
          <cell r="G6" t="str">
            <v>婺城区</v>
          </cell>
          <cell r="H6" t="str">
            <v>杨华才</v>
          </cell>
          <cell r="I6">
            <v>17958</v>
          </cell>
        </row>
        <row r="6">
          <cell r="K6">
            <v>-1</v>
          </cell>
          <cell r="L6">
            <v>3966</v>
          </cell>
        </row>
        <row r="6">
          <cell r="N6">
            <v>-1</v>
          </cell>
          <cell r="O6">
            <v>21924</v>
          </cell>
          <cell r="P6">
            <v>0</v>
          </cell>
          <cell r="Q6">
            <v>-1</v>
          </cell>
          <cell r="R6">
            <v>6800</v>
          </cell>
        </row>
        <row r="7">
          <cell r="C7" t="str">
            <v>衢州市柯城汇鑫家用电器商行</v>
          </cell>
          <cell r="D7" t="str">
            <v>加盟</v>
          </cell>
          <cell r="E7" t="str">
            <v>加盟</v>
          </cell>
          <cell r="F7" t="str">
            <v>衢州市区</v>
          </cell>
          <cell r="G7" t="str">
            <v>柯城区</v>
          </cell>
          <cell r="H7" t="str">
            <v>江雯</v>
          </cell>
          <cell r="I7">
            <v>25400</v>
          </cell>
          <cell r="J7">
            <v>30730</v>
          </cell>
          <cell r="K7">
            <v>0.209842519685039</v>
          </cell>
          <cell r="L7">
            <v>10400</v>
          </cell>
        </row>
        <row r="7">
          <cell r="N7">
            <v>-1</v>
          </cell>
          <cell r="O7">
            <v>35800</v>
          </cell>
          <cell r="P7">
            <v>30730</v>
          </cell>
          <cell r="Q7">
            <v>-0.141620111731844</v>
          </cell>
          <cell r="R7">
            <v>30900</v>
          </cell>
          <cell r="S7">
            <v>31852</v>
          </cell>
        </row>
        <row r="8">
          <cell r="C8" t="str">
            <v>东阳市国美电器有限公司</v>
          </cell>
          <cell r="D8" t="str">
            <v>经销</v>
          </cell>
          <cell r="E8" t="str">
            <v>经销</v>
          </cell>
          <cell r="F8" t="str">
            <v>东阳市</v>
          </cell>
          <cell r="G8" t="str">
            <v>东阳市</v>
          </cell>
          <cell r="H8" t="str">
            <v>张韵威</v>
          </cell>
          <cell r="I8">
            <v>25000</v>
          </cell>
          <cell r="J8">
            <v>4298</v>
          </cell>
          <cell r="K8">
            <v>-0.82808</v>
          </cell>
        </row>
        <row r="8">
          <cell r="M8">
            <v>5186</v>
          </cell>
          <cell r="N8" t="e">
            <v>#DIV/0!</v>
          </cell>
          <cell r="O8">
            <v>25000</v>
          </cell>
          <cell r="P8">
            <v>9484</v>
          </cell>
          <cell r="Q8">
            <v>-0.62064</v>
          </cell>
        </row>
        <row r="9">
          <cell r="C9" t="str">
            <v>兰溪市福祥家电经营部</v>
          </cell>
          <cell r="D9" t="str">
            <v>加盟</v>
          </cell>
          <cell r="E9" t="str">
            <v>加盟</v>
          </cell>
          <cell r="F9" t="str">
            <v>兰溪市</v>
          </cell>
          <cell r="G9" t="str">
            <v>兰溪市</v>
          </cell>
          <cell r="H9" t="str">
            <v>潘杏</v>
          </cell>
          <cell r="I9">
            <v>149023</v>
          </cell>
        </row>
        <row r="9">
          <cell r="K9">
            <v>-1</v>
          </cell>
          <cell r="L9">
            <v>3015</v>
          </cell>
        </row>
        <row r="9">
          <cell r="N9">
            <v>-1</v>
          </cell>
          <cell r="O9">
            <v>152038</v>
          </cell>
          <cell r="P9">
            <v>0</v>
          </cell>
          <cell r="Q9">
            <v>-1</v>
          </cell>
          <cell r="R9">
            <v>19327</v>
          </cell>
        </row>
        <row r="10">
          <cell r="C10" t="str">
            <v>金华龙腾建材市场专卖店</v>
          </cell>
          <cell r="D10" t="str">
            <v>直营</v>
          </cell>
          <cell r="E10" t="str">
            <v>直营</v>
          </cell>
          <cell r="F10" t="str">
            <v>金华市区</v>
          </cell>
          <cell r="G10" t="str">
            <v>婺城区</v>
          </cell>
          <cell r="H10" t="str">
            <v>杨华才</v>
          </cell>
          <cell r="I10">
            <v>84544</v>
          </cell>
          <cell r="J10">
            <v>270657</v>
          </cell>
          <cell r="K10">
            <v>2.2013744322483</v>
          </cell>
          <cell r="L10">
            <v>15592</v>
          </cell>
          <cell r="M10">
            <v>114255</v>
          </cell>
          <cell r="N10">
            <v>6.32779630579785</v>
          </cell>
          <cell r="O10">
            <v>100136</v>
          </cell>
          <cell r="P10">
            <v>384912</v>
          </cell>
          <cell r="Q10">
            <v>2.84389230646321</v>
          </cell>
          <cell r="R10">
            <v>40421</v>
          </cell>
          <cell r="S10">
            <v>272412</v>
          </cell>
        </row>
        <row r="11">
          <cell r="C11" t="str">
            <v>兰溪市小严家电经营部</v>
          </cell>
          <cell r="D11" t="str">
            <v>经销</v>
          </cell>
          <cell r="E11" t="str">
            <v>经销</v>
          </cell>
          <cell r="F11" t="str">
            <v>兰溪市</v>
          </cell>
          <cell r="G11" t="str">
            <v>兰溪市</v>
          </cell>
          <cell r="H11" t="str">
            <v>潘杏</v>
          </cell>
          <cell r="I11">
            <v>30425</v>
          </cell>
          <cell r="J11">
            <v>21359</v>
          </cell>
          <cell r="K11">
            <v>-0.29797863599014</v>
          </cell>
          <cell r="L11">
            <v>10451</v>
          </cell>
          <cell r="M11">
            <v>8805</v>
          </cell>
          <cell r="N11">
            <v>-0.157496890249737</v>
          </cell>
          <cell r="O11">
            <v>40876</v>
          </cell>
          <cell r="P11">
            <v>30164</v>
          </cell>
          <cell r="Q11">
            <v>-0.262060867012428</v>
          </cell>
        </row>
        <row r="11">
          <cell r="S11">
            <v>3203</v>
          </cell>
        </row>
        <row r="12">
          <cell r="C12" t="str">
            <v>金华金蝶零售</v>
          </cell>
          <cell r="D12" t="str">
            <v>零售</v>
          </cell>
          <cell r="E12" t="str">
            <v>零售</v>
          </cell>
          <cell r="F12" t="str">
            <v>金华市区</v>
          </cell>
          <cell r="G12" t="str">
            <v>市区</v>
          </cell>
          <cell r="H12" t="str">
            <v>杨华才</v>
          </cell>
          <cell r="I12">
            <v>3850</v>
          </cell>
          <cell r="J12">
            <v>4018</v>
          </cell>
          <cell r="K12">
            <v>0.0436363636363637</v>
          </cell>
        </row>
        <row r="12">
          <cell r="N12" t="e">
            <v>#DIV/0!</v>
          </cell>
          <cell r="O12">
            <v>3850</v>
          </cell>
          <cell r="P12">
            <v>4018</v>
          </cell>
          <cell r="Q12">
            <v>0.0436363636363637</v>
          </cell>
          <cell r="R12">
            <v>8800</v>
          </cell>
          <cell r="S12">
            <v>6295</v>
          </cell>
        </row>
        <row r="13">
          <cell r="C13" t="str">
            <v>磐安县洪昌家电商场</v>
          </cell>
          <cell r="D13" t="str">
            <v>经销</v>
          </cell>
          <cell r="E13" t="str">
            <v>经销</v>
          </cell>
          <cell r="F13" t="str">
            <v>磐安县</v>
          </cell>
          <cell r="G13" t="str">
            <v>磐安县</v>
          </cell>
          <cell r="H13" t="str">
            <v>张韵威</v>
          </cell>
          <cell r="I13">
            <v>6649</v>
          </cell>
        </row>
        <row r="13">
          <cell r="K13">
            <v>-1</v>
          </cell>
        </row>
        <row r="13">
          <cell r="N13" t="e">
            <v>#DIV/0!</v>
          </cell>
          <cell r="O13">
            <v>6649</v>
          </cell>
          <cell r="P13">
            <v>0</v>
          </cell>
          <cell r="Q13">
            <v>-1</v>
          </cell>
        </row>
        <row r="14">
          <cell r="C14" t="str">
            <v>江山硕邦家电有限公司</v>
          </cell>
          <cell r="D14" t="str">
            <v>经销</v>
          </cell>
          <cell r="E14" t="str">
            <v>经销</v>
          </cell>
          <cell r="F14" t="str">
            <v>江山市</v>
          </cell>
          <cell r="G14" t="str">
            <v>江山市</v>
          </cell>
          <cell r="H14" t="str">
            <v>江雯</v>
          </cell>
        </row>
        <row r="14">
          <cell r="K14" t="e">
            <v>#DIV/0!</v>
          </cell>
          <cell r="L14">
            <v>19218</v>
          </cell>
        </row>
        <row r="14">
          <cell r="N14">
            <v>-1</v>
          </cell>
          <cell r="O14">
            <v>19218</v>
          </cell>
          <cell r="P14">
            <v>0</v>
          </cell>
          <cell r="Q14">
            <v>-1</v>
          </cell>
        </row>
        <row r="15">
          <cell r="C15" t="str">
            <v>义乌艾欧机电设备有限公司</v>
          </cell>
          <cell r="D15" t="str">
            <v>加盟</v>
          </cell>
          <cell r="E15" t="str">
            <v>加盟</v>
          </cell>
          <cell r="F15" t="str">
            <v>义乌市</v>
          </cell>
          <cell r="G15" t="str">
            <v>义乌市</v>
          </cell>
          <cell r="H15" t="str">
            <v>张韵威</v>
          </cell>
          <cell r="I15">
            <v>95208</v>
          </cell>
        </row>
        <row r="15">
          <cell r="K15">
            <v>-1</v>
          </cell>
          <cell r="L15">
            <v>23568</v>
          </cell>
        </row>
        <row r="15">
          <cell r="N15">
            <v>-1</v>
          </cell>
          <cell r="O15">
            <v>118776</v>
          </cell>
          <cell r="P15">
            <v>0</v>
          </cell>
          <cell r="Q15">
            <v>-1</v>
          </cell>
          <cell r="R15">
            <v>27546</v>
          </cell>
        </row>
        <row r="16">
          <cell r="C16" t="str">
            <v>东阳市大中商贸有限公司</v>
          </cell>
          <cell r="D16" t="str">
            <v>经销</v>
          </cell>
          <cell r="E16" t="str">
            <v>经销</v>
          </cell>
          <cell r="F16" t="str">
            <v>东阳市</v>
          </cell>
          <cell r="G16" t="str">
            <v>东阳市</v>
          </cell>
          <cell r="H16" t="str">
            <v>张韵威</v>
          </cell>
          <cell r="I16">
            <v>1690</v>
          </cell>
        </row>
        <row r="16">
          <cell r="K16">
            <v>-1</v>
          </cell>
        </row>
        <row r="16">
          <cell r="N16" t="e">
            <v>#DIV/0!</v>
          </cell>
          <cell r="O16">
            <v>1690</v>
          </cell>
          <cell r="P16">
            <v>0</v>
          </cell>
          <cell r="Q16">
            <v>-1</v>
          </cell>
        </row>
        <row r="17">
          <cell r="C17" t="str">
            <v>金华市万普电器销售有限公司</v>
          </cell>
          <cell r="D17" t="str">
            <v>经销</v>
          </cell>
          <cell r="E17" t="str">
            <v>经销</v>
          </cell>
          <cell r="F17" t="str">
            <v>金华市区</v>
          </cell>
          <cell r="G17" t="str">
            <v>金东区</v>
          </cell>
          <cell r="H17" t="str">
            <v>潘杏</v>
          </cell>
          <cell r="I17">
            <v>5412</v>
          </cell>
          <cell r="J17">
            <v>-8765</v>
          </cell>
          <cell r="K17">
            <v>-2.61954915003695</v>
          </cell>
          <cell r="L17">
            <v>729</v>
          </cell>
          <cell r="M17">
            <v>2310</v>
          </cell>
          <cell r="N17">
            <v>2.16872427983539</v>
          </cell>
          <cell r="O17">
            <v>6141</v>
          </cell>
          <cell r="P17">
            <v>-6455</v>
          </cell>
          <cell r="Q17">
            <v>-2.05113173750204</v>
          </cell>
          <cell r="R17">
            <v>20000</v>
          </cell>
          <cell r="S17">
            <v>5229</v>
          </cell>
        </row>
        <row r="18">
          <cell r="C18" t="str">
            <v>龙游博美电器有限公司</v>
          </cell>
          <cell r="D18" t="str">
            <v>经销</v>
          </cell>
          <cell r="E18" t="str">
            <v>经销</v>
          </cell>
          <cell r="F18" t="str">
            <v>龙游县</v>
          </cell>
          <cell r="G18" t="str">
            <v>龙游县</v>
          </cell>
          <cell r="H18" t="str">
            <v>江雯</v>
          </cell>
        </row>
        <row r="18">
          <cell r="J18">
            <v>2310</v>
          </cell>
          <cell r="K18" t="e">
            <v>#DIV/0!</v>
          </cell>
        </row>
        <row r="18">
          <cell r="M18">
            <v>3302</v>
          </cell>
          <cell r="N18" t="e">
            <v>#DIV/0!</v>
          </cell>
          <cell r="O18">
            <v>0</v>
          </cell>
          <cell r="P18">
            <v>5612</v>
          </cell>
          <cell r="Q18" t="e">
            <v>#DIV/0!</v>
          </cell>
        </row>
        <row r="19">
          <cell r="C19" t="str">
            <v>衢州众冠电器有限公司</v>
          </cell>
          <cell r="D19" t="str">
            <v>经销</v>
          </cell>
          <cell r="E19" t="str">
            <v>经销</v>
          </cell>
          <cell r="F19" t="str">
            <v>常山县</v>
          </cell>
          <cell r="G19" t="str">
            <v>常山县</v>
          </cell>
          <cell r="H19" t="str">
            <v>江雯</v>
          </cell>
        </row>
        <row r="19">
          <cell r="K19" t="e">
            <v>#DIV/0!</v>
          </cell>
        </row>
        <row r="19">
          <cell r="N19" t="e">
            <v>#DIV/0!</v>
          </cell>
          <cell r="O19">
            <v>0</v>
          </cell>
          <cell r="P19">
            <v>0</v>
          </cell>
          <cell r="Q19" t="e">
            <v>#DIV/0!</v>
          </cell>
        </row>
        <row r="20">
          <cell r="C20" t="str">
            <v>金华市婺美电器有限公司</v>
          </cell>
          <cell r="D20" t="str">
            <v>经销</v>
          </cell>
          <cell r="E20" t="str">
            <v>经销</v>
          </cell>
          <cell r="F20" t="str">
            <v>金华市区</v>
          </cell>
          <cell r="G20" t="str">
            <v>婺城区</v>
          </cell>
          <cell r="H20" t="str">
            <v>潘杏</v>
          </cell>
        </row>
        <row r="20">
          <cell r="J20">
            <v>840</v>
          </cell>
          <cell r="K20" t="e">
            <v>#DIV/0!</v>
          </cell>
        </row>
        <row r="20">
          <cell r="M20">
            <v>10504</v>
          </cell>
          <cell r="N20" t="e">
            <v>#DIV/0!</v>
          </cell>
          <cell r="O20">
            <v>0</v>
          </cell>
          <cell r="P20">
            <v>11344</v>
          </cell>
          <cell r="Q20" t="e">
            <v>#DIV/0!</v>
          </cell>
        </row>
        <row r="20">
          <cell r="S20">
            <v>3070</v>
          </cell>
        </row>
        <row r="21">
          <cell r="C21" t="str">
            <v>兰溪市升美电器商行</v>
          </cell>
          <cell r="D21" t="str">
            <v>经销</v>
          </cell>
          <cell r="E21" t="str">
            <v>经销</v>
          </cell>
          <cell r="F21" t="str">
            <v>兰溪市</v>
          </cell>
          <cell r="G21" t="str">
            <v>兰溪市</v>
          </cell>
          <cell r="H21" t="str">
            <v>潘杏</v>
          </cell>
        </row>
        <row r="21">
          <cell r="K21" t="e">
            <v>#DIV/0!</v>
          </cell>
        </row>
        <row r="21">
          <cell r="N21" t="e">
            <v>#DIV/0!</v>
          </cell>
          <cell r="O21">
            <v>0</v>
          </cell>
          <cell r="P21">
            <v>0</v>
          </cell>
          <cell r="Q21" t="e">
            <v>#DIV/0!</v>
          </cell>
        </row>
        <row r="22">
          <cell r="C22" t="str">
            <v>杭州中博智能电器有限公司</v>
          </cell>
          <cell r="D22" t="str">
            <v>家装</v>
          </cell>
          <cell r="E22" t="str">
            <v>家装</v>
          </cell>
          <cell r="F22" t="str">
            <v>金华市区</v>
          </cell>
        </row>
        <row r="22">
          <cell r="H22" t="str">
            <v>潘杏</v>
          </cell>
        </row>
        <row r="22">
          <cell r="K22" t="e">
            <v>#DIV/0!</v>
          </cell>
        </row>
        <row r="22">
          <cell r="N22" t="e">
            <v>#DIV/0!</v>
          </cell>
          <cell r="O22">
            <v>0</v>
          </cell>
          <cell r="P22">
            <v>0</v>
          </cell>
          <cell r="Q22" t="e">
            <v>#DIV/0!</v>
          </cell>
        </row>
        <row r="22">
          <cell r="S22">
            <v>1732</v>
          </cell>
        </row>
        <row r="23">
          <cell r="C23" t="str">
            <v>苏宁易购集团股份有限公司苏宁采购中心</v>
          </cell>
          <cell r="D23" t="str">
            <v>经销</v>
          </cell>
          <cell r="E23" t="str">
            <v>经销</v>
          </cell>
          <cell r="F23" t="str">
            <v>金华市区</v>
          </cell>
        </row>
        <row r="23">
          <cell r="H23" t="str">
            <v>潘杏</v>
          </cell>
        </row>
        <row r="23">
          <cell r="K23" t="e">
            <v>#DIV/0!</v>
          </cell>
        </row>
        <row r="23">
          <cell r="M23">
            <v>12400.68</v>
          </cell>
          <cell r="N23" t="e">
            <v>#DIV/0!</v>
          </cell>
          <cell r="O23">
            <v>0</v>
          </cell>
          <cell r="P23">
            <v>12400.68</v>
          </cell>
          <cell r="Q23" t="e">
            <v>#DIV/0!</v>
          </cell>
        </row>
        <row r="23">
          <cell r="S23">
            <v>3939.44</v>
          </cell>
        </row>
        <row r="24">
          <cell r="C24" t="str">
            <v>衢州万恒电器有限公司</v>
          </cell>
          <cell r="D24" t="str">
            <v>经销</v>
          </cell>
          <cell r="E24" t="str">
            <v>经销</v>
          </cell>
          <cell r="F24" t="str">
            <v>衢州市区</v>
          </cell>
          <cell r="G24" t="str">
            <v>柯城区</v>
          </cell>
          <cell r="H24" t="str">
            <v>江雯</v>
          </cell>
        </row>
        <row r="24">
          <cell r="J24">
            <v>5688</v>
          </cell>
          <cell r="K24" t="e">
            <v>#DIV/0!</v>
          </cell>
        </row>
        <row r="24">
          <cell r="N24" t="e">
            <v>#DIV/0!</v>
          </cell>
          <cell r="O24">
            <v>0</v>
          </cell>
          <cell r="P24">
            <v>5688</v>
          </cell>
          <cell r="Q24" t="e">
            <v>#DIV/0!</v>
          </cell>
        </row>
        <row r="24">
          <cell r="S24">
            <v>2300</v>
          </cell>
        </row>
        <row r="25">
          <cell r="C25" t="str">
            <v>金华市汇诚电器有限公司</v>
          </cell>
          <cell r="D25" t="str">
            <v>经销</v>
          </cell>
          <cell r="E25" t="str">
            <v>经销</v>
          </cell>
          <cell r="F25" t="str">
            <v>金华市区</v>
          </cell>
          <cell r="G25" t="str">
            <v>金东区</v>
          </cell>
          <cell r="H25" t="str">
            <v>潘杏</v>
          </cell>
        </row>
        <row r="25">
          <cell r="K25" t="e">
            <v>#DIV/0!</v>
          </cell>
        </row>
        <row r="25">
          <cell r="N25" t="e">
            <v>#DIV/0!</v>
          </cell>
          <cell r="O25">
            <v>0</v>
          </cell>
          <cell r="P25">
            <v>0</v>
          </cell>
          <cell r="Q25" t="e">
            <v>#DIV/0!</v>
          </cell>
        </row>
        <row r="26">
          <cell r="C26" t="str">
            <v>永康立格暖通设备有限公司</v>
          </cell>
          <cell r="D26" t="str">
            <v>经销</v>
          </cell>
          <cell r="E26" t="str">
            <v>经销</v>
          </cell>
          <cell r="F26" t="str">
            <v>金华市区</v>
          </cell>
        </row>
        <row r="26">
          <cell r="H26" t="str">
            <v>潘杏</v>
          </cell>
        </row>
        <row r="26">
          <cell r="J26">
            <v>4928</v>
          </cell>
          <cell r="K26" t="e">
            <v>#DIV/0!</v>
          </cell>
        </row>
        <row r="26">
          <cell r="N26" t="e">
            <v>#DIV/0!</v>
          </cell>
          <cell r="O26">
            <v>0</v>
          </cell>
          <cell r="P26">
            <v>4928</v>
          </cell>
          <cell r="Q26" t="e">
            <v>#DIV/0!</v>
          </cell>
        </row>
        <row r="26">
          <cell r="S26">
            <v>22339</v>
          </cell>
        </row>
        <row r="27">
          <cell r="C27" t="str">
            <v>合计</v>
          </cell>
        </row>
        <row r="27">
          <cell r="I27">
            <v>1110866.71</v>
          </cell>
          <cell r="J27">
            <v>802311.19</v>
          </cell>
          <cell r="K27">
            <v>-0.277761064601531</v>
          </cell>
          <cell r="L27">
            <v>225264</v>
          </cell>
          <cell r="M27">
            <v>353390.48</v>
          </cell>
          <cell r="N27">
            <v>0.568783649406918</v>
          </cell>
          <cell r="O27">
            <v>1336130.71</v>
          </cell>
          <cell r="P27">
            <v>1155701.67</v>
          </cell>
          <cell r="Q27">
            <v>-0.135038464911865</v>
          </cell>
          <cell r="R27">
            <v>365888</v>
          </cell>
          <cell r="S27">
            <v>969353.65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汇总1"/>
      <sheetName val="Sheet3"/>
      <sheetName val="杭州"/>
      <sheetName val="湖州"/>
      <sheetName val="嘉兴"/>
      <sheetName val="金衢"/>
      <sheetName val="绍兴"/>
      <sheetName val="台州"/>
      <sheetName val="温丽 "/>
      <sheetName val="电商 以旧换新"/>
      <sheetName val="Sheet5"/>
      <sheetName val="明细汇总"/>
      <sheetName val="Sheet2"/>
      <sheetName val="汇总"/>
      <sheetName val="汇总单位"/>
      <sheetName val="Sheet4"/>
      <sheetName val="客户汇总"/>
      <sheetName val="汇总2"/>
      <sheetName val="23年人口数据"/>
      <sheetName val="Sheet1"/>
    </sheetNames>
    <sheetDataSet>
      <sheetData sheetId="0"/>
      <sheetData sheetId="1"/>
      <sheetData sheetId="2">
        <row r="1">
          <cell r="I1" t="str">
            <v>合同任务</v>
          </cell>
          <cell r="J1" t="str">
            <v>1月</v>
          </cell>
        </row>
        <row r="1">
          <cell r="L1" t="str">
            <v>同比</v>
          </cell>
          <cell r="M1" t="str">
            <v>2月</v>
          </cell>
        </row>
        <row r="1">
          <cell r="O1" t="str">
            <v>同比</v>
          </cell>
          <cell r="P1" t="str">
            <v>1-2月</v>
          </cell>
        </row>
        <row r="1">
          <cell r="R1" t="str">
            <v>同比</v>
          </cell>
          <cell r="S1" t="str">
            <v>3月</v>
          </cell>
        </row>
        <row r="1">
          <cell r="U1" t="str">
            <v>同比</v>
          </cell>
          <cell r="V1" t="str">
            <v>1-3月</v>
          </cell>
        </row>
        <row r="1">
          <cell r="X1" t="str">
            <v>同比</v>
          </cell>
          <cell r="Y1" t="str">
            <v>4月</v>
          </cell>
        </row>
        <row r="2">
          <cell r="C2" t="str">
            <v>门店</v>
          </cell>
          <cell r="D2" t="str">
            <v>渠道</v>
          </cell>
          <cell r="E2" t="str">
            <v>渠道细分</v>
          </cell>
          <cell r="F2" t="str">
            <v>大区</v>
          </cell>
          <cell r="G2" t="str">
            <v>市/区/县</v>
          </cell>
          <cell r="H2" t="str">
            <v>业务员</v>
          </cell>
        </row>
        <row r="2">
          <cell r="J2" t="str">
            <v>2024年</v>
          </cell>
          <cell r="K2" t="str">
            <v>2025年</v>
          </cell>
        </row>
        <row r="2">
          <cell r="M2" t="str">
            <v>2024年</v>
          </cell>
          <cell r="N2" t="str">
            <v>2025年</v>
          </cell>
        </row>
        <row r="2">
          <cell r="P2" t="str">
            <v>2024年</v>
          </cell>
          <cell r="Q2" t="str">
            <v>2025年</v>
          </cell>
        </row>
        <row r="2">
          <cell r="S2" t="str">
            <v>2024年</v>
          </cell>
          <cell r="T2" t="str">
            <v>2025年</v>
          </cell>
        </row>
        <row r="2">
          <cell r="V2" t="str">
            <v>2024年</v>
          </cell>
          <cell r="W2" t="str">
            <v>2025年</v>
          </cell>
        </row>
        <row r="2">
          <cell r="Y2" t="str">
            <v>2024年</v>
          </cell>
          <cell r="Z2" t="str">
            <v>2025年</v>
          </cell>
        </row>
        <row r="3">
          <cell r="C3" t="str">
            <v>汇德隆</v>
          </cell>
          <cell r="D3" t="str">
            <v>TOP渠道</v>
          </cell>
          <cell r="E3" t="str">
            <v>TOP渠道</v>
          </cell>
          <cell r="F3" t="str">
            <v>萧山区</v>
          </cell>
          <cell r="G3" t="str">
            <v>萧山区</v>
          </cell>
          <cell r="H3" t="str">
            <v>董培培</v>
          </cell>
          <cell r="I3">
            <v>800</v>
          </cell>
          <cell r="J3">
            <v>100000</v>
          </cell>
          <cell r="K3">
            <v>180000</v>
          </cell>
          <cell r="L3">
            <v>0.8</v>
          </cell>
        </row>
        <row r="3">
          <cell r="N3">
            <v>90000</v>
          </cell>
          <cell r="O3" t="e">
            <v>#DIV/0!</v>
          </cell>
          <cell r="P3">
            <v>100000</v>
          </cell>
          <cell r="Q3">
            <v>270000</v>
          </cell>
          <cell r="R3">
            <v>1.7</v>
          </cell>
          <cell r="S3">
            <v>540000</v>
          </cell>
          <cell r="T3">
            <v>200000</v>
          </cell>
          <cell r="U3">
            <v>-0.62962962962963</v>
          </cell>
          <cell r="V3">
            <v>640000</v>
          </cell>
          <cell r="W3">
            <v>470000</v>
          </cell>
          <cell r="X3">
            <v>-0.265625</v>
          </cell>
          <cell r="Y3">
            <v>550000</v>
          </cell>
          <cell r="Z3">
            <v>692800</v>
          </cell>
        </row>
        <row r="4">
          <cell r="C4" t="str">
            <v>萧山汇德隆净水</v>
          </cell>
          <cell r="D4" t="str">
            <v>TOP渠道</v>
          </cell>
          <cell r="E4" t="str">
            <v>TOP渠道</v>
          </cell>
          <cell r="F4" t="str">
            <v>萧山区</v>
          </cell>
          <cell r="G4" t="str">
            <v>萧山区</v>
          </cell>
          <cell r="H4" t="str">
            <v>董培培</v>
          </cell>
        </row>
        <row r="4">
          <cell r="J4">
            <v>109082.35</v>
          </cell>
          <cell r="K4">
            <v>85017.95</v>
          </cell>
          <cell r="L4">
            <v>-0.220607641841233</v>
          </cell>
        </row>
        <row r="4">
          <cell r="N4">
            <v>124698.5</v>
          </cell>
          <cell r="O4" t="e">
            <v>#DIV/0!</v>
          </cell>
          <cell r="P4">
            <v>109082.35</v>
          </cell>
          <cell r="Q4">
            <v>209716.45</v>
          </cell>
          <cell r="R4">
            <v>0.92255163186345</v>
          </cell>
          <cell r="S4">
            <v>98942.87</v>
          </cell>
        </row>
        <row r="4">
          <cell r="U4">
            <v>-1</v>
          </cell>
          <cell r="V4">
            <v>208025.22</v>
          </cell>
          <cell r="W4">
            <v>209716.45</v>
          </cell>
          <cell r="X4">
            <v>0.00812992770780396</v>
          </cell>
          <cell r="Y4">
            <v>96183.1</v>
          </cell>
          <cell r="Z4">
            <v>277266.5</v>
          </cell>
        </row>
        <row r="5">
          <cell r="C5" t="str">
            <v>杭州兴达京昀电器有限公司</v>
          </cell>
          <cell r="D5" t="str">
            <v>经销</v>
          </cell>
          <cell r="E5" t="str">
            <v>TOP渠道</v>
          </cell>
          <cell r="F5" t="str">
            <v>临平区</v>
          </cell>
          <cell r="G5" t="str">
            <v>临平区</v>
          </cell>
          <cell r="H5" t="str">
            <v>张卓朗</v>
          </cell>
          <cell r="I5">
            <v>130</v>
          </cell>
        </row>
        <row r="5">
          <cell r="K5">
            <v>100000</v>
          </cell>
          <cell r="L5" t="e">
            <v>#DIV/0!</v>
          </cell>
        </row>
        <row r="5">
          <cell r="O5" t="e">
            <v>#DIV/0!</v>
          </cell>
          <cell r="P5">
            <v>0</v>
          </cell>
          <cell r="Q5">
            <v>100000</v>
          </cell>
          <cell r="R5" t="e">
            <v>#DIV/0!</v>
          </cell>
        </row>
        <row r="5">
          <cell r="T5">
            <v>60000</v>
          </cell>
          <cell r="U5" t="e">
            <v>#DIV/0!</v>
          </cell>
          <cell r="V5">
            <v>0</v>
          </cell>
          <cell r="W5">
            <v>160000</v>
          </cell>
          <cell r="X5" t="e">
            <v>#DIV/0!</v>
          </cell>
          <cell r="Y5">
            <v>100000</v>
          </cell>
          <cell r="Z5">
            <v>50000</v>
          </cell>
        </row>
        <row r="6">
          <cell r="C6" t="str">
            <v>杭州临安一栋电器有限公司</v>
          </cell>
          <cell r="D6" t="str">
            <v>加盟</v>
          </cell>
          <cell r="E6" t="str">
            <v>加盟</v>
          </cell>
          <cell r="F6" t="str">
            <v>临安区</v>
          </cell>
          <cell r="G6" t="str">
            <v>临安区</v>
          </cell>
          <cell r="H6" t="str">
            <v>张卓朗</v>
          </cell>
          <cell r="I6">
            <v>190</v>
          </cell>
          <cell r="J6">
            <v>140000</v>
          </cell>
          <cell r="K6">
            <v>41700</v>
          </cell>
          <cell r="L6">
            <v>-0.702142857142857</v>
          </cell>
          <cell r="M6">
            <v>60000</v>
          </cell>
          <cell r="N6">
            <v>27875</v>
          </cell>
          <cell r="O6">
            <v>-0.535416666666667</v>
          </cell>
          <cell r="P6">
            <v>200000</v>
          </cell>
          <cell r="Q6">
            <v>69575</v>
          </cell>
          <cell r="R6">
            <v>-0.652125</v>
          </cell>
          <cell r="S6">
            <v>60000</v>
          </cell>
          <cell r="T6">
            <v>94786</v>
          </cell>
          <cell r="U6">
            <v>0.579766666666667</v>
          </cell>
          <cell r="V6">
            <v>260000</v>
          </cell>
          <cell r="W6">
            <v>164361</v>
          </cell>
          <cell r="X6">
            <v>-0.367842307692308</v>
          </cell>
          <cell r="Y6">
            <v>270219</v>
          </cell>
          <cell r="Z6">
            <v>67000</v>
          </cell>
        </row>
        <row r="7">
          <cell r="C7" t="str">
            <v>杭州宏信机电有限公司</v>
          </cell>
          <cell r="D7" t="str">
            <v>加盟</v>
          </cell>
          <cell r="E7" t="str">
            <v>加盟</v>
          </cell>
          <cell r="F7" t="str">
            <v>富阳区</v>
          </cell>
          <cell r="G7" t="str">
            <v>富阳区</v>
          </cell>
          <cell r="H7" t="str">
            <v>张卓朗</v>
          </cell>
          <cell r="I7">
            <v>270</v>
          </cell>
          <cell r="J7">
            <v>215180.88</v>
          </cell>
          <cell r="K7">
            <v>10000</v>
          </cell>
          <cell r="L7">
            <v>-0.953527469540974</v>
          </cell>
          <cell r="M7">
            <v>146500</v>
          </cell>
          <cell r="N7">
            <v>83000</v>
          </cell>
          <cell r="O7">
            <v>-0.433447098976109</v>
          </cell>
          <cell r="P7">
            <v>361680.88</v>
          </cell>
          <cell r="Q7">
            <v>93000</v>
          </cell>
          <cell r="R7">
            <v>-0.7428672480558</v>
          </cell>
          <cell r="S7">
            <v>280836</v>
          </cell>
          <cell r="T7">
            <v>71000</v>
          </cell>
          <cell r="U7">
            <v>-0.74718340953439</v>
          </cell>
          <cell r="V7">
            <v>642516.88</v>
          </cell>
          <cell r="W7">
            <v>164000</v>
          </cell>
          <cell r="X7">
            <v>-0.744753787635898</v>
          </cell>
          <cell r="Y7">
            <v>201000</v>
          </cell>
          <cell r="Z7">
            <v>140000</v>
          </cell>
        </row>
        <row r="8">
          <cell r="C8" t="str">
            <v>桐庐佳尼特水处理设备有限公司</v>
          </cell>
          <cell r="D8" t="str">
            <v>加盟</v>
          </cell>
          <cell r="E8" t="str">
            <v>加盟</v>
          </cell>
          <cell r="F8" t="str">
            <v>桐庐县</v>
          </cell>
          <cell r="G8" t="str">
            <v>桐庐县</v>
          </cell>
          <cell r="H8" t="str">
            <v>张卓朗</v>
          </cell>
          <cell r="I8">
            <v>190</v>
          </cell>
          <cell r="J8">
            <v>100000</v>
          </cell>
          <cell r="K8">
            <v>149040</v>
          </cell>
          <cell r="L8">
            <v>0.4904</v>
          </cell>
          <cell r="M8">
            <v>30000</v>
          </cell>
          <cell r="N8">
            <v>72140</v>
          </cell>
          <cell r="O8">
            <v>1.40466666666667</v>
          </cell>
          <cell r="P8">
            <v>130000</v>
          </cell>
          <cell r="Q8">
            <v>221180</v>
          </cell>
          <cell r="R8">
            <v>0.701384615384615</v>
          </cell>
          <cell r="S8">
            <v>70000</v>
          </cell>
          <cell r="T8">
            <v>160000</v>
          </cell>
          <cell r="U8">
            <v>1.28571428571429</v>
          </cell>
          <cell r="V8">
            <v>200000</v>
          </cell>
          <cell r="W8">
            <v>381180</v>
          </cell>
          <cell r="X8">
            <v>0.9059</v>
          </cell>
          <cell r="Y8">
            <v>90000</v>
          </cell>
          <cell r="Z8">
            <v>100000</v>
          </cell>
        </row>
        <row r="9">
          <cell r="C9" t="str">
            <v>杭州佳威信息科技有限公司</v>
          </cell>
          <cell r="D9" t="str">
            <v>经销</v>
          </cell>
          <cell r="E9" t="str">
            <v>经销</v>
          </cell>
          <cell r="F9" t="str">
            <v>建德市</v>
          </cell>
          <cell r="G9" t="str">
            <v>建德市</v>
          </cell>
          <cell r="H9" t="str">
            <v>张卓朗</v>
          </cell>
        </row>
        <row r="9">
          <cell r="J9">
            <v>10000</v>
          </cell>
        </row>
        <row r="9">
          <cell r="L9">
            <v>-1</v>
          </cell>
        </row>
        <row r="9">
          <cell r="O9" t="e">
            <v>#DIV/0!</v>
          </cell>
          <cell r="P9">
            <v>10000</v>
          </cell>
          <cell r="Q9">
            <v>0</v>
          </cell>
          <cell r="R9">
            <v>-1</v>
          </cell>
          <cell r="S9">
            <v>10000</v>
          </cell>
        </row>
        <row r="9">
          <cell r="U9">
            <v>-1</v>
          </cell>
          <cell r="V9">
            <v>20000</v>
          </cell>
          <cell r="W9">
            <v>0</v>
          </cell>
          <cell r="X9">
            <v>-1</v>
          </cell>
          <cell r="Y9">
            <v>10000</v>
          </cell>
        </row>
        <row r="10">
          <cell r="C10" t="str">
            <v>杭州京品满屋家电有限公司</v>
          </cell>
          <cell r="D10" t="str">
            <v>经销</v>
          </cell>
          <cell r="E10" t="str">
            <v>经销</v>
          </cell>
          <cell r="F10" t="str">
            <v>淳安县</v>
          </cell>
          <cell r="G10" t="str">
            <v>淳安县</v>
          </cell>
          <cell r="H10" t="str">
            <v>张卓朗</v>
          </cell>
          <cell r="I10">
            <v>60</v>
          </cell>
          <cell r="J10">
            <v>10980</v>
          </cell>
          <cell r="K10">
            <v>1887</v>
          </cell>
          <cell r="L10">
            <v>-0.828142076502732</v>
          </cell>
          <cell r="M10">
            <v>10390</v>
          </cell>
        </row>
        <row r="10">
          <cell r="O10">
            <v>-1</v>
          </cell>
          <cell r="P10">
            <v>21370</v>
          </cell>
          <cell r="Q10">
            <v>1887</v>
          </cell>
          <cell r="R10">
            <v>-0.911698642957417</v>
          </cell>
          <cell r="S10">
            <v>20613</v>
          </cell>
          <cell r="T10">
            <v>21472</v>
          </cell>
          <cell r="U10">
            <v>0.0416727308009508</v>
          </cell>
          <cell r="V10">
            <v>41983</v>
          </cell>
          <cell r="W10">
            <v>23359</v>
          </cell>
          <cell r="X10">
            <v>-0.443608127099064</v>
          </cell>
          <cell r="Y10">
            <v>14343</v>
          </cell>
          <cell r="Z10">
            <v>24592</v>
          </cell>
        </row>
        <row r="11">
          <cell r="C11" t="str">
            <v>杭州司亿博环境设备有限公司</v>
          </cell>
          <cell r="D11" t="str">
            <v>经销</v>
          </cell>
          <cell r="E11" t="str">
            <v>经销</v>
          </cell>
          <cell r="F11" t="str">
            <v>杭州市区</v>
          </cell>
          <cell r="G11" t="str">
            <v>钱塘区</v>
          </cell>
          <cell r="H11" t="str">
            <v>董培培</v>
          </cell>
          <cell r="I11">
            <v>0</v>
          </cell>
          <cell r="J11">
            <v>11748</v>
          </cell>
        </row>
        <row r="11">
          <cell r="L11">
            <v>-1</v>
          </cell>
          <cell r="M11">
            <v>16445</v>
          </cell>
          <cell r="N11">
            <v>2274</v>
          </cell>
          <cell r="O11">
            <v>-0.861720887807844</v>
          </cell>
          <cell r="P11">
            <v>28193</v>
          </cell>
          <cell r="Q11">
            <v>2274</v>
          </cell>
          <cell r="R11">
            <v>-0.919341680559004</v>
          </cell>
          <cell r="S11">
            <v>800</v>
          </cell>
        </row>
        <row r="11">
          <cell r="U11">
            <v>-1</v>
          </cell>
          <cell r="V11">
            <v>28993</v>
          </cell>
          <cell r="W11">
            <v>2274</v>
          </cell>
          <cell r="X11">
            <v>-0.921567274859449</v>
          </cell>
        </row>
        <row r="11">
          <cell r="Z11">
            <v>2217</v>
          </cell>
        </row>
        <row r="12">
          <cell r="C12" t="str">
            <v>杭州五星</v>
          </cell>
          <cell r="D12" t="str">
            <v>五星</v>
          </cell>
          <cell r="E12" t="str">
            <v>五星</v>
          </cell>
          <cell r="F12" t="str">
            <v>杭州市区</v>
          </cell>
          <cell r="G12" t="str">
            <v>市区</v>
          </cell>
          <cell r="H12" t="str">
            <v>李燕霞</v>
          </cell>
          <cell r="I12">
            <v>560</v>
          </cell>
          <cell r="J12">
            <v>-55370.32</v>
          </cell>
          <cell r="K12">
            <v>513987.69</v>
          </cell>
          <cell r="L12">
            <v>-10.282729267232</v>
          </cell>
        </row>
        <row r="12">
          <cell r="N12">
            <v>456944.83</v>
          </cell>
          <cell r="O12" t="e">
            <v>#DIV/0!</v>
          </cell>
          <cell r="P12">
            <v>-55370.32</v>
          </cell>
          <cell r="Q12">
            <v>970932.52</v>
          </cell>
          <cell r="R12">
            <v>-18.5352520989584</v>
          </cell>
        </row>
        <row r="12">
          <cell r="T12">
            <v>639327.2</v>
          </cell>
          <cell r="U12" t="e">
            <v>#DIV/0!</v>
          </cell>
          <cell r="V12">
            <v>-55370.32</v>
          </cell>
          <cell r="W12">
            <v>1610259.72</v>
          </cell>
          <cell r="X12">
            <v>-30.0816401277796</v>
          </cell>
          <cell r="Y12">
            <v>442229.3</v>
          </cell>
          <cell r="Z12">
            <v>320375.22</v>
          </cell>
        </row>
        <row r="13">
          <cell r="C13" t="str">
            <v>杭州临平江南家居专卖店</v>
          </cell>
          <cell r="D13" t="str">
            <v>直营</v>
          </cell>
          <cell r="E13" t="str">
            <v>直营</v>
          </cell>
          <cell r="F13" t="str">
            <v>临平区</v>
          </cell>
          <cell r="G13" t="str">
            <v>临平区</v>
          </cell>
          <cell r="H13" t="str">
            <v>专卖店</v>
          </cell>
          <cell r="I13">
            <v>180</v>
          </cell>
          <cell r="J13">
            <v>103977</v>
          </cell>
          <cell r="K13">
            <v>22066</v>
          </cell>
          <cell r="L13">
            <v>-0.787779989805438</v>
          </cell>
          <cell r="M13">
            <v>19500</v>
          </cell>
          <cell r="N13">
            <v>49149</v>
          </cell>
          <cell r="O13">
            <v>1.52046153846154</v>
          </cell>
          <cell r="P13">
            <v>123477</v>
          </cell>
          <cell r="Q13">
            <v>71215</v>
          </cell>
          <cell r="R13">
            <v>-0.42325291349806</v>
          </cell>
          <cell r="S13">
            <v>113494</v>
          </cell>
          <cell r="T13">
            <v>91366</v>
          </cell>
          <cell r="U13">
            <v>-0.194970659241898</v>
          </cell>
          <cell r="V13">
            <v>236971</v>
          </cell>
          <cell r="W13">
            <v>162581</v>
          </cell>
          <cell r="X13">
            <v>-0.313920268724865</v>
          </cell>
          <cell r="Y13">
            <v>109059</v>
          </cell>
          <cell r="Z13">
            <v>67817</v>
          </cell>
        </row>
        <row r="14">
          <cell r="C14" t="str">
            <v>杭州华泓电器有限公司</v>
          </cell>
          <cell r="D14" t="str">
            <v>经销</v>
          </cell>
          <cell r="E14" t="str">
            <v>经销</v>
          </cell>
          <cell r="F14" t="str">
            <v>萧山区</v>
          </cell>
          <cell r="G14" t="str">
            <v>萧山区</v>
          </cell>
          <cell r="H14" t="str">
            <v>董培培</v>
          </cell>
        </row>
        <row r="14">
          <cell r="J14">
            <v>800</v>
          </cell>
        </row>
        <row r="14">
          <cell r="L14">
            <v>-1</v>
          </cell>
        </row>
        <row r="14">
          <cell r="O14" t="e">
            <v>#DIV/0!</v>
          </cell>
          <cell r="P14">
            <v>800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800</v>
          </cell>
          <cell r="W14">
            <v>0</v>
          </cell>
          <cell r="X14">
            <v>-1</v>
          </cell>
        </row>
        <row r="15">
          <cell r="C15" t="str">
            <v>杭州金蝶零售</v>
          </cell>
          <cell r="D15" t="str">
            <v>零售</v>
          </cell>
          <cell r="E15" t="str">
            <v>零售</v>
          </cell>
          <cell r="F15" t="str">
            <v>杭州市区</v>
          </cell>
          <cell r="G15" t="str">
            <v>市区</v>
          </cell>
          <cell r="H15" t="str">
            <v>杭州零售</v>
          </cell>
        </row>
        <row r="15">
          <cell r="J15">
            <v>111956.28</v>
          </cell>
          <cell r="K15">
            <v>76873.34</v>
          </cell>
          <cell r="L15">
            <v>-0.313362859144659</v>
          </cell>
          <cell r="M15">
            <v>43919</v>
          </cell>
          <cell r="N15">
            <v>43284.9</v>
          </cell>
          <cell r="O15">
            <v>-0.014437942576106</v>
          </cell>
          <cell r="P15">
            <v>155875.28</v>
          </cell>
          <cell r="Q15">
            <v>120158.24</v>
          </cell>
          <cell r="R15">
            <v>-0.229138577970798</v>
          </cell>
          <cell r="S15">
            <v>80405.08</v>
          </cell>
          <cell r="T15">
            <v>119148.66</v>
          </cell>
          <cell r="U15">
            <v>0.481854877826127</v>
          </cell>
          <cell r="V15">
            <v>236280.36</v>
          </cell>
          <cell r="W15">
            <v>239306.9</v>
          </cell>
          <cell r="X15">
            <v>0.012809105251067</v>
          </cell>
          <cell r="Y15">
            <v>82108.64</v>
          </cell>
          <cell r="Z15">
            <v>310195.38</v>
          </cell>
        </row>
        <row r="16">
          <cell r="C16" t="str">
            <v>杭州金蝶零售（李燕霞）</v>
          </cell>
          <cell r="D16" t="str">
            <v>零售</v>
          </cell>
          <cell r="E16" t="str">
            <v>零售</v>
          </cell>
          <cell r="F16" t="str">
            <v>杭州市区</v>
          </cell>
          <cell r="G16" t="str">
            <v>市区</v>
          </cell>
          <cell r="H16" t="str">
            <v>李燕霞</v>
          </cell>
        </row>
        <row r="16">
          <cell r="L16" t="e">
            <v>#DIV/0!</v>
          </cell>
        </row>
        <row r="16">
          <cell r="N16">
            <v>6125</v>
          </cell>
          <cell r="O16" t="e">
            <v>#DIV/0!</v>
          </cell>
          <cell r="P16">
            <v>0</v>
          </cell>
          <cell r="Q16">
            <v>6125</v>
          </cell>
          <cell r="R16" t="e">
            <v>#DIV/0!</v>
          </cell>
        </row>
        <row r="16">
          <cell r="U16" t="e">
            <v>#DIV/0!</v>
          </cell>
          <cell r="V16">
            <v>0</v>
          </cell>
          <cell r="W16">
            <v>6125</v>
          </cell>
          <cell r="X16" t="e">
            <v>#DIV/0!</v>
          </cell>
        </row>
        <row r="17">
          <cell r="C17" t="str">
            <v>萧山世纪龙建材专卖店</v>
          </cell>
          <cell r="D17" t="str">
            <v>直营</v>
          </cell>
          <cell r="E17" t="str">
            <v>直营</v>
          </cell>
          <cell r="F17" t="str">
            <v>萧山区</v>
          </cell>
          <cell r="G17" t="str">
            <v>萧山区</v>
          </cell>
          <cell r="H17" t="str">
            <v>专卖店</v>
          </cell>
        </row>
        <row r="17">
          <cell r="J17">
            <v>52801</v>
          </cell>
        </row>
        <row r="17">
          <cell r="L17">
            <v>-1</v>
          </cell>
        </row>
        <row r="17">
          <cell r="O17" t="e">
            <v>#DIV/0!</v>
          </cell>
          <cell r="P17">
            <v>52801</v>
          </cell>
          <cell r="Q17">
            <v>0</v>
          </cell>
          <cell r="R17">
            <v>-1</v>
          </cell>
        </row>
        <row r="17">
          <cell r="U17" t="e">
            <v>#DIV/0!</v>
          </cell>
          <cell r="V17">
            <v>52801</v>
          </cell>
          <cell r="W17">
            <v>0</v>
          </cell>
          <cell r="X17">
            <v>-1</v>
          </cell>
        </row>
        <row r="18">
          <cell r="C18" t="str">
            <v>（新）古墩新时代专卖店</v>
          </cell>
          <cell r="D18" t="str">
            <v>直营</v>
          </cell>
          <cell r="E18" t="str">
            <v>直营</v>
          </cell>
          <cell r="F18" t="str">
            <v>杭州市区</v>
          </cell>
          <cell r="G18" t="str">
            <v>西湖风景名胜区</v>
          </cell>
          <cell r="H18" t="str">
            <v>专卖店</v>
          </cell>
        </row>
        <row r="18">
          <cell r="J18">
            <v>-16596</v>
          </cell>
        </row>
        <row r="18">
          <cell r="L18">
            <v>-1</v>
          </cell>
        </row>
        <row r="18">
          <cell r="O18" t="e">
            <v>#DIV/0!</v>
          </cell>
          <cell r="P18">
            <v>-16596</v>
          </cell>
          <cell r="Q18">
            <v>0</v>
          </cell>
          <cell r="R18">
            <v>-1</v>
          </cell>
        </row>
        <row r="18">
          <cell r="U18" t="e">
            <v>#DIV/0!</v>
          </cell>
          <cell r="V18">
            <v>-16596</v>
          </cell>
          <cell r="W18">
            <v>0</v>
          </cell>
          <cell r="X18">
            <v>-1</v>
          </cell>
        </row>
        <row r="19">
          <cell r="C19" t="str">
            <v>（新）宏丰专卖店</v>
          </cell>
          <cell r="D19" t="str">
            <v>直营</v>
          </cell>
          <cell r="E19" t="str">
            <v>直营</v>
          </cell>
          <cell r="F19" t="str">
            <v>杭州市区</v>
          </cell>
          <cell r="G19" t="str">
            <v>市区</v>
          </cell>
          <cell r="H19" t="str">
            <v>专卖店</v>
          </cell>
        </row>
        <row r="19">
          <cell r="L19" t="e">
            <v>#DIV/0!</v>
          </cell>
          <cell r="M19">
            <v>-3358</v>
          </cell>
        </row>
        <row r="19">
          <cell r="O19">
            <v>-1</v>
          </cell>
          <cell r="P19">
            <v>-3358</v>
          </cell>
          <cell r="Q19">
            <v>0</v>
          </cell>
          <cell r="R19">
            <v>-1</v>
          </cell>
        </row>
        <row r="19">
          <cell r="U19" t="e">
            <v>#DIV/0!</v>
          </cell>
          <cell r="V19">
            <v>-3358</v>
          </cell>
          <cell r="W19">
            <v>0</v>
          </cell>
          <cell r="X19">
            <v>-1</v>
          </cell>
        </row>
        <row r="20">
          <cell r="C20" t="str">
            <v>杭州月星家居超级旗舰店</v>
          </cell>
          <cell r="D20" t="str">
            <v>直营</v>
          </cell>
          <cell r="E20" t="str">
            <v>直营</v>
          </cell>
          <cell r="F20" t="str">
            <v>杭州市区</v>
          </cell>
          <cell r="G20" t="str">
            <v>拱墅区</v>
          </cell>
          <cell r="H20" t="str">
            <v>专卖店</v>
          </cell>
        </row>
        <row r="20">
          <cell r="L20" t="e">
            <v>#DIV/0!</v>
          </cell>
        </row>
        <row r="20">
          <cell r="O20" t="e">
            <v>#DIV/0!</v>
          </cell>
          <cell r="P20">
            <v>0</v>
          </cell>
          <cell r="Q20">
            <v>0</v>
          </cell>
          <cell r="R20" t="e">
            <v>#DIV/0!</v>
          </cell>
        </row>
        <row r="20">
          <cell r="U20" t="e">
            <v>#DIV/0!</v>
          </cell>
          <cell r="V20">
            <v>0</v>
          </cell>
          <cell r="W20">
            <v>0</v>
          </cell>
          <cell r="X20" t="e">
            <v>#DIV/0!</v>
          </cell>
        </row>
        <row r="21">
          <cell r="C21" t="str">
            <v>杭州恒大建材超级旗舰店</v>
          </cell>
          <cell r="D21" t="str">
            <v>直营</v>
          </cell>
          <cell r="E21" t="str">
            <v>直营</v>
          </cell>
          <cell r="F21" t="str">
            <v>杭州市区</v>
          </cell>
          <cell r="G21" t="str">
            <v>钱塘区</v>
          </cell>
          <cell r="H21" t="str">
            <v>专卖店</v>
          </cell>
          <cell r="I21">
            <v>230</v>
          </cell>
          <cell r="J21">
            <v>164507</v>
          </cell>
          <cell r="K21">
            <v>108230.5</v>
          </cell>
          <cell r="L21">
            <v>-0.34209182587975</v>
          </cell>
          <cell r="M21">
            <v>107411</v>
          </cell>
          <cell r="N21">
            <v>59256.4</v>
          </cell>
          <cell r="O21">
            <v>-0.448320935472158</v>
          </cell>
          <cell r="P21">
            <v>271918</v>
          </cell>
          <cell r="Q21">
            <v>167486.9</v>
          </cell>
          <cell r="R21">
            <v>-0.384053648526394</v>
          </cell>
          <cell r="S21">
            <v>318901</v>
          </cell>
          <cell r="T21">
            <v>109309.1</v>
          </cell>
          <cell r="U21">
            <v>-0.65723186819734</v>
          </cell>
          <cell r="V21">
            <v>590819</v>
          </cell>
          <cell r="W21">
            <v>276796</v>
          </cell>
          <cell r="X21">
            <v>-0.531504572466356</v>
          </cell>
          <cell r="Y21">
            <v>286782</v>
          </cell>
          <cell r="Z21">
            <v>130231</v>
          </cell>
        </row>
        <row r="22">
          <cell r="C22" t="str">
            <v>二轻爱威专卖店</v>
          </cell>
          <cell r="D22" t="str">
            <v>加盟</v>
          </cell>
          <cell r="E22" t="str">
            <v>加盟</v>
          </cell>
          <cell r="F22" t="str">
            <v>杭州市区</v>
          </cell>
          <cell r="G22" t="str">
            <v>拱墅区</v>
          </cell>
          <cell r="H22" t="str">
            <v>专卖店</v>
          </cell>
        </row>
        <row r="22">
          <cell r="J22">
            <v>78855</v>
          </cell>
          <cell r="K22">
            <v>24931</v>
          </cell>
          <cell r="L22">
            <v>-0.683837423118382</v>
          </cell>
          <cell r="M22">
            <v>39609</v>
          </cell>
          <cell r="N22">
            <v>30583</v>
          </cell>
          <cell r="O22">
            <v>-0.227877502587796</v>
          </cell>
          <cell r="P22">
            <v>118464</v>
          </cell>
          <cell r="Q22">
            <v>55514</v>
          </cell>
          <cell r="R22">
            <v>-0.531385062128579</v>
          </cell>
          <cell r="S22">
            <v>40486</v>
          </cell>
          <cell r="T22">
            <v>10700</v>
          </cell>
          <cell r="U22">
            <v>-0.735711110013338</v>
          </cell>
          <cell r="V22">
            <v>158950</v>
          </cell>
          <cell r="W22">
            <v>66214</v>
          </cell>
          <cell r="X22">
            <v>-0.583428751179616</v>
          </cell>
          <cell r="Y22">
            <v>45990</v>
          </cell>
        </row>
        <row r="23">
          <cell r="C23" t="str">
            <v>（新）滨江第六空间专卖店</v>
          </cell>
          <cell r="D23" t="str">
            <v>直营</v>
          </cell>
          <cell r="E23" t="str">
            <v>直营</v>
          </cell>
          <cell r="F23" t="str">
            <v>杭州市区</v>
          </cell>
          <cell r="G23" t="str">
            <v>滨江区</v>
          </cell>
          <cell r="H23" t="str">
            <v>专卖店</v>
          </cell>
          <cell r="I23">
            <v>280</v>
          </cell>
          <cell r="J23">
            <v>155330</v>
          </cell>
          <cell r="K23">
            <v>156262</v>
          </cell>
          <cell r="L23">
            <v>0.00600012875812794</v>
          </cell>
          <cell r="M23">
            <v>84728</v>
          </cell>
          <cell r="N23">
            <v>143497</v>
          </cell>
          <cell r="O23">
            <v>0.693619582664526</v>
          </cell>
          <cell r="P23">
            <v>240058</v>
          </cell>
          <cell r="Q23">
            <v>299759</v>
          </cell>
          <cell r="R23">
            <v>0.248694065600813</v>
          </cell>
          <cell r="S23">
            <v>296842</v>
          </cell>
          <cell r="T23">
            <v>199854.6</v>
          </cell>
          <cell r="U23">
            <v>-0.326730718698836</v>
          </cell>
          <cell r="V23">
            <v>536900</v>
          </cell>
          <cell r="W23">
            <v>499613.6</v>
          </cell>
          <cell r="X23">
            <v>-0.0694475693797728</v>
          </cell>
          <cell r="Y23">
            <v>180500</v>
          </cell>
          <cell r="Z23">
            <v>131199.7</v>
          </cell>
        </row>
        <row r="24">
          <cell r="C24" t="str">
            <v>杭州日新人工环境工程有限公司</v>
          </cell>
          <cell r="D24" t="str">
            <v>暖通</v>
          </cell>
          <cell r="E24" t="str">
            <v>暖通</v>
          </cell>
          <cell r="F24" t="str">
            <v>杭州市区</v>
          </cell>
          <cell r="G24" t="str">
            <v>西湖风景名胜区</v>
          </cell>
          <cell r="H24" t="str">
            <v>陈雪君</v>
          </cell>
        </row>
        <row r="24">
          <cell r="L24" t="e">
            <v>#DIV/0!</v>
          </cell>
        </row>
        <row r="24">
          <cell r="O24" t="e">
            <v>#DIV/0!</v>
          </cell>
          <cell r="P24">
            <v>0</v>
          </cell>
          <cell r="Q24">
            <v>0</v>
          </cell>
          <cell r="R24" t="e">
            <v>#DIV/0!</v>
          </cell>
          <cell r="S24">
            <v>790</v>
          </cell>
        </row>
        <row r="24">
          <cell r="U24">
            <v>-1</v>
          </cell>
          <cell r="V24">
            <v>790</v>
          </cell>
          <cell r="W24">
            <v>0</v>
          </cell>
          <cell r="X24">
            <v>-1</v>
          </cell>
        </row>
        <row r="25">
          <cell r="C25" t="str">
            <v>杭州汇意商贸有限公司</v>
          </cell>
          <cell r="D25" t="str">
            <v>暖通</v>
          </cell>
          <cell r="E25" t="str">
            <v>暖通</v>
          </cell>
          <cell r="F25" t="str">
            <v>杭州市区</v>
          </cell>
          <cell r="G25" t="str">
            <v>拱墅区</v>
          </cell>
          <cell r="H25" t="str">
            <v>陈雪君</v>
          </cell>
        </row>
        <row r="25">
          <cell r="L25" t="e">
            <v>#DIV/0!</v>
          </cell>
        </row>
        <row r="25"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</row>
        <row r="25"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</row>
        <row r="26">
          <cell r="C26" t="str">
            <v>浙江初韵供应链管理有限公司</v>
          </cell>
          <cell r="D26" t="str">
            <v>经销</v>
          </cell>
          <cell r="E26" t="str">
            <v>经销</v>
          </cell>
          <cell r="F26" t="str">
            <v>杭州市区</v>
          </cell>
          <cell r="G26" t="str">
            <v>上城区</v>
          </cell>
          <cell r="H26" t="str">
            <v>董培培</v>
          </cell>
          <cell r="I26">
            <v>24</v>
          </cell>
          <cell r="J26">
            <v>20000</v>
          </cell>
          <cell r="K26">
            <v>10000</v>
          </cell>
          <cell r="L26">
            <v>-0.5</v>
          </cell>
        </row>
        <row r="26">
          <cell r="O26" t="e">
            <v>#DIV/0!</v>
          </cell>
          <cell r="P26">
            <v>20000</v>
          </cell>
          <cell r="Q26">
            <v>10000</v>
          </cell>
          <cell r="R26">
            <v>-0.5</v>
          </cell>
          <cell r="S26">
            <v>40000</v>
          </cell>
          <cell r="T26">
            <v>24752.5</v>
          </cell>
          <cell r="U26">
            <v>-0.3811875</v>
          </cell>
          <cell r="V26">
            <v>60000</v>
          </cell>
          <cell r="W26">
            <v>34752.5</v>
          </cell>
          <cell r="X26">
            <v>-0.420791666666667</v>
          </cell>
          <cell r="Y26">
            <v>30000</v>
          </cell>
        </row>
        <row r="27">
          <cell r="C27" t="str">
            <v>杭州红星美凯龙一号店</v>
          </cell>
          <cell r="D27" t="str">
            <v>直营</v>
          </cell>
          <cell r="E27" t="str">
            <v>直营</v>
          </cell>
          <cell r="F27" t="str">
            <v>杭州市区</v>
          </cell>
          <cell r="G27" t="str">
            <v>西湖风景名胜区</v>
          </cell>
          <cell r="H27" t="str">
            <v>专卖店</v>
          </cell>
          <cell r="I27">
            <v>400</v>
          </cell>
          <cell r="J27">
            <v>304654</v>
          </cell>
          <cell r="K27">
            <v>248878.5</v>
          </cell>
          <cell r="L27">
            <v>-0.183078180493281</v>
          </cell>
          <cell r="M27">
            <v>67549</v>
          </cell>
          <cell r="N27">
            <v>359062</v>
          </cell>
          <cell r="O27">
            <v>4.31557832092259</v>
          </cell>
          <cell r="P27">
            <v>372203</v>
          </cell>
          <cell r="Q27">
            <v>607940.5</v>
          </cell>
          <cell r="R27">
            <v>0.6333573345728</v>
          </cell>
          <cell r="S27">
            <v>191851</v>
          </cell>
          <cell r="T27">
            <v>586860</v>
          </cell>
          <cell r="U27">
            <v>2.05893636207265</v>
          </cell>
          <cell r="V27">
            <v>564054</v>
          </cell>
          <cell r="W27">
            <v>1194800.5</v>
          </cell>
          <cell r="X27">
            <v>1.11823779283544</v>
          </cell>
          <cell r="Y27">
            <v>73138</v>
          </cell>
          <cell r="Z27">
            <v>381502</v>
          </cell>
        </row>
        <row r="28">
          <cell r="C28" t="str">
            <v>杭州德业电器有限公司</v>
          </cell>
          <cell r="D28" t="str">
            <v>经销</v>
          </cell>
          <cell r="E28" t="str">
            <v>经销</v>
          </cell>
          <cell r="F28" t="str">
            <v>杭州市区</v>
          </cell>
          <cell r="G28" t="str">
            <v>上城区</v>
          </cell>
          <cell r="H28" t="str">
            <v>张卓朗</v>
          </cell>
          <cell r="I28">
            <v>0</v>
          </cell>
          <cell r="J28">
            <v>4124</v>
          </cell>
        </row>
        <row r="28">
          <cell r="L28">
            <v>-1</v>
          </cell>
        </row>
        <row r="28">
          <cell r="O28" t="e">
            <v>#DIV/0!</v>
          </cell>
          <cell r="P28">
            <v>4124</v>
          </cell>
          <cell r="Q28">
            <v>0</v>
          </cell>
          <cell r="R28">
            <v>-1</v>
          </cell>
          <cell r="S28">
            <v>4124</v>
          </cell>
        </row>
        <row r="28">
          <cell r="U28">
            <v>-1</v>
          </cell>
          <cell r="V28">
            <v>8248</v>
          </cell>
          <cell r="W28">
            <v>0</v>
          </cell>
          <cell r="X28">
            <v>-1</v>
          </cell>
        </row>
        <row r="29">
          <cell r="C29" t="str">
            <v>杭州市余杭区临平街道泽晨材料商行</v>
          </cell>
          <cell r="D29" t="str">
            <v>经销</v>
          </cell>
          <cell r="E29" t="str">
            <v>经销</v>
          </cell>
          <cell r="F29" t="str">
            <v>临平区</v>
          </cell>
          <cell r="G29" t="str">
            <v>临平区</v>
          </cell>
          <cell r="H29" t="str">
            <v>张卓朗</v>
          </cell>
        </row>
        <row r="29">
          <cell r="J29">
            <v>10000</v>
          </cell>
        </row>
        <row r="29">
          <cell r="L29">
            <v>-1</v>
          </cell>
        </row>
        <row r="29">
          <cell r="O29" t="e">
            <v>#DIV/0!</v>
          </cell>
          <cell r="P29">
            <v>10000</v>
          </cell>
          <cell r="Q29">
            <v>0</v>
          </cell>
          <cell r="R29">
            <v>-1</v>
          </cell>
        </row>
        <row r="29">
          <cell r="U29" t="e">
            <v>#DIV/0!</v>
          </cell>
          <cell r="V29">
            <v>10000</v>
          </cell>
          <cell r="W29">
            <v>0</v>
          </cell>
          <cell r="X29">
            <v>-1</v>
          </cell>
        </row>
        <row r="30">
          <cell r="C30" t="str">
            <v>浙江顶戴环境设备有限公司</v>
          </cell>
          <cell r="D30" t="str">
            <v>暖通</v>
          </cell>
          <cell r="E30" t="str">
            <v>暖通</v>
          </cell>
          <cell r="F30" t="str">
            <v>杭州市区</v>
          </cell>
          <cell r="G30" t="str">
            <v>钱塘区</v>
          </cell>
          <cell r="H30" t="str">
            <v>陈雪君</v>
          </cell>
        </row>
        <row r="30">
          <cell r="J30">
            <v>2591</v>
          </cell>
        </row>
        <row r="30">
          <cell r="L30">
            <v>-1</v>
          </cell>
        </row>
        <row r="30">
          <cell r="O30" t="e">
            <v>#DIV/0!</v>
          </cell>
          <cell r="P30">
            <v>2591</v>
          </cell>
          <cell r="Q30">
            <v>0</v>
          </cell>
          <cell r="R30">
            <v>-1</v>
          </cell>
        </row>
        <row r="30">
          <cell r="U30" t="e">
            <v>#DIV/0!</v>
          </cell>
          <cell r="V30">
            <v>2591</v>
          </cell>
          <cell r="W30">
            <v>0</v>
          </cell>
          <cell r="X30">
            <v>-1</v>
          </cell>
        </row>
        <row r="31">
          <cell r="C31" t="str">
            <v>浙江元天电子商务有限公司</v>
          </cell>
          <cell r="D31" t="str">
            <v>经销</v>
          </cell>
          <cell r="E31" t="str">
            <v>经销</v>
          </cell>
          <cell r="F31" t="str">
            <v>杭州市区</v>
          </cell>
          <cell r="G31" t="str">
            <v>滨江区</v>
          </cell>
          <cell r="H31" t="str">
            <v>黄颖</v>
          </cell>
          <cell r="I31">
            <v>20</v>
          </cell>
          <cell r="J31">
            <v>20582</v>
          </cell>
          <cell r="K31">
            <v>14679</v>
          </cell>
          <cell r="L31">
            <v>-0.286804003498202</v>
          </cell>
          <cell r="M31">
            <v>3939</v>
          </cell>
        </row>
        <row r="31">
          <cell r="O31">
            <v>-1</v>
          </cell>
          <cell r="P31">
            <v>24521</v>
          </cell>
          <cell r="Q31">
            <v>14679</v>
          </cell>
          <cell r="R31">
            <v>-0.401370254067942</v>
          </cell>
        </row>
        <row r="31">
          <cell r="T31">
            <v>3148</v>
          </cell>
          <cell r="U31" t="e">
            <v>#DIV/0!</v>
          </cell>
          <cell r="V31">
            <v>24521</v>
          </cell>
          <cell r="W31">
            <v>17827</v>
          </cell>
          <cell r="X31">
            <v>-0.272990497940541</v>
          </cell>
          <cell r="Y31">
            <v>23069</v>
          </cell>
          <cell r="Z31">
            <v>13909</v>
          </cell>
        </row>
        <row r="32">
          <cell r="C32" t="str">
            <v>杭州澎湃电器有限公司</v>
          </cell>
          <cell r="D32" t="str">
            <v>家装</v>
          </cell>
          <cell r="E32" t="str">
            <v>家装</v>
          </cell>
          <cell r="F32" t="str">
            <v>杭州市区</v>
          </cell>
          <cell r="G32" t="str">
            <v>上城区</v>
          </cell>
          <cell r="H32" t="str">
            <v>黄颖</v>
          </cell>
        </row>
        <row r="32">
          <cell r="J32">
            <v>7088</v>
          </cell>
        </row>
        <row r="32">
          <cell r="L32">
            <v>-1</v>
          </cell>
        </row>
        <row r="32">
          <cell r="O32" t="e">
            <v>#DIV/0!</v>
          </cell>
          <cell r="P32">
            <v>7088</v>
          </cell>
          <cell r="Q32">
            <v>0</v>
          </cell>
          <cell r="R32">
            <v>-1</v>
          </cell>
        </row>
        <row r="32">
          <cell r="U32" t="e">
            <v>#DIV/0!</v>
          </cell>
          <cell r="V32">
            <v>7088</v>
          </cell>
          <cell r="W32">
            <v>0</v>
          </cell>
          <cell r="X32">
            <v>-1</v>
          </cell>
        </row>
        <row r="33">
          <cell r="C33" t="str">
            <v>杭州中博智能电器有限公司</v>
          </cell>
          <cell r="D33" t="str">
            <v>家装</v>
          </cell>
          <cell r="E33" t="str">
            <v>家装</v>
          </cell>
          <cell r="F33" t="str">
            <v>杭州市区</v>
          </cell>
          <cell r="G33" t="str">
            <v>上城区</v>
          </cell>
          <cell r="H33" t="str">
            <v>黄颖</v>
          </cell>
          <cell r="I33">
            <v>200</v>
          </cell>
          <cell r="J33">
            <v>91657.28</v>
          </cell>
          <cell r="K33">
            <v>218873.82</v>
          </cell>
          <cell r="L33">
            <v>1.38795892699412</v>
          </cell>
        </row>
        <row r="33">
          <cell r="N33">
            <v>131893.4</v>
          </cell>
          <cell r="O33" t="e">
            <v>#DIV/0!</v>
          </cell>
          <cell r="P33">
            <v>91657.28</v>
          </cell>
          <cell r="Q33">
            <v>350767.22</v>
          </cell>
          <cell r="R33">
            <v>2.82694336991017</v>
          </cell>
          <cell r="S33">
            <v>98407.6</v>
          </cell>
          <cell r="T33">
            <v>143496.71</v>
          </cell>
          <cell r="U33">
            <v>0.458187274153622</v>
          </cell>
          <cell r="V33">
            <v>190064.88</v>
          </cell>
          <cell r="W33">
            <v>494263.93</v>
          </cell>
          <cell r="X33">
            <v>1.60050110257087</v>
          </cell>
          <cell r="Y33">
            <v>88389.8</v>
          </cell>
          <cell r="Z33">
            <v>34200.39</v>
          </cell>
        </row>
        <row r="34">
          <cell r="C34" t="str">
            <v>浙江都都装饰有限公司</v>
          </cell>
          <cell r="D34" t="str">
            <v>家装</v>
          </cell>
          <cell r="E34" t="str">
            <v>家装</v>
          </cell>
          <cell r="F34" t="str">
            <v>杭州市区</v>
          </cell>
          <cell r="G34" t="str">
            <v>拱墅区</v>
          </cell>
          <cell r="H34" t="str">
            <v>黄颖</v>
          </cell>
          <cell r="I34">
            <v>60</v>
          </cell>
          <cell r="J34">
            <v>16779</v>
          </cell>
          <cell r="K34">
            <v>37387</v>
          </cell>
          <cell r="L34">
            <v>1.2282019190655</v>
          </cell>
        </row>
        <row r="34">
          <cell r="O34" t="e">
            <v>#DIV/0!</v>
          </cell>
          <cell r="P34">
            <v>16779</v>
          </cell>
          <cell r="Q34">
            <v>37387</v>
          </cell>
          <cell r="R34">
            <v>1.2282019190655</v>
          </cell>
          <cell r="S34">
            <v>7332</v>
          </cell>
        </row>
        <row r="34">
          <cell r="U34">
            <v>-1</v>
          </cell>
          <cell r="V34">
            <v>24111</v>
          </cell>
          <cell r="W34">
            <v>37387</v>
          </cell>
          <cell r="X34">
            <v>0.550620048940318</v>
          </cell>
          <cell r="Y34">
            <v>49926</v>
          </cell>
          <cell r="Z34">
            <v>71744</v>
          </cell>
        </row>
        <row r="35">
          <cell r="C35" t="str">
            <v>桐庐县城南街道正亿家电经营部</v>
          </cell>
          <cell r="D35" t="str">
            <v>经销</v>
          </cell>
          <cell r="E35" t="str">
            <v>经销</v>
          </cell>
          <cell r="F35" t="str">
            <v>桐庐县</v>
          </cell>
          <cell r="G35" t="str">
            <v>桐庐县</v>
          </cell>
          <cell r="H35" t="str">
            <v>张卓朗</v>
          </cell>
          <cell r="I35">
            <v>0</v>
          </cell>
        </row>
        <row r="35">
          <cell r="L35" t="e">
            <v>#DIV/0!</v>
          </cell>
        </row>
        <row r="35">
          <cell r="O35" t="e">
            <v>#DIV/0!</v>
          </cell>
          <cell r="P35">
            <v>0</v>
          </cell>
          <cell r="Q35">
            <v>0</v>
          </cell>
          <cell r="R35" t="e">
            <v>#DIV/0!</v>
          </cell>
          <cell r="S35">
            <v>26405</v>
          </cell>
        </row>
        <row r="35">
          <cell r="U35">
            <v>-1</v>
          </cell>
          <cell r="V35">
            <v>26405</v>
          </cell>
          <cell r="W35">
            <v>0</v>
          </cell>
          <cell r="X35">
            <v>-1</v>
          </cell>
        </row>
        <row r="36">
          <cell r="C36" t="str">
            <v>杭州中瑞工程技术有限公司</v>
          </cell>
          <cell r="D36" t="str">
            <v>经销</v>
          </cell>
          <cell r="E36" t="str">
            <v>经销</v>
          </cell>
          <cell r="F36" t="str">
            <v>杭州市区</v>
          </cell>
          <cell r="G36" t="str">
            <v>市区</v>
          </cell>
          <cell r="H36" t="str">
            <v>陈雪君</v>
          </cell>
        </row>
        <row r="36">
          <cell r="J36">
            <v>50000</v>
          </cell>
        </row>
        <row r="36">
          <cell r="L36">
            <v>-1</v>
          </cell>
          <cell r="M36">
            <v>39000</v>
          </cell>
          <cell r="N36">
            <v>20000</v>
          </cell>
          <cell r="O36">
            <v>-0.487179487179487</v>
          </cell>
          <cell r="P36">
            <v>89000</v>
          </cell>
          <cell r="Q36">
            <v>20000</v>
          </cell>
          <cell r="R36">
            <v>-0.775280898876405</v>
          </cell>
          <cell r="S36">
            <v>35000</v>
          </cell>
        </row>
        <row r="36">
          <cell r="U36">
            <v>-1</v>
          </cell>
          <cell r="V36">
            <v>124000</v>
          </cell>
          <cell r="W36">
            <v>20000</v>
          </cell>
          <cell r="X36">
            <v>-0.838709677419355</v>
          </cell>
          <cell r="Y36">
            <v>190000</v>
          </cell>
        </row>
        <row r="37">
          <cell r="C37" t="str">
            <v>苏宁易购集团股份有限公司苏宁采购中心</v>
          </cell>
          <cell r="D37" t="str">
            <v>经销</v>
          </cell>
          <cell r="E37" t="str">
            <v>经销</v>
          </cell>
          <cell r="F37" t="str">
            <v>杭州市区</v>
          </cell>
          <cell r="G37" t="str">
            <v>市区</v>
          </cell>
          <cell r="H37" t="str">
            <v>陈雪君</v>
          </cell>
        </row>
        <row r="37">
          <cell r="K37">
            <v>5208.12</v>
          </cell>
          <cell r="L37" t="e">
            <v>#DIV/0!</v>
          </cell>
        </row>
        <row r="37">
          <cell r="N37">
            <v>713</v>
          </cell>
          <cell r="O37" t="e">
            <v>#DIV/0!</v>
          </cell>
          <cell r="P37">
            <v>0</v>
          </cell>
          <cell r="Q37">
            <v>5921.12</v>
          </cell>
          <cell r="R37" t="e">
            <v>#DIV/0!</v>
          </cell>
        </row>
        <row r="37">
          <cell r="U37" t="e">
            <v>#DIV/0!</v>
          </cell>
          <cell r="V37">
            <v>0</v>
          </cell>
          <cell r="W37">
            <v>5921.12</v>
          </cell>
          <cell r="X37" t="e">
            <v>#DIV/0!</v>
          </cell>
        </row>
        <row r="38">
          <cell r="C38" t="str">
            <v>杭州华东家电市场铁人电器商行</v>
          </cell>
          <cell r="D38" t="str">
            <v>经销</v>
          </cell>
          <cell r="E38" t="str">
            <v>经销</v>
          </cell>
          <cell r="F38" t="str">
            <v>杭州市区</v>
          </cell>
          <cell r="G38" t="str">
            <v>市区</v>
          </cell>
          <cell r="H38" t="str">
            <v>李燕霞</v>
          </cell>
          <cell r="I38">
            <v>20</v>
          </cell>
        </row>
        <row r="38">
          <cell r="L38" t="e">
            <v>#DIV/0!</v>
          </cell>
        </row>
        <row r="38">
          <cell r="O38" t="e">
            <v>#DIV/0!</v>
          </cell>
          <cell r="P38">
            <v>0</v>
          </cell>
          <cell r="Q38">
            <v>0</v>
          </cell>
          <cell r="R38" t="e">
            <v>#DIV/0!</v>
          </cell>
        </row>
        <row r="38">
          <cell r="U38" t="e">
            <v>#DIV/0!</v>
          </cell>
          <cell r="V38">
            <v>0</v>
          </cell>
          <cell r="W38">
            <v>0</v>
          </cell>
          <cell r="X38" t="e">
            <v>#DIV/0!</v>
          </cell>
        </row>
        <row r="39">
          <cell r="C39" t="str">
            <v>杭州殊晟机电设备有限公司</v>
          </cell>
          <cell r="D39" t="str">
            <v>经销</v>
          </cell>
          <cell r="E39" t="str">
            <v>经销</v>
          </cell>
          <cell r="F39" t="str">
            <v>杭州市区</v>
          </cell>
          <cell r="G39" t="str">
            <v>市区</v>
          </cell>
          <cell r="H39" t="str">
            <v>李燕霞</v>
          </cell>
        </row>
        <row r="39">
          <cell r="L39" t="e">
            <v>#DIV/0!</v>
          </cell>
        </row>
        <row r="39">
          <cell r="O39" t="e">
            <v>#DIV/0!</v>
          </cell>
          <cell r="P39">
            <v>0</v>
          </cell>
          <cell r="Q39">
            <v>0</v>
          </cell>
          <cell r="R39" t="e">
            <v>#DIV/0!</v>
          </cell>
        </row>
        <row r="39">
          <cell r="U39" t="e">
            <v>#DIV/0!</v>
          </cell>
          <cell r="V39">
            <v>0</v>
          </cell>
          <cell r="W39">
            <v>0</v>
          </cell>
          <cell r="X39" t="e">
            <v>#DIV/0!</v>
          </cell>
        </row>
        <row r="40">
          <cell r="C40" t="str">
            <v>滨江六空8090店</v>
          </cell>
          <cell r="D40" t="str">
            <v>直营</v>
          </cell>
          <cell r="E40" t="str">
            <v>直营</v>
          </cell>
          <cell r="F40" t="str">
            <v>杭州市区</v>
          </cell>
          <cell r="G40" t="str">
            <v>滨江区</v>
          </cell>
          <cell r="H40" t="str">
            <v>专卖店</v>
          </cell>
          <cell r="I40">
            <v>370</v>
          </cell>
        </row>
        <row r="40">
          <cell r="K40">
            <v>128272</v>
          </cell>
          <cell r="L40" t="e">
            <v>#DIV/0!</v>
          </cell>
        </row>
        <row r="40">
          <cell r="N40">
            <v>300432</v>
          </cell>
          <cell r="O40" t="e">
            <v>#DIV/0!</v>
          </cell>
          <cell r="P40">
            <v>0</v>
          </cell>
          <cell r="Q40">
            <v>428704</v>
          </cell>
          <cell r="R40" t="e">
            <v>#DIV/0!</v>
          </cell>
        </row>
        <row r="40">
          <cell r="T40">
            <v>378127</v>
          </cell>
          <cell r="U40" t="e">
            <v>#DIV/0!</v>
          </cell>
          <cell r="V40">
            <v>0</v>
          </cell>
          <cell r="W40">
            <v>806831</v>
          </cell>
          <cell r="X40" t="e">
            <v>#DIV/0!</v>
          </cell>
        </row>
        <row r="40">
          <cell r="Z40">
            <v>418240</v>
          </cell>
        </row>
        <row r="41">
          <cell r="C41" t="str">
            <v>萧山第六空间专卖店</v>
          </cell>
          <cell r="D41" t="str">
            <v>直营</v>
          </cell>
          <cell r="E41" t="str">
            <v>直营</v>
          </cell>
          <cell r="F41" t="str">
            <v>萧山区</v>
          </cell>
          <cell r="G41" t="str">
            <v>市区</v>
          </cell>
          <cell r="H41" t="str">
            <v>专卖店</v>
          </cell>
          <cell r="I41">
            <v>170</v>
          </cell>
        </row>
        <row r="41">
          <cell r="K41">
            <v>840</v>
          </cell>
          <cell r="L41" t="e">
            <v>#DIV/0!</v>
          </cell>
        </row>
        <row r="41">
          <cell r="N41">
            <v>30008</v>
          </cell>
          <cell r="O41" t="e">
            <v>#DIV/0!</v>
          </cell>
          <cell r="P41">
            <v>0</v>
          </cell>
          <cell r="Q41">
            <v>30848</v>
          </cell>
          <cell r="R41" t="e">
            <v>#DIV/0!</v>
          </cell>
        </row>
        <row r="41">
          <cell r="T41">
            <v>250109.6</v>
          </cell>
          <cell r="U41" t="e">
            <v>#DIV/0!</v>
          </cell>
          <cell r="V41">
            <v>0</v>
          </cell>
          <cell r="W41">
            <v>280957.6</v>
          </cell>
          <cell r="X41" t="e">
            <v>#DIV/0!</v>
          </cell>
        </row>
        <row r="41">
          <cell r="Z41">
            <v>296574</v>
          </cell>
        </row>
        <row r="42">
          <cell r="C42" t="str">
            <v>政采云</v>
          </cell>
          <cell r="D42" t="str">
            <v>经销</v>
          </cell>
          <cell r="E42" t="str">
            <v>经销</v>
          </cell>
          <cell r="F42" t="str">
            <v>杭州市区</v>
          </cell>
        </row>
        <row r="42">
          <cell r="H42" t="str">
            <v>陈雪君</v>
          </cell>
        </row>
        <row r="42">
          <cell r="L42" t="e">
            <v>#DIV/0!</v>
          </cell>
        </row>
        <row r="42">
          <cell r="O42" t="e">
            <v>#DIV/0!</v>
          </cell>
          <cell r="P42">
            <v>0</v>
          </cell>
          <cell r="Q42">
            <v>0</v>
          </cell>
          <cell r="R42" t="e">
            <v>#DIV/0!</v>
          </cell>
        </row>
        <row r="42">
          <cell r="U42" t="e">
            <v>#DIV/0!</v>
          </cell>
          <cell r="V42">
            <v>0</v>
          </cell>
          <cell r="W42">
            <v>0</v>
          </cell>
          <cell r="X42" t="e">
            <v>#DIV/0!</v>
          </cell>
        </row>
        <row r="43">
          <cell r="C43" t="str">
            <v>杭州装家百科电器有限公司</v>
          </cell>
          <cell r="D43" t="str">
            <v>家装</v>
          </cell>
          <cell r="E43" t="str">
            <v>家装</v>
          </cell>
          <cell r="F43" t="str">
            <v>杭州市区</v>
          </cell>
          <cell r="G43" t="str">
            <v>西湖区</v>
          </cell>
          <cell r="H43" t="str">
            <v>黄颖</v>
          </cell>
          <cell r="I43">
            <v>80</v>
          </cell>
        </row>
        <row r="43">
          <cell r="T43">
            <v>10661</v>
          </cell>
          <cell r="U43" t="e">
            <v>#DIV/0!</v>
          </cell>
          <cell r="V43">
            <v>0</v>
          </cell>
          <cell r="W43">
            <v>10661</v>
          </cell>
          <cell r="X43" t="e">
            <v>#DIV/0!</v>
          </cell>
        </row>
        <row r="43">
          <cell r="Z43">
            <v>15411</v>
          </cell>
        </row>
        <row r="44">
          <cell r="C44" t="str">
            <v>贝壳美家供应链管理（浙江）有限责任公司</v>
          </cell>
          <cell r="D44" t="str">
            <v>家装</v>
          </cell>
          <cell r="E44" t="str">
            <v>家装</v>
          </cell>
          <cell r="F44" t="str">
            <v>杭州市区</v>
          </cell>
          <cell r="G44" t="str">
            <v>拱墅区</v>
          </cell>
          <cell r="H44" t="str">
            <v>黄颖</v>
          </cell>
        </row>
        <row r="44">
          <cell r="T44">
            <v>7250</v>
          </cell>
          <cell r="U44" t="e">
            <v>#DIV/0!</v>
          </cell>
          <cell r="V44">
            <v>0</v>
          </cell>
          <cell r="W44">
            <v>7250</v>
          </cell>
          <cell r="X44" t="e">
            <v>#DIV/0!</v>
          </cell>
        </row>
        <row r="45">
          <cell r="C45" t="str">
            <v>杭州平野实业有限公司</v>
          </cell>
          <cell r="D45" t="str">
            <v>家装</v>
          </cell>
          <cell r="E45" t="str">
            <v>家装</v>
          </cell>
          <cell r="F45" t="str">
            <v>杭州市区</v>
          </cell>
          <cell r="G45" t="str">
            <v>拱墅区</v>
          </cell>
          <cell r="H45" t="str">
            <v>黄颖</v>
          </cell>
          <cell r="I45">
            <v>20</v>
          </cell>
        </row>
        <row r="46">
          <cell r="C46" t="str">
            <v>杭州速简优装饰工程有限公司</v>
          </cell>
          <cell r="D46" t="str">
            <v>家装</v>
          </cell>
          <cell r="E46" t="str">
            <v>家装</v>
          </cell>
          <cell r="F46" t="str">
            <v>杭州市区</v>
          </cell>
          <cell r="G46" t="str">
            <v>拱墅区</v>
          </cell>
          <cell r="H46" t="str">
            <v>黄颖</v>
          </cell>
          <cell r="I46">
            <v>20</v>
          </cell>
        </row>
        <row r="47">
          <cell r="C47" t="str">
            <v>北京天坛装饰工程有限责任公司杭州分公司</v>
          </cell>
          <cell r="D47" t="str">
            <v>家装</v>
          </cell>
          <cell r="E47" t="str">
            <v>家装</v>
          </cell>
          <cell r="F47" t="str">
            <v>杭州市区</v>
          </cell>
          <cell r="G47" t="str">
            <v>拱墅区</v>
          </cell>
          <cell r="H47" t="str">
            <v>黄颖</v>
          </cell>
          <cell r="I47">
            <v>60</v>
          </cell>
        </row>
        <row r="47">
          <cell r="T47">
            <v>35400</v>
          </cell>
          <cell r="U47" t="e">
            <v>#DIV/0!</v>
          </cell>
          <cell r="V47">
            <v>0</v>
          </cell>
          <cell r="W47">
            <v>35400</v>
          </cell>
          <cell r="X47" t="e">
            <v>#DIV/0!</v>
          </cell>
        </row>
        <row r="48">
          <cell r="C48" t="str">
            <v>合计</v>
          </cell>
        </row>
        <row r="48">
          <cell r="I48">
            <v>4334</v>
          </cell>
          <cell r="J48">
            <v>1820726.47</v>
          </cell>
          <cell r="K48">
            <v>2134133.92</v>
          </cell>
          <cell r="L48">
            <v>0.172133187034953</v>
          </cell>
          <cell r="M48">
            <v>665632</v>
          </cell>
          <cell r="N48">
            <v>2030936.03</v>
          </cell>
          <cell r="O48">
            <v>2.05113941336955</v>
          </cell>
          <cell r="P48">
            <v>2486358.47</v>
          </cell>
          <cell r="Q48">
            <v>4165069.95</v>
          </cell>
          <cell r="R48">
            <v>0.675168725771067</v>
          </cell>
          <cell r="S48">
            <v>2335229.55</v>
          </cell>
          <cell r="T48">
            <v>3216768.37</v>
          </cell>
          <cell r="U48">
            <v>0.377495574257357</v>
          </cell>
          <cell r="V48">
            <v>4821588.02</v>
          </cell>
          <cell r="W48">
            <v>7381838.32</v>
          </cell>
          <cell r="X48">
            <v>0.530997316523115</v>
          </cell>
          <cell r="Y48">
            <v>2932936.84</v>
          </cell>
          <cell r="Z48">
            <v>3545274.19</v>
          </cell>
        </row>
        <row r="52">
          <cell r="T52">
            <v>15635</v>
          </cell>
        </row>
        <row r="53">
          <cell r="T53">
            <v>3201133.37</v>
          </cell>
        </row>
        <row r="57">
          <cell r="T57">
            <v>2950767.66</v>
          </cell>
        </row>
      </sheetData>
      <sheetData sheetId="3">
        <row r="1">
          <cell r="C1" t="str">
            <v>系统门店</v>
          </cell>
          <cell r="D1" t="str">
            <v>渠道</v>
          </cell>
          <cell r="E1" t="str">
            <v>渠道细分</v>
          </cell>
          <cell r="F1" t="str">
            <v>大区</v>
          </cell>
          <cell r="G1" t="str">
            <v>市/区/县</v>
          </cell>
          <cell r="H1" t="str">
            <v>业务员</v>
          </cell>
          <cell r="I1" t="str">
            <v>合同任务</v>
          </cell>
          <cell r="J1" t="str">
            <v>1月</v>
          </cell>
        </row>
        <row r="1">
          <cell r="L1" t="str">
            <v>同比</v>
          </cell>
          <cell r="M1" t="str">
            <v>2月</v>
          </cell>
        </row>
        <row r="1">
          <cell r="O1" t="str">
            <v>同比</v>
          </cell>
          <cell r="P1" t="str">
            <v>1-2月</v>
          </cell>
        </row>
        <row r="1">
          <cell r="R1" t="str">
            <v>同比</v>
          </cell>
          <cell r="S1" t="str">
            <v>3月</v>
          </cell>
        </row>
        <row r="1">
          <cell r="U1" t="str">
            <v>同比</v>
          </cell>
          <cell r="V1" t="str">
            <v>1-3月</v>
          </cell>
        </row>
        <row r="1">
          <cell r="X1" t="str">
            <v>同比</v>
          </cell>
          <cell r="Y1" t="str">
            <v>4月</v>
          </cell>
        </row>
        <row r="2">
          <cell r="J2" t="str">
            <v>2024年</v>
          </cell>
          <cell r="K2" t="str">
            <v>2025年</v>
          </cell>
        </row>
        <row r="2">
          <cell r="M2" t="str">
            <v>2024年</v>
          </cell>
          <cell r="N2" t="str">
            <v>2025年</v>
          </cell>
        </row>
        <row r="2">
          <cell r="P2" t="str">
            <v>2024年</v>
          </cell>
          <cell r="Q2" t="str">
            <v>2025年</v>
          </cell>
        </row>
        <row r="2">
          <cell r="S2" t="str">
            <v>2024年</v>
          </cell>
          <cell r="T2" t="str">
            <v>2025年</v>
          </cell>
        </row>
        <row r="2">
          <cell r="V2" t="str">
            <v>2024年</v>
          </cell>
          <cell r="W2" t="str">
            <v>2025年</v>
          </cell>
        </row>
        <row r="2">
          <cell r="Y2" t="str">
            <v>2024年</v>
          </cell>
          <cell r="Z2" t="str">
            <v>2025年</v>
          </cell>
        </row>
        <row r="3">
          <cell r="C3" t="str">
            <v>长兴百诚天龙电器有限公司</v>
          </cell>
          <cell r="D3" t="str">
            <v>经销</v>
          </cell>
          <cell r="E3" t="str">
            <v>经销</v>
          </cell>
          <cell r="F3" t="str">
            <v>长兴县</v>
          </cell>
          <cell r="G3" t="str">
            <v>长兴县</v>
          </cell>
          <cell r="H3" t="str">
            <v>张正芳</v>
          </cell>
          <cell r="I3">
            <v>15</v>
          </cell>
        </row>
        <row r="3">
          <cell r="L3" t="e">
            <v>#DIV/0!</v>
          </cell>
        </row>
        <row r="3">
          <cell r="N3">
            <v>4405</v>
          </cell>
          <cell r="O3" t="e">
            <v>#DIV/0!</v>
          </cell>
          <cell r="P3">
            <v>0</v>
          </cell>
          <cell r="Q3">
            <v>4405</v>
          </cell>
          <cell r="R3" t="e">
            <v>#DIV/0!</v>
          </cell>
          <cell r="S3">
            <v>10579</v>
          </cell>
          <cell r="T3">
            <v>30000</v>
          </cell>
          <cell r="U3">
            <v>1.83580678703091</v>
          </cell>
          <cell r="V3">
            <v>10579</v>
          </cell>
          <cell r="W3">
            <v>34405</v>
          </cell>
          <cell r="X3">
            <v>2.25219775025995</v>
          </cell>
        </row>
        <row r="4">
          <cell r="C4" t="str">
            <v>南浔力恒电器商行</v>
          </cell>
          <cell r="D4" t="str">
            <v>加盟</v>
          </cell>
          <cell r="E4" t="str">
            <v>加盟</v>
          </cell>
          <cell r="F4" t="str">
            <v>南浔区</v>
          </cell>
          <cell r="G4" t="str">
            <v>南浔区</v>
          </cell>
          <cell r="H4" t="str">
            <v>陈中元</v>
          </cell>
        </row>
        <row r="4">
          <cell r="J4">
            <v>2000</v>
          </cell>
          <cell r="K4">
            <v>3500</v>
          </cell>
          <cell r="L4">
            <v>0.75</v>
          </cell>
        </row>
        <row r="4">
          <cell r="N4">
            <v>10000</v>
          </cell>
          <cell r="O4" t="e">
            <v>#DIV/0!</v>
          </cell>
          <cell r="P4">
            <v>2000</v>
          </cell>
          <cell r="Q4">
            <v>13500</v>
          </cell>
          <cell r="R4">
            <v>5.75</v>
          </cell>
        </row>
        <row r="4">
          <cell r="T4">
            <v>13017.06</v>
          </cell>
          <cell r="U4" t="e">
            <v>#DIV/0!</v>
          </cell>
          <cell r="V4">
            <v>2000</v>
          </cell>
          <cell r="W4">
            <v>26517.06</v>
          </cell>
          <cell r="X4">
            <v>12.25853</v>
          </cell>
          <cell r="Y4">
            <v>58500</v>
          </cell>
        </row>
        <row r="5">
          <cell r="C5" t="str">
            <v>湖州浙北大厦家电有限公司</v>
          </cell>
          <cell r="D5" t="str">
            <v>TOP渠道</v>
          </cell>
          <cell r="E5" t="str">
            <v>TOP渠道</v>
          </cell>
          <cell r="F5" t="str">
            <v>湖州市区</v>
          </cell>
          <cell r="G5" t="str">
            <v>市区</v>
          </cell>
          <cell r="H5" t="str">
            <v>翁昕</v>
          </cell>
          <cell r="I5">
            <v>600</v>
          </cell>
          <cell r="J5">
            <v>200000</v>
          </cell>
          <cell r="K5">
            <v>400000</v>
          </cell>
          <cell r="L5">
            <v>1</v>
          </cell>
          <cell r="M5">
            <v>300000</v>
          </cell>
          <cell r="N5">
            <v>300000</v>
          </cell>
          <cell r="O5">
            <v>0</v>
          </cell>
          <cell r="P5">
            <v>500000</v>
          </cell>
          <cell r="Q5">
            <v>700000</v>
          </cell>
          <cell r="R5">
            <v>0.4</v>
          </cell>
        </row>
        <row r="5">
          <cell r="T5">
            <v>210000</v>
          </cell>
          <cell r="U5" t="e">
            <v>#DIV/0!</v>
          </cell>
          <cell r="V5">
            <v>500000</v>
          </cell>
          <cell r="W5">
            <v>910000</v>
          </cell>
          <cell r="X5">
            <v>0.82</v>
          </cell>
          <cell r="Y5">
            <v>250000</v>
          </cell>
          <cell r="Z5">
            <v>400000</v>
          </cell>
        </row>
        <row r="6">
          <cell r="C6" t="str">
            <v>德清县武康镇佳通制冷设备商行</v>
          </cell>
          <cell r="D6" t="str">
            <v>经销</v>
          </cell>
          <cell r="E6" t="str">
            <v>经销</v>
          </cell>
          <cell r="F6" t="str">
            <v>德清县</v>
          </cell>
          <cell r="G6" t="str">
            <v>德清县</v>
          </cell>
          <cell r="H6" t="str">
            <v>陈中元</v>
          </cell>
        </row>
        <row r="6">
          <cell r="K6">
            <v>23268</v>
          </cell>
          <cell r="L6" t="e">
            <v>#DIV/0!</v>
          </cell>
        </row>
        <row r="6">
          <cell r="N6">
            <v>20000</v>
          </cell>
          <cell r="O6" t="e">
            <v>#DIV/0!</v>
          </cell>
          <cell r="P6">
            <v>0</v>
          </cell>
          <cell r="Q6">
            <v>43268</v>
          </cell>
          <cell r="R6" t="e">
            <v>#DIV/0!</v>
          </cell>
          <cell r="S6">
            <v>150040</v>
          </cell>
          <cell r="T6">
            <v>110886</v>
          </cell>
          <cell r="U6">
            <v>-0.260957078112503</v>
          </cell>
          <cell r="V6">
            <v>150040</v>
          </cell>
          <cell r="W6">
            <v>154154</v>
          </cell>
          <cell r="X6">
            <v>0.0274193548387096</v>
          </cell>
        </row>
        <row r="7">
          <cell r="C7" t="str">
            <v>湖州长兴之窗专卖店</v>
          </cell>
          <cell r="D7" t="str">
            <v>直营</v>
          </cell>
          <cell r="E7" t="str">
            <v>直营</v>
          </cell>
          <cell r="F7" t="str">
            <v>长兴县</v>
          </cell>
          <cell r="G7" t="str">
            <v>长兴县</v>
          </cell>
          <cell r="H7" t="str">
            <v>张正芳</v>
          </cell>
          <cell r="I7">
            <v>75</v>
          </cell>
          <cell r="J7">
            <v>68740</v>
          </cell>
          <cell r="K7">
            <v>41556</v>
          </cell>
          <cell r="L7">
            <v>-0.395461157986616</v>
          </cell>
          <cell r="M7">
            <v>17488</v>
          </cell>
          <cell r="N7">
            <v>23930</v>
          </cell>
          <cell r="O7">
            <v>0.368366880146386</v>
          </cell>
          <cell r="P7">
            <v>86228</v>
          </cell>
          <cell r="Q7">
            <v>65486</v>
          </cell>
          <cell r="R7">
            <v>-0.240548313772788</v>
          </cell>
          <cell r="S7">
            <v>42550</v>
          </cell>
          <cell r="T7">
            <v>28616</v>
          </cell>
          <cell r="U7">
            <v>-0.327473560517039</v>
          </cell>
          <cell r="V7">
            <v>128778</v>
          </cell>
          <cell r="W7">
            <v>94102</v>
          </cell>
          <cell r="X7">
            <v>-0.269269595738402</v>
          </cell>
          <cell r="Y7">
            <v>48590</v>
          </cell>
          <cell r="Z7">
            <v>5936</v>
          </cell>
        </row>
        <row r="8">
          <cell r="C8" t="str">
            <v>湖州金蝶零售</v>
          </cell>
          <cell r="D8" t="str">
            <v>零售</v>
          </cell>
          <cell r="E8" t="str">
            <v>零售</v>
          </cell>
          <cell r="F8" t="str">
            <v>湖州市区</v>
          </cell>
          <cell r="G8" t="str">
            <v>市区</v>
          </cell>
          <cell r="H8" t="str">
            <v>陈中元</v>
          </cell>
        </row>
        <row r="8">
          <cell r="J8">
            <v>216965.28</v>
          </cell>
          <cell r="K8">
            <v>4938</v>
          </cell>
          <cell r="L8">
            <v>-0.977240598127037</v>
          </cell>
          <cell r="M8">
            <v>59548</v>
          </cell>
        </row>
        <row r="8">
          <cell r="O8">
            <v>-1</v>
          </cell>
          <cell r="P8">
            <v>276513.28</v>
          </cell>
          <cell r="Q8">
            <v>4938</v>
          </cell>
          <cell r="R8">
            <v>-0.98214190652977</v>
          </cell>
          <cell r="S8">
            <v>97829.46</v>
          </cell>
          <cell r="T8">
            <v>2998</v>
          </cell>
          <cell r="U8">
            <v>-0.969354834423087</v>
          </cell>
          <cell r="V8">
            <v>374342.74</v>
          </cell>
          <cell r="W8">
            <v>7936</v>
          </cell>
          <cell r="X8">
            <v>-0.978800176544094</v>
          </cell>
          <cell r="Y8">
            <v>14652</v>
          </cell>
          <cell r="Z8">
            <v>2400</v>
          </cell>
        </row>
        <row r="9">
          <cell r="C9" t="str">
            <v>吴兴新丰豪厨卫热水器商店</v>
          </cell>
          <cell r="D9" t="str">
            <v>经销</v>
          </cell>
          <cell r="E9" t="str">
            <v>经销</v>
          </cell>
          <cell r="F9" t="str">
            <v>湖州市区</v>
          </cell>
          <cell r="G9" t="str">
            <v>吴兴区</v>
          </cell>
          <cell r="H9" t="str">
            <v>陈中元</v>
          </cell>
        </row>
        <row r="9">
          <cell r="J9">
            <v>4521</v>
          </cell>
        </row>
        <row r="9">
          <cell r="L9">
            <v>-1</v>
          </cell>
        </row>
        <row r="9">
          <cell r="O9" t="e">
            <v>#DIV/0!</v>
          </cell>
          <cell r="P9">
            <v>4521</v>
          </cell>
          <cell r="Q9">
            <v>0</v>
          </cell>
          <cell r="R9">
            <v>-1</v>
          </cell>
        </row>
        <row r="9">
          <cell r="U9" t="e">
            <v>#DIV/0!</v>
          </cell>
          <cell r="V9">
            <v>4521</v>
          </cell>
          <cell r="W9">
            <v>0</v>
          </cell>
          <cell r="X9">
            <v>-1</v>
          </cell>
          <cell r="Y9">
            <v>3305</v>
          </cell>
        </row>
        <row r="10">
          <cell r="C10" t="str">
            <v>湖州晓宇冷暖设备工程有限公司</v>
          </cell>
          <cell r="D10" t="str">
            <v>暖通</v>
          </cell>
          <cell r="E10" t="str">
            <v>暖通</v>
          </cell>
          <cell r="F10" t="str">
            <v>湖州市区</v>
          </cell>
          <cell r="G10" t="str">
            <v>吴兴区</v>
          </cell>
          <cell r="H10" t="str">
            <v>陈中元</v>
          </cell>
        </row>
        <row r="10">
          <cell r="J10">
            <v>18336</v>
          </cell>
          <cell r="K10">
            <v>790</v>
          </cell>
          <cell r="L10">
            <v>-0.956915357766143</v>
          </cell>
          <cell r="M10">
            <v>5885</v>
          </cell>
        </row>
        <row r="10">
          <cell r="O10">
            <v>-1</v>
          </cell>
          <cell r="P10">
            <v>24221</v>
          </cell>
          <cell r="Q10">
            <v>790</v>
          </cell>
          <cell r="R10">
            <v>-0.967383675323067</v>
          </cell>
          <cell r="S10">
            <v>9785</v>
          </cell>
          <cell r="T10">
            <v>9575</v>
          </cell>
          <cell r="U10">
            <v>-0.0214614205416453</v>
          </cell>
          <cell r="V10">
            <v>34006</v>
          </cell>
          <cell r="W10">
            <v>10365</v>
          </cell>
          <cell r="X10">
            <v>-0.695200846909369</v>
          </cell>
          <cell r="Y10">
            <v>20567</v>
          </cell>
        </row>
        <row r="11">
          <cell r="C11" t="str">
            <v>长兴银海电器有限公司</v>
          </cell>
          <cell r="D11" t="str">
            <v>经销</v>
          </cell>
          <cell r="E11" t="str">
            <v>经销</v>
          </cell>
          <cell r="F11" t="str">
            <v>长兴县</v>
          </cell>
          <cell r="G11" t="str">
            <v>长兴县</v>
          </cell>
          <cell r="H11" t="str">
            <v>张正芳</v>
          </cell>
        </row>
        <row r="11">
          <cell r="L11" t="e">
            <v>#DIV/0!</v>
          </cell>
        </row>
        <row r="11">
          <cell r="O11" t="e">
            <v>#DIV/0!</v>
          </cell>
          <cell r="P11">
            <v>0</v>
          </cell>
          <cell r="Q11">
            <v>0</v>
          </cell>
          <cell r="R11" t="e">
            <v>#DIV/0!</v>
          </cell>
          <cell r="S11">
            <v>2896.82</v>
          </cell>
        </row>
        <row r="11">
          <cell r="U11">
            <v>-1</v>
          </cell>
          <cell r="V11">
            <v>2896.82</v>
          </cell>
          <cell r="W11">
            <v>0</v>
          </cell>
          <cell r="X11">
            <v>-1</v>
          </cell>
        </row>
        <row r="12">
          <cell r="C12" t="str">
            <v>长兴小浙北家电</v>
          </cell>
          <cell r="D12" t="str">
            <v>经销</v>
          </cell>
          <cell r="E12" t="str">
            <v>经销</v>
          </cell>
          <cell r="F12" t="str">
            <v>长兴县</v>
          </cell>
          <cell r="G12" t="str">
            <v>长兴县</v>
          </cell>
          <cell r="H12" t="str">
            <v>张正芳</v>
          </cell>
          <cell r="I12">
            <v>15</v>
          </cell>
          <cell r="J12">
            <v>20000</v>
          </cell>
        </row>
        <row r="12">
          <cell r="L12">
            <v>-1</v>
          </cell>
        </row>
        <row r="12">
          <cell r="O12" t="e">
            <v>#DIV/0!</v>
          </cell>
          <cell r="P12">
            <v>20000</v>
          </cell>
          <cell r="Q12">
            <v>0</v>
          </cell>
          <cell r="R12">
            <v>-1</v>
          </cell>
          <cell r="S12">
            <v>30000</v>
          </cell>
        </row>
        <row r="12">
          <cell r="U12">
            <v>-1</v>
          </cell>
          <cell r="V12">
            <v>50000</v>
          </cell>
          <cell r="W12">
            <v>0</v>
          </cell>
          <cell r="X12">
            <v>-1</v>
          </cell>
        </row>
        <row r="13">
          <cell r="C13" t="str">
            <v>湖州东邦商贸有限公司</v>
          </cell>
          <cell r="D13" t="str">
            <v>经销</v>
          </cell>
          <cell r="E13" t="str">
            <v>经销</v>
          </cell>
          <cell r="F13" t="str">
            <v>长兴县</v>
          </cell>
          <cell r="G13" t="str">
            <v>长兴县</v>
          </cell>
          <cell r="H13" t="str">
            <v>张正芳</v>
          </cell>
          <cell r="I13">
            <v>30</v>
          </cell>
          <cell r="J13">
            <v>26400</v>
          </cell>
        </row>
        <row r="13">
          <cell r="L13">
            <v>-1</v>
          </cell>
        </row>
        <row r="13">
          <cell r="O13" t="e">
            <v>#DIV/0!</v>
          </cell>
          <cell r="P13">
            <v>26400</v>
          </cell>
          <cell r="Q13">
            <v>0</v>
          </cell>
          <cell r="R13">
            <v>-1</v>
          </cell>
          <cell r="S13">
            <v>72600</v>
          </cell>
        </row>
        <row r="13">
          <cell r="U13">
            <v>-1</v>
          </cell>
          <cell r="V13">
            <v>99000</v>
          </cell>
          <cell r="W13">
            <v>0</v>
          </cell>
          <cell r="X13">
            <v>-1</v>
          </cell>
        </row>
        <row r="14">
          <cell r="C14" t="str">
            <v>安吉方润家电有限公司</v>
          </cell>
          <cell r="D14" t="str">
            <v>经销</v>
          </cell>
          <cell r="E14" t="str">
            <v>经销</v>
          </cell>
          <cell r="F14" t="str">
            <v>安吉县</v>
          </cell>
          <cell r="G14" t="str">
            <v>安吉县</v>
          </cell>
          <cell r="H14" t="str">
            <v>陈中元</v>
          </cell>
        </row>
        <row r="14">
          <cell r="J14">
            <v>3600</v>
          </cell>
        </row>
        <row r="14">
          <cell r="L14">
            <v>-1</v>
          </cell>
        </row>
        <row r="14">
          <cell r="O14" t="e">
            <v>#DIV/0!</v>
          </cell>
          <cell r="P14">
            <v>3600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3600</v>
          </cell>
          <cell r="W14">
            <v>0</v>
          </cell>
          <cell r="X14">
            <v>-1</v>
          </cell>
        </row>
        <row r="15">
          <cell r="C15" t="str">
            <v>湖州魁联电器有限公司</v>
          </cell>
          <cell r="D15" t="str">
            <v>经销</v>
          </cell>
          <cell r="E15" t="str">
            <v>经销</v>
          </cell>
          <cell r="F15" t="str">
            <v>长兴县</v>
          </cell>
          <cell r="G15" t="str">
            <v>长兴县</v>
          </cell>
          <cell r="H15" t="str">
            <v>张正芳</v>
          </cell>
        </row>
        <row r="15">
          <cell r="L15" t="e">
            <v>#DIV/0!</v>
          </cell>
        </row>
        <row r="15">
          <cell r="O15" t="e">
            <v>#DIV/0!</v>
          </cell>
          <cell r="P15">
            <v>0</v>
          </cell>
          <cell r="Q15">
            <v>0</v>
          </cell>
          <cell r="R15" t="e">
            <v>#DIV/0!</v>
          </cell>
        </row>
        <row r="15">
          <cell r="U15" t="e">
            <v>#DIV/0!</v>
          </cell>
          <cell r="V15">
            <v>0</v>
          </cell>
          <cell r="W15">
            <v>0</v>
          </cell>
          <cell r="X15" t="e">
            <v>#DIV/0!</v>
          </cell>
        </row>
        <row r="16">
          <cell r="C16" t="str">
            <v>湖州菱通冷暖设备有限公司</v>
          </cell>
          <cell r="D16" t="str">
            <v>暖通</v>
          </cell>
          <cell r="E16" t="str">
            <v>暖通</v>
          </cell>
          <cell r="F16" t="str">
            <v>湖州市区</v>
          </cell>
          <cell r="G16" t="str">
            <v>吴兴区</v>
          </cell>
          <cell r="H16" t="str">
            <v>陈中元</v>
          </cell>
        </row>
        <row r="16">
          <cell r="J16">
            <v>3107</v>
          </cell>
        </row>
        <row r="16">
          <cell r="L16">
            <v>-1</v>
          </cell>
        </row>
        <row r="16">
          <cell r="O16" t="e">
            <v>#DIV/0!</v>
          </cell>
          <cell r="P16">
            <v>3107</v>
          </cell>
          <cell r="Q16">
            <v>0</v>
          </cell>
          <cell r="R16">
            <v>-1</v>
          </cell>
        </row>
        <row r="16">
          <cell r="U16" t="e">
            <v>#DIV/0!</v>
          </cell>
          <cell r="V16">
            <v>3107</v>
          </cell>
          <cell r="W16">
            <v>0</v>
          </cell>
          <cell r="X16">
            <v>-1</v>
          </cell>
          <cell r="Y16">
            <v>4335</v>
          </cell>
        </row>
        <row r="17">
          <cell r="C17" t="str">
            <v>长兴纵跃机电有限公司</v>
          </cell>
          <cell r="D17" t="str">
            <v>经销</v>
          </cell>
          <cell r="E17" t="str">
            <v>经销</v>
          </cell>
          <cell r="F17" t="str">
            <v>长兴县</v>
          </cell>
          <cell r="G17" t="str">
            <v>长兴县</v>
          </cell>
          <cell r="H17" t="str">
            <v>张正芳</v>
          </cell>
        </row>
        <row r="17">
          <cell r="J17">
            <v>4789</v>
          </cell>
        </row>
        <row r="17">
          <cell r="L17">
            <v>-1</v>
          </cell>
        </row>
        <row r="17">
          <cell r="O17" t="e">
            <v>#DIV/0!</v>
          </cell>
          <cell r="P17">
            <v>4789</v>
          </cell>
          <cell r="Q17">
            <v>0</v>
          </cell>
          <cell r="R17">
            <v>-1</v>
          </cell>
          <cell r="S17">
            <v>7800</v>
          </cell>
        </row>
        <row r="17">
          <cell r="U17">
            <v>-1</v>
          </cell>
          <cell r="V17">
            <v>12589</v>
          </cell>
          <cell r="W17">
            <v>0</v>
          </cell>
          <cell r="X17">
            <v>-1</v>
          </cell>
        </row>
        <row r="18">
          <cell r="C18" t="str">
            <v>湖州浙北网格家电有限公司</v>
          </cell>
          <cell r="D18" t="str">
            <v>经销</v>
          </cell>
          <cell r="E18" t="str">
            <v>经销</v>
          </cell>
          <cell r="F18" t="str">
            <v>湖州市区</v>
          </cell>
          <cell r="G18" t="str">
            <v>市区</v>
          </cell>
          <cell r="H18" t="str">
            <v>翁昕</v>
          </cell>
        </row>
        <row r="18">
          <cell r="J18">
            <v>10000</v>
          </cell>
        </row>
        <row r="18">
          <cell r="L18">
            <v>-1</v>
          </cell>
        </row>
        <row r="18">
          <cell r="N18">
            <v>30820</v>
          </cell>
          <cell r="O18" t="e">
            <v>#DIV/0!</v>
          </cell>
          <cell r="P18">
            <v>10000</v>
          </cell>
          <cell r="Q18">
            <v>30820</v>
          </cell>
          <cell r="R18">
            <v>2.082</v>
          </cell>
        </row>
        <row r="18">
          <cell r="T18">
            <v>9744</v>
          </cell>
          <cell r="U18" t="e">
            <v>#DIV/0!</v>
          </cell>
          <cell r="V18">
            <v>10000</v>
          </cell>
          <cell r="W18">
            <v>40564</v>
          </cell>
          <cell r="X18">
            <v>3.0564</v>
          </cell>
        </row>
        <row r="19">
          <cell r="C19" t="str">
            <v>湖州乐曜贸易有限公司</v>
          </cell>
          <cell r="D19" t="str">
            <v>经销</v>
          </cell>
          <cell r="E19" t="str">
            <v>经销</v>
          </cell>
          <cell r="F19" t="str">
            <v>湖州市区</v>
          </cell>
          <cell r="G19" t="str">
            <v>市区</v>
          </cell>
          <cell r="H19" t="str">
            <v>陈中元</v>
          </cell>
        </row>
        <row r="19">
          <cell r="L19" t="e">
            <v>#DIV/0!</v>
          </cell>
        </row>
        <row r="19">
          <cell r="O19" t="e">
            <v>#DIV/0!</v>
          </cell>
          <cell r="P19">
            <v>0</v>
          </cell>
          <cell r="Q19">
            <v>0</v>
          </cell>
          <cell r="R19" t="e">
            <v>#DIV/0!</v>
          </cell>
          <cell r="S19">
            <v>2962</v>
          </cell>
        </row>
        <row r="19">
          <cell r="U19">
            <v>-1</v>
          </cell>
          <cell r="V19">
            <v>2962</v>
          </cell>
          <cell r="W19">
            <v>0</v>
          </cell>
          <cell r="X19">
            <v>-1</v>
          </cell>
        </row>
        <row r="20">
          <cell r="C20" t="str">
            <v>苏宁易购集团股份有限公司苏宁采购中心</v>
          </cell>
          <cell r="D20" t="str">
            <v>经销</v>
          </cell>
          <cell r="E20" t="str">
            <v>经销</v>
          </cell>
          <cell r="F20" t="str">
            <v>湖州市区</v>
          </cell>
          <cell r="G20" t="str">
            <v>市区</v>
          </cell>
          <cell r="H20" t="str">
            <v>陈中元</v>
          </cell>
        </row>
        <row r="20">
          <cell r="L20" t="e">
            <v>#DIV/0!</v>
          </cell>
        </row>
        <row r="20">
          <cell r="N20">
            <v>1736.04</v>
          </cell>
          <cell r="O20" t="e">
            <v>#DIV/0!</v>
          </cell>
          <cell r="P20">
            <v>0</v>
          </cell>
          <cell r="Q20">
            <v>1736.04</v>
          </cell>
          <cell r="R20" t="e">
            <v>#DIV/0!</v>
          </cell>
        </row>
        <row r="20">
          <cell r="U20" t="e">
            <v>#DIV/0!</v>
          </cell>
          <cell r="V20">
            <v>0</v>
          </cell>
          <cell r="W20">
            <v>1736.04</v>
          </cell>
          <cell r="X20" t="e">
            <v>#DIV/0!</v>
          </cell>
        </row>
        <row r="20">
          <cell r="Z20">
            <v>3472.08</v>
          </cell>
        </row>
        <row r="21">
          <cell r="C21" t="str">
            <v>长兴县浙北家用电器有限公司</v>
          </cell>
          <cell r="D21" t="str">
            <v>经销</v>
          </cell>
          <cell r="E21" t="str">
            <v>经销</v>
          </cell>
          <cell r="F21" t="str">
            <v>长兴县</v>
          </cell>
          <cell r="G21" t="str">
            <v>长兴县</v>
          </cell>
          <cell r="H21" t="str">
            <v>张正芳</v>
          </cell>
        </row>
        <row r="21">
          <cell r="L21" t="e">
            <v>#DIV/0!</v>
          </cell>
        </row>
        <row r="21">
          <cell r="O21" t="e">
            <v>#DIV/0!</v>
          </cell>
          <cell r="P21">
            <v>0</v>
          </cell>
          <cell r="Q21">
            <v>0</v>
          </cell>
          <cell r="R21" t="e">
            <v>#DIV/0!</v>
          </cell>
        </row>
        <row r="21">
          <cell r="U21" t="e">
            <v>#DIV/0!</v>
          </cell>
          <cell r="V21">
            <v>0</v>
          </cell>
          <cell r="W21">
            <v>0</v>
          </cell>
          <cell r="X21" t="e">
            <v>#DIV/0!</v>
          </cell>
        </row>
        <row r="22">
          <cell r="C22" t="str">
            <v>汇总</v>
          </cell>
        </row>
        <row r="22">
          <cell r="I22">
            <v>735</v>
          </cell>
          <cell r="J22">
            <v>578458.28</v>
          </cell>
          <cell r="K22">
            <v>474052</v>
          </cell>
          <cell r="L22">
            <v>-0.180490596486924</v>
          </cell>
          <cell r="M22">
            <v>382921</v>
          </cell>
          <cell r="N22">
            <v>390891.04</v>
          </cell>
          <cell r="O22">
            <v>0.0208137971017519</v>
          </cell>
          <cell r="P22">
            <v>961379.28</v>
          </cell>
          <cell r="Q22">
            <v>864943.04</v>
          </cell>
          <cell r="R22">
            <v>-0.100310295849105</v>
          </cell>
          <cell r="S22">
            <v>427042.28</v>
          </cell>
          <cell r="T22">
            <v>414836.06</v>
          </cell>
          <cell r="U22">
            <v>-0.0285831651142365</v>
          </cell>
          <cell r="V22">
            <v>1388421.56</v>
          </cell>
          <cell r="W22">
            <v>1279779.1</v>
          </cell>
          <cell r="X22">
            <v>-0.0782489001395225</v>
          </cell>
          <cell r="Y22">
            <v>399949</v>
          </cell>
          <cell r="Z22">
            <v>411808.08</v>
          </cell>
        </row>
      </sheetData>
      <sheetData sheetId="4"/>
      <sheetData sheetId="5">
        <row r="1">
          <cell r="C1" t="str">
            <v>系统名称</v>
          </cell>
          <cell r="D1" t="str">
            <v>渠道</v>
          </cell>
          <cell r="E1" t="str">
            <v>渠道细分</v>
          </cell>
          <cell r="F1" t="str">
            <v>大区</v>
          </cell>
          <cell r="G1" t="str">
            <v>市/区/县</v>
          </cell>
          <cell r="H1" t="str">
            <v>业务员</v>
          </cell>
          <cell r="I1" t="str">
            <v>合同任务</v>
          </cell>
          <cell r="J1" t="str">
            <v>1月</v>
          </cell>
        </row>
        <row r="1">
          <cell r="L1" t="str">
            <v>同比</v>
          </cell>
          <cell r="M1" t="str">
            <v>2月</v>
          </cell>
        </row>
        <row r="1">
          <cell r="O1" t="str">
            <v>同比</v>
          </cell>
          <cell r="P1" t="str">
            <v>1-2月</v>
          </cell>
        </row>
        <row r="1">
          <cell r="R1" t="str">
            <v>同比</v>
          </cell>
          <cell r="S1" t="str">
            <v>3月</v>
          </cell>
        </row>
        <row r="1">
          <cell r="U1" t="str">
            <v>同比</v>
          </cell>
          <cell r="V1" t="str">
            <v>1-3月</v>
          </cell>
        </row>
        <row r="1">
          <cell r="X1" t="str">
            <v>同比</v>
          </cell>
          <cell r="Y1" t="str">
            <v>4月</v>
          </cell>
        </row>
        <row r="2">
          <cell r="J2" t="str">
            <v>2024年</v>
          </cell>
          <cell r="K2" t="str">
            <v>2025年</v>
          </cell>
        </row>
        <row r="2">
          <cell r="M2" t="str">
            <v>2024年</v>
          </cell>
          <cell r="N2" t="str">
            <v>2025年</v>
          </cell>
        </row>
        <row r="2">
          <cell r="P2" t="str">
            <v>2024年</v>
          </cell>
          <cell r="Q2" t="str">
            <v>2025年</v>
          </cell>
        </row>
        <row r="2">
          <cell r="S2" t="str">
            <v>2024年</v>
          </cell>
          <cell r="T2" t="str">
            <v>2025年</v>
          </cell>
        </row>
        <row r="2">
          <cell r="V2" t="str">
            <v>2024年</v>
          </cell>
          <cell r="W2" t="str">
            <v>2025年</v>
          </cell>
        </row>
        <row r="2">
          <cell r="Y2" t="str">
            <v>2024年</v>
          </cell>
          <cell r="Z2" t="str">
            <v>2025年</v>
          </cell>
        </row>
        <row r="3">
          <cell r="C3" t="str">
            <v>义乌市荣昌家电维修部</v>
          </cell>
          <cell r="D3" t="str">
            <v>加盟</v>
          </cell>
          <cell r="E3" t="str">
            <v>加盟</v>
          </cell>
          <cell r="F3" t="str">
            <v>义乌市</v>
          </cell>
          <cell r="G3" t="str">
            <v>义乌市</v>
          </cell>
          <cell r="H3" t="str">
            <v>张韵威</v>
          </cell>
          <cell r="I3">
            <v>220</v>
          </cell>
          <cell r="J3">
            <v>365000</v>
          </cell>
          <cell r="K3">
            <v>84500</v>
          </cell>
          <cell r="L3">
            <v>-0.768493150684932</v>
          </cell>
          <cell r="M3">
            <v>30000</v>
          </cell>
          <cell r="N3">
            <v>36876</v>
          </cell>
          <cell r="O3">
            <v>0.2292</v>
          </cell>
          <cell r="P3">
            <v>395000</v>
          </cell>
          <cell r="Q3">
            <v>121376</v>
          </cell>
          <cell r="R3">
            <v>-0.692718987341772</v>
          </cell>
          <cell r="S3">
            <v>148000</v>
          </cell>
          <cell r="T3">
            <v>114573.54</v>
          </cell>
          <cell r="U3">
            <v>-0.225854459459459</v>
          </cell>
          <cell r="V3">
            <v>543000</v>
          </cell>
          <cell r="W3">
            <v>235949.54</v>
          </cell>
          <cell r="X3">
            <v>-0.565470460405157</v>
          </cell>
          <cell r="Y3">
            <v>115000</v>
          </cell>
          <cell r="Z3">
            <v>156103</v>
          </cell>
        </row>
        <row r="4">
          <cell r="C4" t="str">
            <v>浙江普农家电有限公司</v>
          </cell>
          <cell r="D4" t="str">
            <v>TOP渠道</v>
          </cell>
          <cell r="E4" t="str">
            <v>TOP渠道</v>
          </cell>
          <cell r="F4" t="str">
            <v>衢州市区</v>
          </cell>
          <cell r="G4" t="str">
            <v>衢州市</v>
          </cell>
          <cell r="H4" t="str">
            <v>江雯</v>
          </cell>
          <cell r="I4">
            <v>200</v>
          </cell>
          <cell r="J4">
            <v>203140.4</v>
          </cell>
          <cell r="K4">
            <v>211568</v>
          </cell>
          <cell r="L4">
            <v>0.0414865777560742</v>
          </cell>
          <cell r="M4">
            <v>108325</v>
          </cell>
          <cell r="N4">
            <v>126251</v>
          </cell>
          <cell r="O4">
            <v>0.165483498730672</v>
          </cell>
          <cell r="P4">
            <v>311465.4</v>
          </cell>
          <cell r="Q4">
            <v>337819</v>
          </cell>
          <cell r="R4">
            <v>0.0846116454668799</v>
          </cell>
          <cell r="S4">
            <v>64094</v>
          </cell>
          <cell r="T4">
            <v>164562</v>
          </cell>
          <cell r="U4">
            <v>1.56751021936531</v>
          </cell>
          <cell r="V4">
            <v>375559.4</v>
          </cell>
          <cell r="W4">
            <v>502381</v>
          </cell>
          <cell r="X4">
            <v>0.33768719408967</v>
          </cell>
          <cell r="Y4">
            <v>66218</v>
          </cell>
          <cell r="Z4">
            <v>103867</v>
          </cell>
        </row>
        <row r="5">
          <cell r="C5" t="str">
            <v>金华五星</v>
          </cell>
          <cell r="D5" t="str">
            <v>五星</v>
          </cell>
          <cell r="E5" t="str">
            <v>五星</v>
          </cell>
          <cell r="F5" t="str">
            <v>金华市区</v>
          </cell>
          <cell r="G5" t="str">
            <v>市区</v>
          </cell>
          <cell r="H5" t="str">
            <v>潘杏</v>
          </cell>
        </row>
        <row r="5">
          <cell r="J5">
            <v>97567.31</v>
          </cell>
          <cell r="K5">
            <v>170180.19</v>
          </cell>
          <cell r="L5">
            <v>0.744233698766523</v>
          </cell>
        </row>
        <row r="5">
          <cell r="N5">
            <v>33500.8</v>
          </cell>
          <cell r="O5" t="e">
            <v>#DIV/0!</v>
          </cell>
          <cell r="P5">
            <v>97567.31</v>
          </cell>
          <cell r="Q5">
            <v>203680.99</v>
          </cell>
          <cell r="R5">
            <v>1.08759460520127</v>
          </cell>
        </row>
        <row r="5">
          <cell r="T5">
            <v>337846.67</v>
          </cell>
          <cell r="U5" t="e">
            <v>#DIV/0!</v>
          </cell>
          <cell r="V5">
            <v>97567.31</v>
          </cell>
          <cell r="W5">
            <v>541527.66</v>
          </cell>
          <cell r="X5">
            <v>4.55029814801699</v>
          </cell>
          <cell r="Y5">
            <v>240583.45</v>
          </cell>
          <cell r="Z5">
            <v>244513.1</v>
          </cell>
        </row>
        <row r="6">
          <cell r="C6" t="str">
            <v>（新）金华八一南街专卖店</v>
          </cell>
          <cell r="D6" t="str">
            <v>直营</v>
          </cell>
          <cell r="E6" t="str">
            <v>直营</v>
          </cell>
          <cell r="F6" t="str">
            <v>金华市区</v>
          </cell>
          <cell r="G6" t="str">
            <v>婺城区</v>
          </cell>
          <cell r="H6" t="str">
            <v>姜卫</v>
          </cell>
        </row>
        <row r="6">
          <cell r="J6">
            <v>17958</v>
          </cell>
        </row>
        <row r="6">
          <cell r="L6">
            <v>-1</v>
          </cell>
          <cell r="M6">
            <v>3966</v>
          </cell>
        </row>
        <row r="6">
          <cell r="O6">
            <v>-1</v>
          </cell>
          <cell r="P6">
            <v>21924</v>
          </cell>
          <cell r="Q6">
            <v>0</v>
          </cell>
          <cell r="R6">
            <v>-1</v>
          </cell>
          <cell r="S6">
            <v>6800</v>
          </cell>
        </row>
        <row r="6">
          <cell r="U6">
            <v>-1</v>
          </cell>
          <cell r="V6">
            <v>28724</v>
          </cell>
          <cell r="W6">
            <v>0</v>
          </cell>
          <cell r="X6">
            <v>-1</v>
          </cell>
        </row>
        <row r="7">
          <cell r="C7" t="str">
            <v>衢州市柯城汇鑫家用电器商行</v>
          </cell>
          <cell r="D7" t="str">
            <v>加盟</v>
          </cell>
          <cell r="E7" t="str">
            <v>加盟</v>
          </cell>
          <cell r="F7" t="str">
            <v>衢州市区</v>
          </cell>
          <cell r="G7" t="str">
            <v>柯城区</v>
          </cell>
          <cell r="H7" t="str">
            <v>江雯</v>
          </cell>
          <cell r="I7">
            <v>80</v>
          </cell>
          <cell r="J7">
            <v>25400</v>
          </cell>
          <cell r="K7">
            <v>30730</v>
          </cell>
          <cell r="L7">
            <v>0.209842519685039</v>
          </cell>
          <cell r="M7">
            <v>10400</v>
          </cell>
        </row>
        <row r="7">
          <cell r="O7">
            <v>-1</v>
          </cell>
          <cell r="P7">
            <v>35800</v>
          </cell>
          <cell r="Q7">
            <v>30730</v>
          </cell>
          <cell r="R7">
            <v>-0.141620111731844</v>
          </cell>
          <cell r="S7">
            <v>30900</v>
          </cell>
          <cell r="T7">
            <v>31852</v>
          </cell>
          <cell r="U7">
            <v>0.0308090614886731</v>
          </cell>
          <cell r="V7">
            <v>66700</v>
          </cell>
          <cell r="W7">
            <v>62582</v>
          </cell>
          <cell r="X7">
            <v>-0.0617391304347826</v>
          </cell>
          <cell r="Y7">
            <v>32900</v>
          </cell>
          <cell r="Z7">
            <v>39671</v>
          </cell>
        </row>
        <row r="8">
          <cell r="C8" t="str">
            <v>东阳市国美电器有限公司</v>
          </cell>
          <cell r="D8" t="str">
            <v>经销</v>
          </cell>
          <cell r="E8" t="str">
            <v>经销</v>
          </cell>
          <cell r="F8" t="str">
            <v>东阳市</v>
          </cell>
          <cell r="G8" t="str">
            <v>东阳市</v>
          </cell>
          <cell r="H8" t="str">
            <v>张韵威</v>
          </cell>
          <cell r="I8">
            <v>20</v>
          </cell>
          <cell r="J8">
            <v>25000</v>
          </cell>
          <cell r="K8">
            <v>4298</v>
          </cell>
          <cell r="L8">
            <v>-0.82808</v>
          </cell>
        </row>
        <row r="8">
          <cell r="N8">
            <v>5186</v>
          </cell>
          <cell r="O8" t="e">
            <v>#DIV/0!</v>
          </cell>
          <cell r="P8">
            <v>25000</v>
          </cell>
          <cell r="Q8">
            <v>9484</v>
          </cell>
          <cell r="R8">
            <v>-0.62064</v>
          </cell>
        </row>
        <row r="8">
          <cell r="U8" t="e">
            <v>#DIV/0!</v>
          </cell>
          <cell r="V8">
            <v>25000</v>
          </cell>
          <cell r="W8">
            <v>9484</v>
          </cell>
          <cell r="X8">
            <v>-0.62064</v>
          </cell>
          <cell r="Y8">
            <v>800</v>
          </cell>
          <cell r="Z8">
            <v>2766</v>
          </cell>
        </row>
        <row r="9">
          <cell r="C9" t="str">
            <v>兰溪市福祥家电经营部</v>
          </cell>
          <cell r="D9" t="str">
            <v>加盟</v>
          </cell>
          <cell r="E9" t="str">
            <v>加盟</v>
          </cell>
          <cell r="F9" t="str">
            <v>兰溪市</v>
          </cell>
          <cell r="G9" t="str">
            <v>兰溪市</v>
          </cell>
          <cell r="H9" t="str">
            <v>潘杏</v>
          </cell>
        </row>
        <row r="9">
          <cell r="J9">
            <v>149023</v>
          </cell>
        </row>
        <row r="9">
          <cell r="L9">
            <v>-1</v>
          </cell>
          <cell r="M9">
            <v>3015</v>
          </cell>
        </row>
        <row r="9">
          <cell r="O9">
            <v>-1</v>
          </cell>
          <cell r="P9">
            <v>152038</v>
          </cell>
          <cell r="Q9">
            <v>0</v>
          </cell>
          <cell r="R9">
            <v>-1</v>
          </cell>
          <cell r="S9">
            <v>19327</v>
          </cell>
        </row>
        <row r="9">
          <cell r="U9">
            <v>-1</v>
          </cell>
          <cell r="V9">
            <v>171365</v>
          </cell>
          <cell r="W9">
            <v>0</v>
          </cell>
          <cell r="X9">
            <v>-1</v>
          </cell>
          <cell r="Y9">
            <v>13493</v>
          </cell>
        </row>
        <row r="10">
          <cell r="C10" t="str">
            <v>金华龙腾建材市场专卖店</v>
          </cell>
          <cell r="D10" t="str">
            <v>直营</v>
          </cell>
          <cell r="E10" t="str">
            <v>直营</v>
          </cell>
          <cell r="F10" t="str">
            <v>金华市区</v>
          </cell>
          <cell r="G10" t="str">
            <v>婺城区</v>
          </cell>
          <cell r="H10" t="str">
            <v>姜卫</v>
          </cell>
          <cell r="I10">
            <v>200</v>
          </cell>
          <cell r="J10">
            <v>84544</v>
          </cell>
          <cell r="K10">
            <v>270657</v>
          </cell>
          <cell r="L10">
            <v>2.2013744322483</v>
          </cell>
          <cell r="M10">
            <v>15592</v>
          </cell>
          <cell r="N10">
            <v>114255</v>
          </cell>
          <cell r="O10">
            <v>6.32779630579785</v>
          </cell>
          <cell r="P10">
            <v>100136</v>
          </cell>
          <cell r="Q10">
            <v>384912</v>
          </cell>
          <cell r="R10">
            <v>2.84389230646321</v>
          </cell>
          <cell r="S10">
            <v>40421</v>
          </cell>
          <cell r="T10">
            <v>272412</v>
          </cell>
          <cell r="U10">
            <v>5.73936815021895</v>
          </cell>
          <cell r="V10">
            <v>140557</v>
          </cell>
          <cell r="W10">
            <v>657324</v>
          </cell>
          <cell r="X10">
            <v>3.67656537917002</v>
          </cell>
          <cell r="Y10">
            <v>95170</v>
          </cell>
          <cell r="Z10">
            <v>144687</v>
          </cell>
        </row>
        <row r="11">
          <cell r="C11" t="str">
            <v>兰溪市小严家电经营部</v>
          </cell>
          <cell r="D11" t="str">
            <v>经销</v>
          </cell>
          <cell r="E11" t="str">
            <v>经销</v>
          </cell>
          <cell r="F11" t="str">
            <v>兰溪市</v>
          </cell>
          <cell r="G11" t="str">
            <v>兰溪市</v>
          </cell>
          <cell r="H11" t="str">
            <v>潘杏</v>
          </cell>
          <cell r="I11">
            <v>30</v>
          </cell>
          <cell r="J11">
            <v>30425</v>
          </cell>
          <cell r="K11">
            <v>21359</v>
          </cell>
          <cell r="L11">
            <v>-0.29797863599014</v>
          </cell>
          <cell r="M11">
            <v>10451</v>
          </cell>
          <cell r="N11">
            <v>8805</v>
          </cell>
          <cell r="O11">
            <v>-0.157496890249737</v>
          </cell>
          <cell r="P11">
            <v>40876</v>
          </cell>
          <cell r="Q11">
            <v>30164</v>
          </cell>
          <cell r="R11">
            <v>-0.262060867012428</v>
          </cell>
        </row>
        <row r="11">
          <cell r="T11">
            <v>3203</v>
          </cell>
          <cell r="U11" t="e">
            <v>#DIV/0!</v>
          </cell>
          <cell r="V11">
            <v>40876</v>
          </cell>
          <cell r="W11">
            <v>33367</v>
          </cell>
          <cell r="X11">
            <v>-0.183701927781583</v>
          </cell>
          <cell r="Y11">
            <v>7276</v>
          </cell>
          <cell r="Z11">
            <v>1479</v>
          </cell>
        </row>
        <row r="12">
          <cell r="C12" t="str">
            <v>金华金蝶零售</v>
          </cell>
          <cell r="D12" t="str">
            <v>零售</v>
          </cell>
          <cell r="E12" t="str">
            <v>零售</v>
          </cell>
          <cell r="F12" t="str">
            <v>金华市区</v>
          </cell>
          <cell r="G12" t="str">
            <v>市区</v>
          </cell>
          <cell r="H12" t="str">
            <v>姜卫</v>
          </cell>
        </row>
        <row r="12">
          <cell r="J12">
            <v>3850</v>
          </cell>
          <cell r="K12">
            <v>4018</v>
          </cell>
          <cell r="L12">
            <v>0.0436363636363637</v>
          </cell>
        </row>
        <row r="12">
          <cell r="O12" t="e">
            <v>#DIV/0!</v>
          </cell>
          <cell r="P12">
            <v>3850</v>
          </cell>
          <cell r="Q12">
            <v>4018</v>
          </cell>
          <cell r="R12">
            <v>0.0436363636363637</v>
          </cell>
          <cell r="S12">
            <v>8800</v>
          </cell>
          <cell r="T12">
            <v>6295</v>
          </cell>
          <cell r="U12">
            <v>-0.284659090909091</v>
          </cell>
          <cell r="V12">
            <v>12650</v>
          </cell>
          <cell r="W12">
            <v>10313</v>
          </cell>
          <cell r="X12">
            <v>-0.184743083003953</v>
          </cell>
        </row>
        <row r="12">
          <cell r="Z12">
            <v>12000</v>
          </cell>
        </row>
        <row r="13">
          <cell r="C13" t="str">
            <v>磐安县洪昌家电商场</v>
          </cell>
          <cell r="D13" t="str">
            <v>经销</v>
          </cell>
          <cell r="E13" t="str">
            <v>经销</v>
          </cell>
          <cell r="F13" t="str">
            <v>磐安县</v>
          </cell>
          <cell r="G13" t="str">
            <v>磐安县</v>
          </cell>
          <cell r="H13" t="str">
            <v>张韵威</v>
          </cell>
        </row>
        <row r="13">
          <cell r="J13">
            <v>6649</v>
          </cell>
        </row>
        <row r="13">
          <cell r="L13">
            <v>-1</v>
          </cell>
        </row>
        <row r="13">
          <cell r="O13" t="e">
            <v>#DIV/0!</v>
          </cell>
          <cell r="P13">
            <v>6649</v>
          </cell>
          <cell r="Q13">
            <v>0</v>
          </cell>
          <cell r="R13">
            <v>-1</v>
          </cell>
        </row>
        <row r="13">
          <cell r="U13" t="e">
            <v>#DIV/0!</v>
          </cell>
          <cell r="V13">
            <v>6649</v>
          </cell>
          <cell r="W13">
            <v>0</v>
          </cell>
          <cell r="X13">
            <v>-1</v>
          </cell>
        </row>
        <row r="14">
          <cell r="C14" t="str">
            <v>江山硕邦家电有限公司</v>
          </cell>
          <cell r="D14" t="str">
            <v>经销</v>
          </cell>
          <cell r="E14" t="str">
            <v>经销</v>
          </cell>
          <cell r="F14" t="str">
            <v>江山市</v>
          </cell>
          <cell r="G14" t="str">
            <v>江山市</v>
          </cell>
          <cell r="H14" t="str">
            <v>江雯</v>
          </cell>
        </row>
        <row r="14">
          <cell r="L14" t="e">
            <v>#DIV/0!</v>
          </cell>
          <cell r="M14">
            <v>19218</v>
          </cell>
        </row>
        <row r="14">
          <cell r="O14">
            <v>-1</v>
          </cell>
          <cell r="P14">
            <v>19218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19218</v>
          </cell>
          <cell r="W14">
            <v>0</v>
          </cell>
          <cell r="X14">
            <v>-1</v>
          </cell>
        </row>
        <row r="15">
          <cell r="C15" t="str">
            <v>义乌艾欧机电设备有限公司</v>
          </cell>
          <cell r="D15" t="str">
            <v>加盟</v>
          </cell>
          <cell r="E15" t="str">
            <v>加盟</v>
          </cell>
          <cell r="F15" t="str">
            <v>义乌市</v>
          </cell>
          <cell r="G15" t="str">
            <v>义乌市</v>
          </cell>
          <cell r="H15" t="str">
            <v>张韵威</v>
          </cell>
        </row>
        <row r="15">
          <cell r="J15">
            <v>95208</v>
          </cell>
        </row>
        <row r="15">
          <cell r="L15">
            <v>-1</v>
          </cell>
          <cell r="M15">
            <v>23568</v>
          </cell>
        </row>
        <row r="15">
          <cell r="O15">
            <v>-1</v>
          </cell>
          <cell r="P15">
            <v>118776</v>
          </cell>
          <cell r="Q15">
            <v>0</v>
          </cell>
          <cell r="R15">
            <v>-1</v>
          </cell>
          <cell r="S15">
            <v>27546</v>
          </cell>
        </row>
        <row r="15">
          <cell r="U15">
            <v>-1</v>
          </cell>
          <cell r="V15">
            <v>146322</v>
          </cell>
          <cell r="W15">
            <v>0</v>
          </cell>
          <cell r="X15">
            <v>-1</v>
          </cell>
          <cell r="Y15">
            <v>48756</v>
          </cell>
        </row>
        <row r="16">
          <cell r="C16" t="str">
            <v>东阳市大中商贸有限公司</v>
          </cell>
          <cell r="D16" t="str">
            <v>经销</v>
          </cell>
          <cell r="E16" t="str">
            <v>经销</v>
          </cell>
          <cell r="F16" t="str">
            <v>东阳市</v>
          </cell>
          <cell r="G16" t="str">
            <v>东阳市</v>
          </cell>
          <cell r="H16" t="str">
            <v>张韵威</v>
          </cell>
        </row>
        <row r="16">
          <cell r="J16">
            <v>1690</v>
          </cell>
        </row>
        <row r="16">
          <cell r="L16">
            <v>-1</v>
          </cell>
        </row>
        <row r="16">
          <cell r="O16" t="e">
            <v>#DIV/0!</v>
          </cell>
          <cell r="P16">
            <v>1690</v>
          </cell>
          <cell r="Q16">
            <v>0</v>
          </cell>
          <cell r="R16">
            <v>-1</v>
          </cell>
        </row>
        <row r="16">
          <cell r="U16" t="e">
            <v>#DIV/0!</v>
          </cell>
          <cell r="V16">
            <v>1690</v>
          </cell>
          <cell r="W16">
            <v>0</v>
          </cell>
          <cell r="X16">
            <v>-1</v>
          </cell>
          <cell r="Y16">
            <v>3375</v>
          </cell>
        </row>
        <row r="17">
          <cell r="C17" t="str">
            <v>金华市万普电器销售有限公司</v>
          </cell>
          <cell r="D17" t="str">
            <v>经销</v>
          </cell>
          <cell r="E17" t="str">
            <v>经销</v>
          </cell>
          <cell r="F17" t="str">
            <v>金华市区</v>
          </cell>
          <cell r="G17" t="str">
            <v>金东区</v>
          </cell>
          <cell r="H17" t="str">
            <v>潘杏</v>
          </cell>
        </row>
        <row r="17">
          <cell r="J17">
            <v>5412</v>
          </cell>
          <cell r="K17">
            <v>-8765</v>
          </cell>
          <cell r="L17">
            <v>-2.61954915003695</v>
          </cell>
          <cell r="M17">
            <v>729</v>
          </cell>
          <cell r="N17">
            <v>2310</v>
          </cell>
          <cell r="O17">
            <v>2.16872427983539</v>
          </cell>
          <cell r="P17">
            <v>6141</v>
          </cell>
          <cell r="Q17">
            <v>-6455</v>
          </cell>
          <cell r="R17">
            <v>-2.05113173750204</v>
          </cell>
          <cell r="S17">
            <v>20000</v>
          </cell>
          <cell r="T17">
            <v>5229</v>
          </cell>
          <cell r="U17">
            <v>-0.73855</v>
          </cell>
          <cell r="V17">
            <v>26141</v>
          </cell>
          <cell r="W17">
            <v>-1226</v>
          </cell>
          <cell r="X17">
            <v>-1.04689950652232</v>
          </cell>
        </row>
        <row r="18">
          <cell r="C18" t="str">
            <v>龙游博美电器有限公司</v>
          </cell>
          <cell r="D18" t="str">
            <v>经销</v>
          </cell>
          <cell r="E18" t="str">
            <v>经销</v>
          </cell>
          <cell r="F18" t="str">
            <v>龙游县</v>
          </cell>
          <cell r="G18" t="str">
            <v>龙游县</v>
          </cell>
          <cell r="H18" t="str">
            <v>江雯</v>
          </cell>
          <cell r="I18">
            <v>5</v>
          </cell>
        </row>
        <row r="18">
          <cell r="K18">
            <v>2310</v>
          </cell>
          <cell r="L18" t="e">
            <v>#DIV/0!</v>
          </cell>
        </row>
        <row r="18">
          <cell r="N18">
            <v>3302</v>
          </cell>
          <cell r="O18" t="e">
            <v>#DIV/0!</v>
          </cell>
          <cell r="P18">
            <v>0</v>
          </cell>
          <cell r="Q18">
            <v>5612</v>
          </cell>
          <cell r="R18" t="e">
            <v>#DIV/0!</v>
          </cell>
        </row>
        <row r="18">
          <cell r="U18" t="e">
            <v>#DIV/0!</v>
          </cell>
          <cell r="V18">
            <v>0</v>
          </cell>
          <cell r="W18">
            <v>5612</v>
          </cell>
          <cell r="X18" t="e">
            <v>#DIV/0!</v>
          </cell>
          <cell r="Y18">
            <v>2998</v>
          </cell>
        </row>
        <row r="19">
          <cell r="C19" t="str">
            <v>衢州众冠电器有限公司</v>
          </cell>
          <cell r="D19" t="str">
            <v>经销</v>
          </cell>
          <cell r="E19" t="str">
            <v>经销</v>
          </cell>
          <cell r="F19" t="str">
            <v>常山县</v>
          </cell>
          <cell r="G19" t="str">
            <v>常山县</v>
          </cell>
          <cell r="H19" t="str">
            <v>江雯</v>
          </cell>
          <cell r="I19">
            <v>30</v>
          </cell>
        </row>
        <row r="19">
          <cell r="L19" t="e">
            <v>#DIV/0!</v>
          </cell>
        </row>
        <row r="19">
          <cell r="O19" t="e">
            <v>#DIV/0!</v>
          </cell>
          <cell r="P19">
            <v>0</v>
          </cell>
          <cell r="Q19">
            <v>0</v>
          </cell>
          <cell r="R19" t="e">
            <v>#DIV/0!</v>
          </cell>
        </row>
        <row r="19">
          <cell r="U19" t="e">
            <v>#DIV/0!</v>
          </cell>
          <cell r="V19">
            <v>0</v>
          </cell>
          <cell r="W19">
            <v>0</v>
          </cell>
          <cell r="X19" t="e">
            <v>#DIV/0!</v>
          </cell>
          <cell r="Y19">
            <v>20000</v>
          </cell>
        </row>
        <row r="20">
          <cell r="C20" t="str">
            <v>金华市婺美电器有限公司</v>
          </cell>
          <cell r="D20" t="str">
            <v>经销</v>
          </cell>
          <cell r="E20" t="str">
            <v>经销</v>
          </cell>
          <cell r="F20" t="str">
            <v>金华市区</v>
          </cell>
          <cell r="G20" t="str">
            <v>婺城区</v>
          </cell>
          <cell r="H20" t="str">
            <v>潘杏</v>
          </cell>
          <cell r="I20">
            <v>10</v>
          </cell>
        </row>
        <row r="20">
          <cell r="K20">
            <v>840</v>
          </cell>
          <cell r="L20" t="e">
            <v>#DIV/0!</v>
          </cell>
        </row>
        <row r="20">
          <cell r="N20">
            <v>10504</v>
          </cell>
          <cell r="O20" t="e">
            <v>#DIV/0!</v>
          </cell>
          <cell r="P20">
            <v>0</v>
          </cell>
          <cell r="Q20">
            <v>11344</v>
          </cell>
          <cell r="R20" t="e">
            <v>#DIV/0!</v>
          </cell>
        </row>
        <row r="20">
          <cell r="T20">
            <v>3070</v>
          </cell>
          <cell r="U20" t="e">
            <v>#DIV/0!</v>
          </cell>
          <cell r="V20">
            <v>0</v>
          </cell>
          <cell r="W20">
            <v>14414</v>
          </cell>
          <cell r="X20" t="e">
            <v>#DIV/0!</v>
          </cell>
          <cell r="Y20">
            <v>1810</v>
          </cell>
        </row>
        <row r="21">
          <cell r="C21" t="str">
            <v>兰溪市升美电器商行</v>
          </cell>
          <cell r="D21" t="str">
            <v>经销</v>
          </cell>
          <cell r="E21" t="str">
            <v>经销</v>
          </cell>
          <cell r="F21" t="str">
            <v>兰溪市</v>
          </cell>
          <cell r="G21" t="str">
            <v>兰溪市</v>
          </cell>
          <cell r="H21" t="str">
            <v>潘杏</v>
          </cell>
        </row>
        <row r="21">
          <cell r="L21" t="e">
            <v>#DIV/0!</v>
          </cell>
        </row>
        <row r="21">
          <cell r="O21" t="e">
            <v>#DIV/0!</v>
          </cell>
          <cell r="P21">
            <v>0</v>
          </cell>
          <cell r="Q21">
            <v>0</v>
          </cell>
          <cell r="R21" t="e">
            <v>#DIV/0!</v>
          </cell>
        </row>
        <row r="21">
          <cell r="U21" t="e">
            <v>#DIV/0!</v>
          </cell>
          <cell r="V21">
            <v>0</v>
          </cell>
          <cell r="W21">
            <v>0</v>
          </cell>
          <cell r="X21" t="e">
            <v>#DIV/0!</v>
          </cell>
        </row>
        <row r="22">
          <cell r="C22" t="str">
            <v>杭州中博智能电器有限公司</v>
          </cell>
          <cell r="D22" t="str">
            <v>家装</v>
          </cell>
          <cell r="E22" t="str">
            <v>家装</v>
          </cell>
          <cell r="F22" t="str">
            <v>金华市区</v>
          </cell>
        </row>
        <row r="22">
          <cell r="H22" t="str">
            <v>潘杏</v>
          </cell>
        </row>
        <row r="22">
          <cell r="L22" t="e">
            <v>#DIV/0!</v>
          </cell>
        </row>
        <row r="22">
          <cell r="O22" t="e">
            <v>#DIV/0!</v>
          </cell>
          <cell r="P22">
            <v>0</v>
          </cell>
          <cell r="Q22">
            <v>0</v>
          </cell>
          <cell r="R22" t="e">
            <v>#DIV/0!</v>
          </cell>
        </row>
        <row r="22">
          <cell r="T22">
            <v>1732</v>
          </cell>
          <cell r="U22" t="e">
            <v>#DIV/0!</v>
          </cell>
          <cell r="V22">
            <v>0</v>
          </cell>
          <cell r="W22">
            <v>1732</v>
          </cell>
          <cell r="X22" t="e">
            <v>#DIV/0!</v>
          </cell>
        </row>
        <row r="22">
          <cell r="Z22">
            <v>2701</v>
          </cell>
        </row>
        <row r="23">
          <cell r="C23" t="str">
            <v>苏宁易购集团股份有限公司苏宁采购中心</v>
          </cell>
          <cell r="D23" t="str">
            <v>经销</v>
          </cell>
          <cell r="E23" t="str">
            <v>经销</v>
          </cell>
          <cell r="F23" t="str">
            <v>金华市区</v>
          </cell>
        </row>
        <row r="23">
          <cell r="H23" t="str">
            <v>潘杏</v>
          </cell>
        </row>
        <row r="23">
          <cell r="L23" t="e">
            <v>#DIV/0!</v>
          </cell>
        </row>
        <row r="23">
          <cell r="N23">
            <v>12400.68</v>
          </cell>
          <cell r="O23" t="e">
            <v>#DIV/0!</v>
          </cell>
          <cell r="P23">
            <v>0</v>
          </cell>
          <cell r="Q23">
            <v>12400.68</v>
          </cell>
          <cell r="R23" t="e">
            <v>#DIV/0!</v>
          </cell>
        </row>
        <row r="23">
          <cell r="T23">
            <v>3939.44</v>
          </cell>
          <cell r="U23" t="e">
            <v>#DIV/0!</v>
          </cell>
          <cell r="V23">
            <v>0</v>
          </cell>
          <cell r="W23">
            <v>16340.12</v>
          </cell>
          <cell r="X23" t="e">
            <v>#DIV/0!</v>
          </cell>
        </row>
        <row r="24">
          <cell r="C24" t="str">
            <v>衢州万恒电器有限公司</v>
          </cell>
          <cell r="D24" t="str">
            <v>经销</v>
          </cell>
          <cell r="E24" t="str">
            <v>经销</v>
          </cell>
          <cell r="F24" t="str">
            <v>衢州市区</v>
          </cell>
          <cell r="G24" t="str">
            <v>柯城区</v>
          </cell>
          <cell r="H24" t="str">
            <v>江雯</v>
          </cell>
        </row>
        <row r="24">
          <cell r="K24">
            <v>5688</v>
          </cell>
          <cell r="L24" t="e">
            <v>#DIV/0!</v>
          </cell>
        </row>
        <row r="24">
          <cell r="O24" t="e">
            <v>#DIV/0!</v>
          </cell>
          <cell r="P24">
            <v>0</v>
          </cell>
          <cell r="Q24">
            <v>5688</v>
          </cell>
          <cell r="R24" t="e">
            <v>#DIV/0!</v>
          </cell>
        </row>
        <row r="24">
          <cell r="T24">
            <v>2300</v>
          </cell>
          <cell r="U24" t="e">
            <v>#DIV/0!</v>
          </cell>
          <cell r="V24">
            <v>0</v>
          </cell>
          <cell r="W24">
            <v>7988</v>
          </cell>
          <cell r="X24" t="e">
            <v>#DIV/0!</v>
          </cell>
        </row>
        <row r="25">
          <cell r="C25" t="str">
            <v>金华市汇诚电器有限公司</v>
          </cell>
          <cell r="D25" t="str">
            <v>经销</v>
          </cell>
          <cell r="E25" t="str">
            <v>经销</v>
          </cell>
          <cell r="F25" t="str">
            <v>金华市区</v>
          </cell>
          <cell r="G25" t="str">
            <v>金东区</v>
          </cell>
          <cell r="H25" t="str">
            <v>潘杏</v>
          </cell>
        </row>
        <row r="25">
          <cell r="L25" t="e">
            <v>#DIV/0!</v>
          </cell>
        </row>
        <row r="25"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</row>
        <row r="25"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</row>
        <row r="26">
          <cell r="C26" t="str">
            <v>永康立格暖通设备有限公司</v>
          </cell>
          <cell r="D26" t="str">
            <v>经销</v>
          </cell>
          <cell r="E26" t="str">
            <v>经销</v>
          </cell>
          <cell r="F26" t="str">
            <v>金华市区</v>
          </cell>
        </row>
        <row r="26">
          <cell r="H26" t="str">
            <v>潘杏</v>
          </cell>
          <cell r="I26">
            <v>10</v>
          </cell>
        </row>
        <row r="26">
          <cell r="K26">
            <v>4928</v>
          </cell>
          <cell r="L26" t="e">
            <v>#DIV/0!</v>
          </cell>
        </row>
        <row r="26">
          <cell r="O26" t="e">
            <v>#DIV/0!</v>
          </cell>
          <cell r="P26">
            <v>0</v>
          </cell>
          <cell r="Q26">
            <v>4928</v>
          </cell>
          <cell r="R26" t="e">
            <v>#DIV/0!</v>
          </cell>
        </row>
        <row r="26">
          <cell r="T26">
            <v>22339</v>
          </cell>
          <cell r="U26" t="e">
            <v>#DIV/0!</v>
          </cell>
          <cell r="V26">
            <v>0</v>
          </cell>
          <cell r="W26">
            <v>27267</v>
          </cell>
          <cell r="X26" t="e">
            <v>#DIV/0!</v>
          </cell>
        </row>
        <row r="27">
          <cell r="C27" t="str">
            <v>金华一启家电有限公司</v>
          </cell>
          <cell r="D27" t="str">
            <v>经销</v>
          </cell>
          <cell r="E27" t="str">
            <v>经销</v>
          </cell>
          <cell r="F27" t="str">
            <v>金华市区</v>
          </cell>
        </row>
        <row r="27">
          <cell r="H27" t="str">
            <v>潘杏</v>
          </cell>
          <cell r="I27">
            <v>54</v>
          </cell>
        </row>
        <row r="27">
          <cell r="Z27">
            <v>150000</v>
          </cell>
        </row>
        <row r="28">
          <cell r="C28" t="str">
            <v>合计</v>
          </cell>
        </row>
        <row r="28">
          <cell r="I28">
            <v>859</v>
          </cell>
          <cell r="J28">
            <v>1110866.71</v>
          </cell>
          <cell r="K28">
            <v>802311.19</v>
          </cell>
          <cell r="L28">
            <v>-0.277761064601531</v>
          </cell>
          <cell r="M28">
            <v>225264</v>
          </cell>
          <cell r="N28">
            <v>353390.48</v>
          </cell>
          <cell r="O28">
            <v>0.568783649406918</v>
          </cell>
          <cell r="P28">
            <v>1336130.71</v>
          </cell>
          <cell r="Q28">
            <v>1155701.67</v>
          </cell>
          <cell r="R28">
            <v>-0.135038464911865</v>
          </cell>
          <cell r="S28">
            <v>365888</v>
          </cell>
          <cell r="T28">
            <v>969353.65</v>
          </cell>
          <cell r="U28">
            <v>1.64931796068742</v>
          </cell>
          <cell r="V28">
            <v>1702018.71</v>
          </cell>
          <cell r="W28">
            <v>2125055.32</v>
          </cell>
          <cell r="X28">
            <v>0.248549917527052</v>
          </cell>
          <cell r="Y28">
            <v>648379.45</v>
          </cell>
          <cell r="Z28">
            <v>857787.1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汇总1"/>
      <sheetName val="Sheet3"/>
      <sheetName val="杭州"/>
      <sheetName val="湖州"/>
      <sheetName val="嘉兴"/>
      <sheetName val="金衢"/>
      <sheetName val="绍兴"/>
      <sheetName val="台州"/>
      <sheetName val="温丽 "/>
      <sheetName val="电商 以旧换新"/>
      <sheetName val="Sheet5"/>
      <sheetName val="明细汇总"/>
      <sheetName val="汇总"/>
      <sheetName val="汇总单位"/>
      <sheetName val="Sheet4"/>
      <sheetName val="客户汇总"/>
      <sheetName val="汇总2"/>
      <sheetName val="23年人口数据"/>
      <sheetName val="Sheet1"/>
    </sheetNames>
    <sheetDataSet>
      <sheetData sheetId="0"/>
      <sheetData sheetId="1"/>
      <sheetData sheetId="2">
        <row r="3">
          <cell r="C3" t="str">
            <v>汇德隆</v>
          </cell>
          <cell r="D3" t="str">
            <v>TOP渠道</v>
          </cell>
          <cell r="E3" t="str">
            <v>TOP渠道</v>
          </cell>
          <cell r="F3" t="str">
            <v>萧山区</v>
          </cell>
          <cell r="G3" t="str">
            <v>萧山区</v>
          </cell>
          <cell r="H3" t="str">
            <v>董培培</v>
          </cell>
          <cell r="I3">
            <v>800</v>
          </cell>
          <cell r="J3">
            <v>100000</v>
          </cell>
          <cell r="K3">
            <v>180000</v>
          </cell>
          <cell r="L3">
            <v>0.8</v>
          </cell>
        </row>
        <row r="3">
          <cell r="N3">
            <v>90000</v>
          </cell>
          <cell r="O3" t="e">
            <v>#DIV/0!</v>
          </cell>
          <cell r="P3">
            <v>100000</v>
          </cell>
          <cell r="Q3">
            <v>270000</v>
          </cell>
          <cell r="R3">
            <v>1.7</v>
          </cell>
          <cell r="S3">
            <v>540000</v>
          </cell>
          <cell r="T3">
            <v>200000</v>
          </cell>
          <cell r="U3">
            <v>-0.62962962962963</v>
          </cell>
          <cell r="V3">
            <v>640000</v>
          </cell>
          <cell r="W3">
            <v>470000</v>
          </cell>
          <cell r="X3">
            <v>-0.265625</v>
          </cell>
          <cell r="Y3">
            <v>550000</v>
          </cell>
          <cell r="Z3">
            <v>692800</v>
          </cell>
          <cell r="AA3">
            <v>0.259636363636364</v>
          </cell>
          <cell r="AB3">
            <v>1190000</v>
          </cell>
          <cell r="AC3">
            <v>1162800</v>
          </cell>
          <cell r="AD3">
            <v>-0.0228571428571429</v>
          </cell>
          <cell r="AE3">
            <v>513000</v>
          </cell>
          <cell r="AF3">
            <v>480000</v>
          </cell>
        </row>
        <row r="4">
          <cell r="C4" t="str">
            <v>萧山汇德隆净水</v>
          </cell>
          <cell r="D4" t="str">
            <v>TOP渠道</v>
          </cell>
          <cell r="E4" t="str">
            <v>TOP渠道</v>
          </cell>
          <cell r="F4" t="str">
            <v>萧山区</v>
          </cell>
          <cell r="G4" t="str">
            <v>萧山区</v>
          </cell>
          <cell r="H4" t="str">
            <v>董培培</v>
          </cell>
        </row>
        <row r="4">
          <cell r="J4">
            <v>109082.35</v>
          </cell>
          <cell r="K4">
            <v>85017.95</v>
          </cell>
          <cell r="L4">
            <v>-0.220607641841233</v>
          </cell>
        </row>
        <row r="4">
          <cell r="N4">
            <v>124698.5</v>
          </cell>
          <cell r="O4" t="e">
            <v>#DIV/0!</v>
          </cell>
          <cell r="P4">
            <v>109082.35</v>
          </cell>
          <cell r="Q4">
            <v>209716.45</v>
          </cell>
          <cell r="R4">
            <v>0.92255163186345</v>
          </cell>
          <cell r="S4">
            <v>98942.87</v>
          </cell>
        </row>
        <row r="4">
          <cell r="U4">
            <v>-1</v>
          </cell>
          <cell r="V4">
            <v>208025.22</v>
          </cell>
          <cell r="W4">
            <v>209716.45</v>
          </cell>
          <cell r="X4">
            <v>0.00812992770780396</v>
          </cell>
          <cell r="Y4">
            <v>96183.1</v>
          </cell>
          <cell r="Z4">
            <v>277266.5</v>
          </cell>
          <cell r="AA4">
            <v>1.88269456900433</v>
          </cell>
          <cell r="AB4">
            <v>304208.32</v>
          </cell>
          <cell r="AC4">
            <v>486982.95</v>
          </cell>
          <cell r="AD4">
            <v>0.600820615294151</v>
          </cell>
          <cell r="AE4">
            <v>108234.5</v>
          </cell>
          <cell r="AF4">
            <v>108269.25</v>
          </cell>
        </row>
        <row r="5">
          <cell r="C5" t="str">
            <v>杭州兴达京昀电器有限公司</v>
          </cell>
          <cell r="D5" t="str">
            <v>经销</v>
          </cell>
          <cell r="E5" t="str">
            <v>TOP渠道</v>
          </cell>
          <cell r="F5" t="str">
            <v>临平区</v>
          </cell>
          <cell r="G5" t="str">
            <v>临平区</v>
          </cell>
          <cell r="H5" t="str">
            <v>吴海林</v>
          </cell>
          <cell r="I5">
            <v>130</v>
          </cell>
        </row>
        <row r="5">
          <cell r="K5">
            <v>100000</v>
          </cell>
          <cell r="L5" t="e">
            <v>#DIV/0!</v>
          </cell>
        </row>
        <row r="5">
          <cell r="O5" t="e">
            <v>#DIV/0!</v>
          </cell>
          <cell r="P5">
            <v>0</v>
          </cell>
          <cell r="Q5">
            <v>100000</v>
          </cell>
          <cell r="R5" t="e">
            <v>#DIV/0!</v>
          </cell>
        </row>
        <row r="5">
          <cell r="T5">
            <v>60000</v>
          </cell>
          <cell r="U5" t="e">
            <v>#DIV/0!</v>
          </cell>
          <cell r="V5">
            <v>0</v>
          </cell>
          <cell r="W5">
            <v>160000</v>
          </cell>
          <cell r="X5" t="e">
            <v>#DIV/0!</v>
          </cell>
          <cell r="Y5">
            <v>100000</v>
          </cell>
          <cell r="Z5">
            <v>50000</v>
          </cell>
          <cell r="AA5">
            <v>-0.5</v>
          </cell>
          <cell r="AB5">
            <v>100000</v>
          </cell>
          <cell r="AC5">
            <v>210000</v>
          </cell>
          <cell r="AD5">
            <v>1.1</v>
          </cell>
          <cell r="AE5">
            <v>100000</v>
          </cell>
          <cell r="AF5">
            <v>60000</v>
          </cell>
        </row>
        <row r="6">
          <cell r="C6" t="str">
            <v>杭州临安一栋电器有限公司</v>
          </cell>
          <cell r="D6" t="str">
            <v>加盟</v>
          </cell>
          <cell r="E6" t="str">
            <v>加盟</v>
          </cell>
          <cell r="F6" t="str">
            <v>临安区</v>
          </cell>
          <cell r="G6" t="str">
            <v>临安区</v>
          </cell>
          <cell r="H6" t="str">
            <v>吴海林</v>
          </cell>
          <cell r="I6">
            <v>190</v>
          </cell>
          <cell r="J6">
            <v>140000</v>
          </cell>
          <cell r="K6">
            <v>41700</v>
          </cell>
          <cell r="L6">
            <v>-0.702142857142857</v>
          </cell>
          <cell r="M6">
            <v>60000</v>
          </cell>
          <cell r="N6">
            <v>27875</v>
          </cell>
          <cell r="O6">
            <v>-0.535416666666667</v>
          </cell>
          <cell r="P6">
            <v>200000</v>
          </cell>
          <cell r="Q6">
            <v>69575</v>
          </cell>
          <cell r="R6">
            <v>-0.652125</v>
          </cell>
          <cell r="S6">
            <v>60000</v>
          </cell>
          <cell r="T6">
            <v>94786</v>
          </cell>
          <cell r="U6">
            <v>0.579766666666667</v>
          </cell>
          <cell r="V6">
            <v>260000</v>
          </cell>
          <cell r="W6">
            <v>164361</v>
          </cell>
          <cell r="X6">
            <v>-0.367842307692308</v>
          </cell>
          <cell r="Y6">
            <v>270219</v>
          </cell>
          <cell r="Z6">
            <v>67000</v>
          </cell>
          <cell r="AA6">
            <v>-0.752052964447356</v>
          </cell>
          <cell r="AB6">
            <v>530219</v>
          </cell>
          <cell r="AC6">
            <v>231361</v>
          </cell>
          <cell r="AD6">
            <v>-0.563650114386697</v>
          </cell>
          <cell r="AE6">
            <v>61019</v>
          </cell>
        </row>
        <row r="7">
          <cell r="C7" t="str">
            <v>杭州宏信机电有限公司</v>
          </cell>
          <cell r="D7" t="str">
            <v>加盟</v>
          </cell>
          <cell r="E7" t="str">
            <v>加盟</v>
          </cell>
          <cell r="F7" t="str">
            <v>富阳区</v>
          </cell>
          <cell r="G7" t="str">
            <v>富阳区</v>
          </cell>
          <cell r="H7" t="str">
            <v>吴海林</v>
          </cell>
          <cell r="I7">
            <v>270</v>
          </cell>
          <cell r="J7">
            <v>215180.88</v>
          </cell>
          <cell r="K7">
            <v>10000</v>
          </cell>
          <cell r="L7">
            <v>-0.953527469540974</v>
          </cell>
          <cell r="M7">
            <v>146500</v>
          </cell>
          <cell r="N7">
            <v>83000</v>
          </cell>
          <cell r="O7">
            <v>-0.433447098976109</v>
          </cell>
          <cell r="P7">
            <v>361680.88</v>
          </cell>
          <cell r="Q7">
            <v>93000</v>
          </cell>
          <cell r="R7">
            <v>-0.7428672480558</v>
          </cell>
          <cell r="S7">
            <v>280836</v>
          </cell>
          <cell r="T7">
            <v>71000</v>
          </cell>
          <cell r="U7">
            <v>-0.74718340953439</v>
          </cell>
          <cell r="V7">
            <v>642516.88</v>
          </cell>
          <cell r="W7">
            <v>164000</v>
          </cell>
          <cell r="X7">
            <v>-0.744753787635898</v>
          </cell>
          <cell r="Y7">
            <v>201000</v>
          </cell>
          <cell r="Z7">
            <v>140000</v>
          </cell>
          <cell r="AA7">
            <v>-0.303482587064677</v>
          </cell>
          <cell r="AB7">
            <v>843516.88</v>
          </cell>
          <cell r="AC7">
            <v>304000</v>
          </cell>
          <cell r="AD7">
            <v>-0.639604129795245</v>
          </cell>
          <cell r="AE7">
            <v>182933</v>
          </cell>
          <cell r="AF7">
            <v>70000</v>
          </cell>
        </row>
        <row r="8">
          <cell r="C8" t="str">
            <v>桐庐佳尼特水处理设备有限公司</v>
          </cell>
          <cell r="D8" t="str">
            <v>加盟</v>
          </cell>
          <cell r="E8" t="str">
            <v>加盟</v>
          </cell>
          <cell r="F8" t="str">
            <v>桐庐县</v>
          </cell>
          <cell r="G8" t="str">
            <v>桐庐县</v>
          </cell>
          <cell r="H8" t="str">
            <v>吴海林</v>
          </cell>
          <cell r="I8">
            <v>190</v>
          </cell>
          <cell r="J8">
            <v>100000</v>
          </cell>
          <cell r="K8">
            <v>149040</v>
          </cell>
          <cell r="L8">
            <v>0.4904</v>
          </cell>
          <cell r="M8">
            <v>30000</v>
          </cell>
          <cell r="N8">
            <v>72140</v>
          </cell>
          <cell r="O8">
            <v>1.40466666666667</v>
          </cell>
          <cell r="P8">
            <v>130000</v>
          </cell>
          <cell r="Q8">
            <v>221180</v>
          </cell>
          <cell r="R8">
            <v>0.701384615384615</v>
          </cell>
          <cell r="S8">
            <v>70000</v>
          </cell>
          <cell r="T8">
            <v>160000</v>
          </cell>
          <cell r="U8">
            <v>1.28571428571429</v>
          </cell>
          <cell r="V8">
            <v>200000</v>
          </cell>
          <cell r="W8">
            <v>381180</v>
          </cell>
          <cell r="X8">
            <v>0.9059</v>
          </cell>
          <cell r="Y8">
            <v>90000</v>
          </cell>
          <cell r="Z8">
            <v>100000</v>
          </cell>
          <cell r="AA8">
            <v>0.111111111111111</v>
          </cell>
          <cell r="AB8">
            <v>290000</v>
          </cell>
          <cell r="AC8">
            <v>481180</v>
          </cell>
          <cell r="AD8">
            <v>0.659241379310345</v>
          </cell>
          <cell r="AE8">
            <v>65253</v>
          </cell>
          <cell r="AF8">
            <v>90000</v>
          </cell>
        </row>
        <row r="9">
          <cell r="C9" t="str">
            <v>杭州佳威信息科技有限公司</v>
          </cell>
          <cell r="D9" t="str">
            <v>经销</v>
          </cell>
          <cell r="E9" t="str">
            <v>经销</v>
          </cell>
          <cell r="F9" t="str">
            <v>建德市</v>
          </cell>
          <cell r="G9" t="str">
            <v>建德市</v>
          </cell>
          <cell r="H9" t="str">
            <v>吴海林</v>
          </cell>
        </row>
        <row r="9">
          <cell r="J9">
            <v>10000</v>
          </cell>
        </row>
        <row r="9">
          <cell r="L9">
            <v>-1</v>
          </cell>
        </row>
        <row r="9">
          <cell r="O9" t="e">
            <v>#DIV/0!</v>
          </cell>
          <cell r="P9">
            <v>10000</v>
          </cell>
          <cell r="Q9">
            <v>0</v>
          </cell>
          <cell r="R9">
            <v>-1</v>
          </cell>
          <cell r="S9">
            <v>10000</v>
          </cell>
        </row>
        <row r="9">
          <cell r="U9">
            <v>-1</v>
          </cell>
          <cell r="V9">
            <v>20000</v>
          </cell>
          <cell r="W9">
            <v>0</v>
          </cell>
          <cell r="X9">
            <v>-1</v>
          </cell>
          <cell r="Y9">
            <v>10000</v>
          </cell>
        </row>
        <row r="9">
          <cell r="AA9">
            <v>-1</v>
          </cell>
          <cell r="AB9">
            <v>30000</v>
          </cell>
          <cell r="AC9">
            <v>0</v>
          </cell>
          <cell r="AD9">
            <v>-1</v>
          </cell>
        </row>
        <row r="10">
          <cell r="C10" t="str">
            <v>杭州京品满屋家电有限公司</v>
          </cell>
          <cell r="D10" t="str">
            <v>经销</v>
          </cell>
          <cell r="E10" t="str">
            <v>经销</v>
          </cell>
          <cell r="F10" t="str">
            <v>淳安县</v>
          </cell>
          <cell r="G10" t="str">
            <v>淳安县</v>
          </cell>
          <cell r="H10" t="str">
            <v>吴海林</v>
          </cell>
          <cell r="I10">
            <v>60</v>
          </cell>
          <cell r="J10">
            <v>10980</v>
          </cell>
          <cell r="K10">
            <v>1887</v>
          </cell>
          <cell r="L10">
            <v>-0.828142076502732</v>
          </cell>
          <cell r="M10">
            <v>10390</v>
          </cell>
        </row>
        <row r="10">
          <cell r="O10">
            <v>-1</v>
          </cell>
          <cell r="P10">
            <v>21370</v>
          </cell>
          <cell r="Q10">
            <v>1887</v>
          </cell>
          <cell r="R10">
            <v>-0.911698642957417</v>
          </cell>
          <cell r="S10">
            <v>20613</v>
          </cell>
          <cell r="T10">
            <v>21472</v>
          </cell>
          <cell r="U10">
            <v>0.0416727308009508</v>
          </cell>
          <cell r="V10">
            <v>41983</v>
          </cell>
          <cell r="W10">
            <v>23359</v>
          </cell>
          <cell r="X10">
            <v>-0.443608127099064</v>
          </cell>
          <cell r="Y10">
            <v>14343</v>
          </cell>
          <cell r="Z10">
            <v>24592</v>
          </cell>
          <cell r="AA10">
            <v>0.71456459597016</v>
          </cell>
          <cell r="AB10">
            <v>56326</v>
          </cell>
          <cell r="AC10">
            <v>47951</v>
          </cell>
          <cell r="AD10">
            <v>-0.148687994886908</v>
          </cell>
          <cell r="AE10">
            <v>10168</v>
          </cell>
          <cell r="AF10">
            <v>35823</v>
          </cell>
        </row>
        <row r="11">
          <cell r="C11" t="str">
            <v>杭州司亿博环境设备有限公司</v>
          </cell>
          <cell r="D11" t="str">
            <v>经销</v>
          </cell>
          <cell r="E11" t="str">
            <v>经销</v>
          </cell>
          <cell r="F11" t="str">
            <v>杭州市区</v>
          </cell>
          <cell r="G11" t="str">
            <v>钱塘区</v>
          </cell>
          <cell r="H11" t="str">
            <v>董培培</v>
          </cell>
          <cell r="I11">
            <v>0</v>
          </cell>
          <cell r="J11">
            <v>11748</v>
          </cell>
        </row>
        <row r="11">
          <cell r="L11">
            <v>-1</v>
          </cell>
          <cell r="M11">
            <v>16445</v>
          </cell>
          <cell r="N11">
            <v>2274</v>
          </cell>
          <cell r="O11">
            <v>-0.861720887807844</v>
          </cell>
          <cell r="P11">
            <v>28193</v>
          </cell>
          <cell r="Q11">
            <v>2274</v>
          </cell>
          <cell r="R11">
            <v>-0.919341680559004</v>
          </cell>
          <cell r="S11">
            <v>800</v>
          </cell>
        </row>
        <row r="11">
          <cell r="U11">
            <v>-1</v>
          </cell>
          <cell r="V11">
            <v>28993</v>
          </cell>
          <cell r="W11">
            <v>2274</v>
          </cell>
          <cell r="X11">
            <v>-0.921567274859449</v>
          </cell>
        </row>
        <row r="11">
          <cell r="Z11">
            <v>2217</v>
          </cell>
          <cell r="AA11" t="e">
            <v>#DIV/0!</v>
          </cell>
          <cell r="AB11">
            <v>28993</v>
          </cell>
          <cell r="AC11">
            <v>4491</v>
          </cell>
          <cell r="AD11">
            <v>-0.84510054151002</v>
          </cell>
          <cell r="AE11">
            <v>19214</v>
          </cell>
          <cell r="AF11">
            <v>13140</v>
          </cell>
        </row>
        <row r="12">
          <cell r="C12" t="str">
            <v>杭州五星</v>
          </cell>
          <cell r="D12" t="str">
            <v>五星</v>
          </cell>
          <cell r="E12" t="str">
            <v>五星</v>
          </cell>
          <cell r="F12" t="str">
            <v>杭州市区</v>
          </cell>
          <cell r="G12" t="str">
            <v>市区</v>
          </cell>
          <cell r="H12" t="str">
            <v>李燕霞</v>
          </cell>
          <cell r="I12">
            <v>560</v>
          </cell>
          <cell r="J12">
            <v>-55370.32</v>
          </cell>
          <cell r="K12">
            <v>513987.69</v>
          </cell>
          <cell r="L12">
            <v>-10.282729267232</v>
          </cell>
        </row>
        <row r="12">
          <cell r="N12">
            <v>456944.83</v>
          </cell>
          <cell r="O12" t="e">
            <v>#DIV/0!</v>
          </cell>
          <cell r="P12">
            <v>-55370.32</v>
          </cell>
          <cell r="Q12">
            <v>970932.52</v>
          </cell>
          <cell r="R12">
            <v>-18.5352520989584</v>
          </cell>
        </row>
        <row r="12">
          <cell r="T12">
            <v>639327.2</v>
          </cell>
          <cell r="U12" t="e">
            <v>#DIV/0!</v>
          </cell>
          <cell r="V12">
            <v>-55370.32</v>
          </cell>
          <cell r="W12">
            <v>1610259.72</v>
          </cell>
          <cell r="X12">
            <v>-30.0816401277796</v>
          </cell>
          <cell r="Y12">
            <v>442229.3</v>
          </cell>
          <cell r="Z12">
            <v>380375.22</v>
          </cell>
          <cell r="AA12">
            <v>-0.139868796572276</v>
          </cell>
          <cell r="AB12">
            <v>386858.98</v>
          </cell>
          <cell r="AC12">
            <v>1990634.94</v>
          </cell>
          <cell r="AD12">
            <v>4.1456345668905</v>
          </cell>
          <cell r="AE12">
            <v>309190.52</v>
          </cell>
          <cell r="AF12">
            <v>403454.03</v>
          </cell>
        </row>
        <row r="13">
          <cell r="C13" t="str">
            <v>杭州临平江南家居专卖店</v>
          </cell>
          <cell r="D13" t="str">
            <v>直营</v>
          </cell>
          <cell r="E13" t="str">
            <v>直营</v>
          </cell>
          <cell r="F13" t="str">
            <v>临平区</v>
          </cell>
          <cell r="G13" t="str">
            <v>临平区</v>
          </cell>
          <cell r="H13" t="str">
            <v>专卖店</v>
          </cell>
          <cell r="I13">
            <v>180</v>
          </cell>
          <cell r="J13">
            <v>103977</v>
          </cell>
          <cell r="K13">
            <v>22066</v>
          </cell>
          <cell r="L13">
            <v>-0.787779989805438</v>
          </cell>
          <cell r="M13">
            <v>19500</v>
          </cell>
          <cell r="N13">
            <v>49149</v>
          </cell>
          <cell r="O13">
            <v>1.52046153846154</v>
          </cell>
          <cell r="P13">
            <v>123477</v>
          </cell>
          <cell r="Q13">
            <v>71215</v>
          </cell>
          <cell r="R13">
            <v>-0.42325291349806</v>
          </cell>
          <cell r="S13">
            <v>113494</v>
          </cell>
          <cell r="T13">
            <v>91366</v>
          </cell>
          <cell r="U13">
            <v>-0.194970659241898</v>
          </cell>
          <cell r="V13">
            <v>236971</v>
          </cell>
          <cell r="W13">
            <v>162581</v>
          </cell>
          <cell r="X13">
            <v>-0.313920268724865</v>
          </cell>
          <cell r="Y13">
            <v>109059</v>
          </cell>
          <cell r="Z13">
            <v>67817</v>
          </cell>
          <cell r="AA13">
            <v>-0.378162279133313</v>
          </cell>
          <cell r="AB13">
            <v>346030</v>
          </cell>
          <cell r="AC13">
            <v>230398</v>
          </cell>
          <cell r="AD13">
            <v>-0.334167557726209</v>
          </cell>
          <cell r="AE13">
            <v>111723</v>
          </cell>
          <cell r="AF13">
            <v>71689</v>
          </cell>
        </row>
        <row r="14">
          <cell r="C14" t="str">
            <v>杭州华泓电器有限公司</v>
          </cell>
          <cell r="D14" t="str">
            <v>经销</v>
          </cell>
          <cell r="E14" t="str">
            <v>经销</v>
          </cell>
          <cell r="F14" t="str">
            <v>萧山区</v>
          </cell>
          <cell r="G14" t="str">
            <v>萧山区</v>
          </cell>
          <cell r="H14" t="str">
            <v>董培培</v>
          </cell>
        </row>
        <row r="14">
          <cell r="J14">
            <v>800</v>
          </cell>
        </row>
        <row r="14">
          <cell r="L14">
            <v>-1</v>
          </cell>
        </row>
        <row r="14">
          <cell r="O14" t="e">
            <v>#DIV/0!</v>
          </cell>
          <cell r="P14">
            <v>800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800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800</v>
          </cell>
          <cell r="AC14">
            <v>0</v>
          </cell>
          <cell r="AD14">
            <v>-1</v>
          </cell>
        </row>
        <row r="15">
          <cell r="C15" t="str">
            <v>杭州金蝶零售</v>
          </cell>
          <cell r="D15" t="str">
            <v>零售</v>
          </cell>
          <cell r="E15" t="str">
            <v>零售</v>
          </cell>
          <cell r="F15" t="str">
            <v>杭州市区</v>
          </cell>
          <cell r="G15" t="str">
            <v>市区</v>
          </cell>
          <cell r="H15" t="str">
            <v>杭州零售</v>
          </cell>
        </row>
        <row r="15">
          <cell r="J15">
            <v>111956.28</v>
          </cell>
          <cell r="K15">
            <v>76873.34</v>
          </cell>
          <cell r="L15">
            <v>-0.313362859144659</v>
          </cell>
          <cell r="M15">
            <v>43919</v>
          </cell>
          <cell r="N15">
            <v>43284.9</v>
          </cell>
          <cell r="O15">
            <v>-0.014437942576106</v>
          </cell>
          <cell r="P15">
            <v>155875.28</v>
          </cell>
          <cell r="Q15">
            <v>120158.24</v>
          </cell>
          <cell r="R15">
            <v>-0.229138577970798</v>
          </cell>
          <cell r="S15">
            <v>80405.08</v>
          </cell>
          <cell r="T15">
            <v>119148.66</v>
          </cell>
          <cell r="U15">
            <v>0.481854877826127</v>
          </cell>
          <cell r="V15">
            <v>236280.36</v>
          </cell>
          <cell r="W15">
            <v>239306.9</v>
          </cell>
          <cell r="X15">
            <v>0.012809105251067</v>
          </cell>
          <cell r="Y15">
            <v>82108.64</v>
          </cell>
          <cell r="Z15">
            <v>310195.38</v>
          </cell>
          <cell r="AA15">
            <v>2.77786527702809</v>
          </cell>
          <cell r="AB15">
            <v>318389</v>
          </cell>
          <cell r="AC15">
            <v>549502.28</v>
          </cell>
          <cell r="AD15">
            <v>0.725883369086244</v>
          </cell>
          <cell r="AE15">
            <v>209042.8</v>
          </cell>
          <cell r="AF15">
            <v>36281.12</v>
          </cell>
        </row>
        <row r="16">
          <cell r="C16" t="str">
            <v>杭州金蝶零售（李燕霞）</v>
          </cell>
          <cell r="D16" t="str">
            <v>零售</v>
          </cell>
          <cell r="E16" t="str">
            <v>零售</v>
          </cell>
          <cell r="F16" t="str">
            <v>杭州市区</v>
          </cell>
          <cell r="G16" t="str">
            <v>市区</v>
          </cell>
          <cell r="H16" t="str">
            <v>李燕霞</v>
          </cell>
        </row>
        <row r="16">
          <cell r="L16" t="e">
            <v>#DIV/0!</v>
          </cell>
        </row>
        <row r="16">
          <cell r="N16">
            <v>6125</v>
          </cell>
          <cell r="O16" t="e">
            <v>#DIV/0!</v>
          </cell>
          <cell r="P16">
            <v>0</v>
          </cell>
          <cell r="Q16">
            <v>6125</v>
          </cell>
          <cell r="R16" t="e">
            <v>#DIV/0!</v>
          </cell>
        </row>
        <row r="16">
          <cell r="U16" t="e">
            <v>#DIV/0!</v>
          </cell>
          <cell r="V16">
            <v>0</v>
          </cell>
          <cell r="W16">
            <v>6125</v>
          </cell>
          <cell r="X16" t="e">
            <v>#DIV/0!</v>
          </cell>
        </row>
        <row r="16">
          <cell r="AA16" t="e">
            <v>#DIV/0!</v>
          </cell>
          <cell r="AB16">
            <v>0</v>
          </cell>
          <cell r="AC16">
            <v>6125</v>
          </cell>
          <cell r="AD16" t="e">
            <v>#DIV/0!</v>
          </cell>
          <cell r="AE16">
            <v>3636</v>
          </cell>
        </row>
        <row r="17">
          <cell r="C17" t="str">
            <v>萧山世纪龙建材专卖店</v>
          </cell>
          <cell r="D17" t="str">
            <v>直营</v>
          </cell>
          <cell r="E17" t="str">
            <v>直营</v>
          </cell>
          <cell r="F17" t="str">
            <v>萧山区</v>
          </cell>
          <cell r="G17" t="str">
            <v>萧山区</v>
          </cell>
          <cell r="H17" t="str">
            <v>专卖店</v>
          </cell>
        </row>
        <row r="17">
          <cell r="J17">
            <v>52801</v>
          </cell>
        </row>
        <row r="17">
          <cell r="L17">
            <v>-1</v>
          </cell>
        </row>
        <row r="17">
          <cell r="O17" t="e">
            <v>#DIV/0!</v>
          </cell>
          <cell r="P17">
            <v>52801</v>
          </cell>
          <cell r="Q17">
            <v>0</v>
          </cell>
          <cell r="R17">
            <v>-1</v>
          </cell>
        </row>
        <row r="17">
          <cell r="U17" t="e">
            <v>#DIV/0!</v>
          </cell>
          <cell r="V17">
            <v>52801</v>
          </cell>
          <cell r="W17">
            <v>0</v>
          </cell>
          <cell r="X17">
            <v>-1</v>
          </cell>
        </row>
        <row r="17">
          <cell r="AA17" t="e">
            <v>#DIV/0!</v>
          </cell>
          <cell r="AB17">
            <v>52801</v>
          </cell>
          <cell r="AC17">
            <v>0</v>
          </cell>
          <cell r="AD17">
            <v>-1</v>
          </cell>
        </row>
        <row r="18">
          <cell r="C18" t="str">
            <v>（新）古墩新时代专卖店</v>
          </cell>
          <cell r="D18" t="str">
            <v>直营</v>
          </cell>
          <cell r="E18" t="str">
            <v>直营</v>
          </cell>
          <cell r="F18" t="str">
            <v>杭州市区</v>
          </cell>
          <cell r="G18" t="str">
            <v>西湖风景名胜区</v>
          </cell>
          <cell r="H18" t="str">
            <v>专卖店</v>
          </cell>
        </row>
        <row r="18">
          <cell r="J18">
            <v>-16596</v>
          </cell>
        </row>
        <row r="18">
          <cell r="L18">
            <v>-1</v>
          </cell>
        </row>
        <row r="18">
          <cell r="O18" t="e">
            <v>#DIV/0!</v>
          </cell>
          <cell r="P18">
            <v>-16596</v>
          </cell>
          <cell r="Q18">
            <v>0</v>
          </cell>
          <cell r="R18">
            <v>-1</v>
          </cell>
        </row>
        <row r="18">
          <cell r="U18" t="e">
            <v>#DIV/0!</v>
          </cell>
          <cell r="V18">
            <v>-16596</v>
          </cell>
          <cell r="W18">
            <v>0</v>
          </cell>
          <cell r="X18">
            <v>-1</v>
          </cell>
        </row>
        <row r="18">
          <cell r="AA18" t="e">
            <v>#DIV/0!</v>
          </cell>
          <cell r="AB18">
            <v>-16596</v>
          </cell>
          <cell r="AC18">
            <v>0</v>
          </cell>
          <cell r="AD18">
            <v>-1</v>
          </cell>
        </row>
        <row r="19">
          <cell r="C19" t="str">
            <v>（新）宏丰专卖店</v>
          </cell>
          <cell r="D19" t="str">
            <v>直营</v>
          </cell>
          <cell r="E19" t="str">
            <v>直营</v>
          </cell>
          <cell r="F19" t="str">
            <v>杭州市区</v>
          </cell>
          <cell r="G19" t="str">
            <v>市区</v>
          </cell>
          <cell r="H19" t="str">
            <v>专卖店</v>
          </cell>
        </row>
        <row r="19">
          <cell r="L19" t="e">
            <v>#DIV/0!</v>
          </cell>
          <cell r="M19">
            <v>-3358</v>
          </cell>
        </row>
        <row r="19">
          <cell r="O19">
            <v>-1</v>
          </cell>
          <cell r="P19">
            <v>-3358</v>
          </cell>
          <cell r="Q19">
            <v>0</v>
          </cell>
          <cell r="R19">
            <v>-1</v>
          </cell>
        </row>
        <row r="19">
          <cell r="U19" t="e">
            <v>#DIV/0!</v>
          </cell>
          <cell r="V19">
            <v>-3358</v>
          </cell>
          <cell r="W19">
            <v>0</v>
          </cell>
          <cell r="X19">
            <v>-1</v>
          </cell>
        </row>
        <row r="19">
          <cell r="AA19" t="e">
            <v>#DIV/0!</v>
          </cell>
          <cell r="AB19">
            <v>-3358</v>
          </cell>
          <cell r="AC19">
            <v>0</v>
          </cell>
          <cell r="AD19">
            <v>-1</v>
          </cell>
        </row>
        <row r="20">
          <cell r="C20" t="str">
            <v>杭州月星家居超级旗舰店</v>
          </cell>
          <cell r="D20" t="str">
            <v>直营</v>
          </cell>
          <cell r="E20" t="str">
            <v>直营</v>
          </cell>
          <cell r="F20" t="str">
            <v>杭州市区</v>
          </cell>
          <cell r="G20" t="str">
            <v>拱墅区</v>
          </cell>
          <cell r="H20" t="str">
            <v>专卖店</v>
          </cell>
        </row>
        <row r="20">
          <cell r="L20" t="e">
            <v>#DIV/0!</v>
          </cell>
        </row>
        <row r="20">
          <cell r="O20" t="e">
            <v>#DIV/0!</v>
          </cell>
          <cell r="P20">
            <v>0</v>
          </cell>
          <cell r="Q20">
            <v>0</v>
          </cell>
          <cell r="R20" t="e">
            <v>#DIV/0!</v>
          </cell>
        </row>
        <row r="20">
          <cell r="U20" t="e">
            <v>#DIV/0!</v>
          </cell>
          <cell r="V20">
            <v>0</v>
          </cell>
          <cell r="W20">
            <v>0</v>
          </cell>
          <cell r="X20" t="e">
            <v>#DIV/0!</v>
          </cell>
        </row>
        <row r="20">
          <cell r="AA20" t="e">
            <v>#DIV/0!</v>
          </cell>
          <cell r="AB20">
            <v>0</v>
          </cell>
          <cell r="AC20">
            <v>0</v>
          </cell>
          <cell r="AD20" t="e">
            <v>#DIV/0!</v>
          </cell>
        </row>
        <row r="21">
          <cell r="C21" t="str">
            <v>杭州恒大建材超级旗舰店</v>
          </cell>
          <cell r="D21" t="str">
            <v>直营</v>
          </cell>
          <cell r="E21" t="str">
            <v>直营</v>
          </cell>
          <cell r="F21" t="str">
            <v>杭州市区</v>
          </cell>
          <cell r="G21" t="str">
            <v>钱塘区</v>
          </cell>
          <cell r="H21" t="str">
            <v>专卖店</v>
          </cell>
          <cell r="I21">
            <v>230</v>
          </cell>
          <cell r="J21">
            <v>164507</v>
          </cell>
          <cell r="K21">
            <v>108230.5</v>
          </cell>
          <cell r="L21">
            <v>-0.34209182587975</v>
          </cell>
          <cell r="M21">
            <v>107411</v>
          </cell>
          <cell r="N21">
            <v>59256.4</v>
          </cell>
          <cell r="O21">
            <v>-0.448320935472158</v>
          </cell>
          <cell r="P21">
            <v>271918</v>
          </cell>
          <cell r="Q21">
            <v>167486.9</v>
          </cell>
          <cell r="R21">
            <v>-0.384053648526394</v>
          </cell>
          <cell r="S21">
            <v>318901</v>
          </cell>
          <cell r="T21">
            <v>109309.1</v>
          </cell>
          <cell r="U21">
            <v>-0.65723186819734</v>
          </cell>
          <cell r="V21">
            <v>590819</v>
          </cell>
          <cell r="W21">
            <v>276796</v>
          </cell>
          <cell r="X21">
            <v>-0.531504572466356</v>
          </cell>
          <cell r="Y21">
            <v>286782</v>
          </cell>
          <cell r="Z21">
            <v>130231</v>
          </cell>
          <cell r="AA21">
            <v>-0.545888514620862</v>
          </cell>
          <cell r="AB21">
            <v>877601</v>
          </cell>
          <cell r="AC21">
            <v>407027</v>
          </cell>
          <cell r="AD21">
            <v>-0.536204949629729</v>
          </cell>
          <cell r="AE21">
            <v>277032</v>
          </cell>
          <cell r="AF21">
            <v>123067.1</v>
          </cell>
        </row>
        <row r="22">
          <cell r="C22" t="str">
            <v>二轻爱威专卖店</v>
          </cell>
          <cell r="D22" t="str">
            <v>加盟</v>
          </cell>
          <cell r="E22" t="str">
            <v>加盟</v>
          </cell>
          <cell r="F22" t="str">
            <v>杭州市区</v>
          </cell>
          <cell r="G22" t="str">
            <v>拱墅区</v>
          </cell>
          <cell r="H22" t="str">
            <v>专卖店</v>
          </cell>
        </row>
        <row r="22">
          <cell r="J22">
            <v>78855</v>
          </cell>
          <cell r="K22">
            <v>24931</v>
          </cell>
          <cell r="L22">
            <v>-0.683837423118382</v>
          </cell>
          <cell r="M22">
            <v>39609</v>
          </cell>
          <cell r="N22">
            <v>30583</v>
          </cell>
          <cell r="O22">
            <v>-0.227877502587796</v>
          </cell>
          <cell r="P22">
            <v>118464</v>
          </cell>
          <cell r="Q22">
            <v>55514</v>
          </cell>
          <cell r="R22">
            <v>-0.531385062128579</v>
          </cell>
          <cell r="S22">
            <v>40486</v>
          </cell>
          <cell r="T22">
            <v>10700</v>
          </cell>
          <cell r="U22">
            <v>-0.735711110013338</v>
          </cell>
          <cell r="V22">
            <v>158950</v>
          </cell>
          <cell r="W22">
            <v>66214</v>
          </cell>
          <cell r="X22">
            <v>-0.583428751179616</v>
          </cell>
          <cell r="Y22">
            <v>45990</v>
          </cell>
        </row>
        <row r="22">
          <cell r="AA22">
            <v>-1</v>
          </cell>
          <cell r="AB22">
            <v>204940</v>
          </cell>
          <cell r="AC22">
            <v>66214</v>
          </cell>
          <cell r="AD22">
            <v>-0.676910315214209</v>
          </cell>
          <cell r="AE22">
            <v>26265</v>
          </cell>
          <cell r="AF22">
            <v>-3281.96</v>
          </cell>
        </row>
        <row r="23">
          <cell r="C23" t="str">
            <v>（新）滨江第六空间专卖店</v>
          </cell>
          <cell r="D23" t="str">
            <v>直营</v>
          </cell>
          <cell r="E23" t="str">
            <v>直营</v>
          </cell>
          <cell r="F23" t="str">
            <v>杭州市区</v>
          </cell>
          <cell r="G23" t="str">
            <v>滨江区</v>
          </cell>
          <cell r="H23" t="str">
            <v>专卖店</v>
          </cell>
          <cell r="I23">
            <v>280</v>
          </cell>
          <cell r="J23">
            <v>155330</v>
          </cell>
          <cell r="K23">
            <v>156262</v>
          </cell>
          <cell r="L23">
            <v>0.00600012875812794</v>
          </cell>
          <cell r="M23">
            <v>84728</v>
          </cell>
          <cell r="N23">
            <v>143497</v>
          </cell>
          <cell r="O23">
            <v>0.693619582664526</v>
          </cell>
          <cell r="P23">
            <v>240058</v>
          </cell>
          <cell r="Q23">
            <v>299759</v>
          </cell>
          <cell r="R23">
            <v>0.248694065600813</v>
          </cell>
          <cell r="S23">
            <v>296842</v>
          </cell>
          <cell r="T23">
            <v>199854.6</v>
          </cell>
          <cell r="U23">
            <v>-0.326730718698836</v>
          </cell>
          <cell r="V23">
            <v>536900</v>
          </cell>
          <cell r="W23">
            <v>499613.6</v>
          </cell>
          <cell r="X23">
            <v>-0.0694475693797728</v>
          </cell>
          <cell r="Y23">
            <v>180500</v>
          </cell>
          <cell r="Z23">
            <v>131199.7</v>
          </cell>
          <cell r="AA23">
            <v>-0.273131855955679</v>
          </cell>
          <cell r="AB23">
            <v>717400</v>
          </cell>
          <cell r="AC23">
            <v>630813.3</v>
          </cell>
          <cell r="AD23">
            <v>-0.120695149149707</v>
          </cell>
          <cell r="AE23">
            <v>190972</v>
          </cell>
          <cell r="AF23">
            <v>160705</v>
          </cell>
        </row>
        <row r="24">
          <cell r="C24" t="str">
            <v>杭州日新人工环境工程有限公司</v>
          </cell>
          <cell r="D24" t="str">
            <v>暖通</v>
          </cell>
          <cell r="E24" t="str">
            <v>暖通</v>
          </cell>
          <cell r="F24" t="str">
            <v>杭州市区</v>
          </cell>
          <cell r="G24" t="str">
            <v>西湖风景名胜区</v>
          </cell>
          <cell r="H24" t="str">
            <v>陈雪君</v>
          </cell>
        </row>
        <row r="24">
          <cell r="L24" t="e">
            <v>#DIV/0!</v>
          </cell>
        </row>
        <row r="24">
          <cell r="O24" t="e">
            <v>#DIV/0!</v>
          </cell>
          <cell r="P24">
            <v>0</v>
          </cell>
          <cell r="Q24">
            <v>0</v>
          </cell>
          <cell r="R24" t="e">
            <v>#DIV/0!</v>
          </cell>
          <cell r="S24">
            <v>790</v>
          </cell>
        </row>
        <row r="24">
          <cell r="U24">
            <v>-1</v>
          </cell>
          <cell r="V24">
            <v>790</v>
          </cell>
          <cell r="W24">
            <v>0</v>
          </cell>
          <cell r="X24">
            <v>-1</v>
          </cell>
        </row>
        <row r="24">
          <cell r="AA24" t="e">
            <v>#DIV/0!</v>
          </cell>
          <cell r="AB24">
            <v>790</v>
          </cell>
          <cell r="AC24">
            <v>0</v>
          </cell>
          <cell r="AD24">
            <v>-1</v>
          </cell>
        </row>
        <row r="25">
          <cell r="C25" t="str">
            <v>杭州汇意商贸有限公司</v>
          </cell>
          <cell r="D25" t="str">
            <v>暖通</v>
          </cell>
          <cell r="E25" t="str">
            <v>暖通</v>
          </cell>
          <cell r="F25" t="str">
            <v>杭州市区</v>
          </cell>
          <cell r="G25" t="str">
            <v>拱墅区</v>
          </cell>
          <cell r="H25" t="str">
            <v>陈雪君</v>
          </cell>
        </row>
        <row r="25">
          <cell r="L25" t="e">
            <v>#DIV/0!</v>
          </cell>
        </row>
        <row r="25"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</row>
        <row r="25"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</row>
        <row r="25">
          <cell r="AA25" t="e">
            <v>#DIV/0!</v>
          </cell>
          <cell r="AB25">
            <v>0</v>
          </cell>
          <cell r="AC25">
            <v>0</v>
          </cell>
          <cell r="AD25" t="e">
            <v>#DIV/0!</v>
          </cell>
        </row>
        <row r="26">
          <cell r="C26" t="str">
            <v>浙江初韵供应链管理有限公司</v>
          </cell>
          <cell r="D26" t="str">
            <v>经销</v>
          </cell>
          <cell r="E26" t="str">
            <v>经销</v>
          </cell>
          <cell r="F26" t="str">
            <v>杭州市区</v>
          </cell>
          <cell r="G26" t="str">
            <v>上城区</v>
          </cell>
          <cell r="H26" t="str">
            <v>董培培</v>
          </cell>
          <cell r="I26">
            <v>24</v>
          </cell>
          <cell r="J26">
            <v>20000</v>
          </cell>
          <cell r="K26">
            <v>10000</v>
          </cell>
          <cell r="L26">
            <v>-0.5</v>
          </cell>
        </row>
        <row r="26">
          <cell r="O26" t="e">
            <v>#DIV/0!</v>
          </cell>
          <cell r="P26">
            <v>20000</v>
          </cell>
          <cell r="Q26">
            <v>10000</v>
          </cell>
          <cell r="R26">
            <v>-0.5</v>
          </cell>
          <cell r="S26">
            <v>40000</v>
          </cell>
          <cell r="T26">
            <v>24752.5</v>
          </cell>
          <cell r="U26">
            <v>-0.3811875</v>
          </cell>
          <cell r="V26">
            <v>60000</v>
          </cell>
          <cell r="W26">
            <v>34752.5</v>
          </cell>
          <cell r="X26">
            <v>-0.420791666666667</v>
          </cell>
          <cell r="Y26">
            <v>30000</v>
          </cell>
        </row>
        <row r="26">
          <cell r="AA26">
            <v>-1</v>
          </cell>
          <cell r="AB26">
            <v>90000</v>
          </cell>
          <cell r="AC26">
            <v>34752.5</v>
          </cell>
          <cell r="AD26">
            <v>-0.613861111111111</v>
          </cell>
          <cell r="AE26">
            <v>40100</v>
          </cell>
        </row>
        <row r="27">
          <cell r="C27" t="str">
            <v>杭州红星美凯龙一号店</v>
          </cell>
          <cell r="D27" t="str">
            <v>直营</v>
          </cell>
          <cell r="E27" t="str">
            <v>直营</v>
          </cell>
          <cell r="F27" t="str">
            <v>杭州市区</v>
          </cell>
          <cell r="G27" t="str">
            <v>西湖风景名胜区</v>
          </cell>
          <cell r="H27" t="str">
            <v>专卖店</v>
          </cell>
          <cell r="I27">
            <v>400</v>
          </cell>
          <cell r="J27">
            <v>304654</v>
          </cell>
          <cell r="K27">
            <v>248878.5</v>
          </cell>
          <cell r="L27">
            <v>-0.183078180493281</v>
          </cell>
          <cell r="M27">
            <v>67549</v>
          </cell>
          <cell r="N27">
            <v>359062</v>
          </cell>
          <cell r="O27">
            <v>4.31557832092259</v>
          </cell>
          <cell r="P27">
            <v>372203</v>
          </cell>
          <cell r="Q27">
            <v>607940.5</v>
          </cell>
          <cell r="R27">
            <v>0.6333573345728</v>
          </cell>
          <cell r="S27">
            <v>191851</v>
          </cell>
          <cell r="T27">
            <v>586860</v>
          </cell>
          <cell r="U27">
            <v>2.05893636207265</v>
          </cell>
          <cell r="V27">
            <v>564054</v>
          </cell>
          <cell r="W27">
            <v>1194800.5</v>
          </cell>
          <cell r="X27">
            <v>1.11823779283544</v>
          </cell>
          <cell r="Y27">
            <v>73138</v>
          </cell>
          <cell r="Z27">
            <v>381502</v>
          </cell>
          <cell r="AA27">
            <v>4.21619404413574</v>
          </cell>
          <cell r="AB27">
            <v>637192</v>
          </cell>
          <cell r="AC27">
            <v>1576302.5</v>
          </cell>
          <cell r="AD27">
            <v>1.47382657032731</v>
          </cell>
          <cell r="AE27">
            <v>208668</v>
          </cell>
          <cell r="AF27">
            <v>418566</v>
          </cell>
        </row>
        <row r="28">
          <cell r="C28" t="str">
            <v>杭州德业电器有限公司</v>
          </cell>
          <cell r="D28" t="str">
            <v>经销</v>
          </cell>
          <cell r="E28" t="str">
            <v>经销</v>
          </cell>
          <cell r="F28" t="str">
            <v>杭州市区</v>
          </cell>
          <cell r="G28" t="str">
            <v>上城区</v>
          </cell>
          <cell r="H28" t="str">
            <v>吴海林</v>
          </cell>
          <cell r="I28">
            <v>0</v>
          </cell>
          <cell r="J28">
            <v>4124</v>
          </cell>
        </row>
        <row r="28">
          <cell r="L28">
            <v>-1</v>
          </cell>
        </row>
        <row r="28">
          <cell r="O28" t="e">
            <v>#DIV/0!</v>
          </cell>
          <cell r="P28">
            <v>4124</v>
          </cell>
          <cell r="Q28">
            <v>0</v>
          </cell>
          <cell r="R28">
            <v>-1</v>
          </cell>
          <cell r="S28">
            <v>4124</v>
          </cell>
        </row>
        <row r="28">
          <cell r="U28">
            <v>-1</v>
          </cell>
          <cell r="V28">
            <v>8248</v>
          </cell>
          <cell r="W28">
            <v>0</v>
          </cell>
          <cell r="X28">
            <v>-1</v>
          </cell>
        </row>
        <row r="28">
          <cell r="AA28" t="e">
            <v>#DIV/0!</v>
          </cell>
          <cell r="AB28">
            <v>8248</v>
          </cell>
          <cell r="AC28">
            <v>0</v>
          </cell>
          <cell r="AD28">
            <v>-1</v>
          </cell>
        </row>
        <row r="29">
          <cell r="C29" t="str">
            <v>杭州市余杭区临平街道泽晨材料商行</v>
          </cell>
          <cell r="D29" t="str">
            <v>经销</v>
          </cell>
          <cell r="E29" t="str">
            <v>经销</v>
          </cell>
          <cell r="F29" t="str">
            <v>临平区</v>
          </cell>
          <cell r="G29" t="str">
            <v>临平区</v>
          </cell>
          <cell r="H29" t="str">
            <v>吴海林</v>
          </cell>
        </row>
        <row r="29">
          <cell r="J29">
            <v>10000</v>
          </cell>
        </row>
        <row r="29">
          <cell r="L29">
            <v>-1</v>
          </cell>
        </row>
        <row r="29">
          <cell r="O29" t="e">
            <v>#DIV/0!</v>
          </cell>
          <cell r="P29">
            <v>10000</v>
          </cell>
          <cell r="Q29">
            <v>0</v>
          </cell>
          <cell r="R29">
            <v>-1</v>
          </cell>
        </row>
        <row r="29">
          <cell r="U29" t="e">
            <v>#DIV/0!</v>
          </cell>
          <cell r="V29">
            <v>10000</v>
          </cell>
          <cell r="W29">
            <v>0</v>
          </cell>
          <cell r="X29">
            <v>-1</v>
          </cell>
        </row>
        <row r="29">
          <cell r="AA29" t="e">
            <v>#DIV/0!</v>
          </cell>
          <cell r="AB29">
            <v>10000</v>
          </cell>
          <cell r="AC29">
            <v>0</v>
          </cell>
          <cell r="AD29">
            <v>-1</v>
          </cell>
        </row>
        <row r="30">
          <cell r="C30" t="str">
            <v>浙江顶戴环境设备有限公司</v>
          </cell>
          <cell r="D30" t="str">
            <v>暖通</v>
          </cell>
          <cell r="E30" t="str">
            <v>暖通</v>
          </cell>
          <cell r="F30" t="str">
            <v>杭州市区</v>
          </cell>
          <cell r="G30" t="str">
            <v>钱塘区</v>
          </cell>
          <cell r="H30" t="str">
            <v>陈雪君</v>
          </cell>
        </row>
        <row r="30">
          <cell r="J30">
            <v>2591</v>
          </cell>
        </row>
        <row r="30">
          <cell r="L30">
            <v>-1</v>
          </cell>
        </row>
        <row r="30">
          <cell r="O30" t="e">
            <v>#DIV/0!</v>
          </cell>
          <cell r="P30">
            <v>2591</v>
          </cell>
          <cell r="Q30">
            <v>0</v>
          </cell>
          <cell r="R30">
            <v>-1</v>
          </cell>
        </row>
        <row r="30">
          <cell r="U30" t="e">
            <v>#DIV/0!</v>
          </cell>
          <cell r="V30">
            <v>2591</v>
          </cell>
          <cell r="W30">
            <v>0</v>
          </cell>
          <cell r="X30">
            <v>-1</v>
          </cell>
        </row>
        <row r="30">
          <cell r="AA30" t="e">
            <v>#DIV/0!</v>
          </cell>
          <cell r="AB30">
            <v>2591</v>
          </cell>
          <cell r="AC30">
            <v>0</v>
          </cell>
          <cell r="AD30">
            <v>-1</v>
          </cell>
        </row>
        <row r="31">
          <cell r="C31" t="str">
            <v>浙江元天电子商务有限公司</v>
          </cell>
          <cell r="D31" t="str">
            <v>经销</v>
          </cell>
          <cell r="E31" t="str">
            <v>经销</v>
          </cell>
          <cell r="F31" t="str">
            <v>杭州市区</v>
          </cell>
          <cell r="G31" t="str">
            <v>滨江区</v>
          </cell>
          <cell r="H31" t="str">
            <v>黄颖</v>
          </cell>
          <cell r="I31">
            <v>20</v>
          </cell>
          <cell r="J31">
            <v>20582</v>
          </cell>
          <cell r="K31">
            <v>14679</v>
          </cell>
          <cell r="L31">
            <v>-0.286804003498202</v>
          </cell>
          <cell r="M31">
            <v>3939</v>
          </cell>
        </row>
        <row r="31">
          <cell r="O31">
            <v>-1</v>
          </cell>
          <cell r="P31">
            <v>24521</v>
          </cell>
          <cell r="Q31">
            <v>14679</v>
          </cell>
          <cell r="R31">
            <v>-0.401370254067942</v>
          </cell>
        </row>
        <row r="31">
          <cell r="T31">
            <v>3148</v>
          </cell>
          <cell r="U31" t="e">
            <v>#DIV/0!</v>
          </cell>
          <cell r="V31">
            <v>24521</v>
          </cell>
          <cell r="W31">
            <v>17827</v>
          </cell>
          <cell r="X31">
            <v>-0.272990497940541</v>
          </cell>
          <cell r="Y31">
            <v>23069</v>
          </cell>
          <cell r="Z31">
            <v>13909</v>
          </cell>
          <cell r="AA31">
            <v>-0.397069660583467</v>
          </cell>
          <cell r="AB31">
            <v>47590</v>
          </cell>
          <cell r="AC31">
            <v>31736</v>
          </cell>
          <cell r="AD31">
            <v>-0.333137213700357</v>
          </cell>
          <cell r="AE31">
            <v>27908</v>
          </cell>
          <cell r="AF31">
            <v>8765</v>
          </cell>
        </row>
        <row r="32">
          <cell r="C32" t="str">
            <v>杭州澎湃电器有限公司</v>
          </cell>
          <cell r="D32" t="str">
            <v>家装</v>
          </cell>
          <cell r="E32" t="str">
            <v>家装</v>
          </cell>
          <cell r="F32" t="str">
            <v>杭州市区</v>
          </cell>
          <cell r="G32" t="str">
            <v>上城区</v>
          </cell>
          <cell r="H32" t="str">
            <v>黄颖</v>
          </cell>
        </row>
        <row r="32">
          <cell r="J32">
            <v>7088</v>
          </cell>
        </row>
        <row r="32">
          <cell r="L32">
            <v>-1</v>
          </cell>
        </row>
        <row r="32">
          <cell r="O32" t="e">
            <v>#DIV/0!</v>
          </cell>
          <cell r="P32">
            <v>7088</v>
          </cell>
          <cell r="Q32">
            <v>0</v>
          </cell>
          <cell r="R32">
            <v>-1</v>
          </cell>
        </row>
        <row r="32">
          <cell r="U32" t="e">
            <v>#DIV/0!</v>
          </cell>
          <cell r="V32">
            <v>7088</v>
          </cell>
          <cell r="W32">
            <v>0</v>
          </cell>
          <cell r="X32">
            <v>-1</v>
          </cell>
        </row>
        <row r="32">
          <cell r="AA32" t="e">
            <v>#DIV/0!</v>
          </cell>
          <cell r="AB32">
            <v>7088</v>
          </cell>
          <cell r="AC32">
            <v>0</v>
          </cell>
          <cell r="AD32">
            <v>-1</v>
          </cell>
        </row>
        <row r="33">
          <cell r="C33" t="str">
            <v>杭州中博智能电器有限公司</v>
          </cell>
          <cell r="D33" t="str">
            <v>家装</v>
          </cell>
          <cell r="E33" t="str">
            <v>家装</v>
          </cell>
          <cell r="F33" t="str">
            <v>杭州市区</v>
          </cell>
          <cell r="G33" t="str">
            <v>上城区</v>
          </cell>
          <cell r="H33" t="str">
            <v>黄颖</v>
          </cell>
          <cell r="I33">
            <v>200</v>
          </cell>
          <cell r="J33">
            <v>91657.28</v>
          </cell>
          <cell r="K33">
            <v>218873.82</v>
          </cell>
          <cell r="L33">
            <v>1.38795892699412</v>
          </cell>
        </row>
        <row r="33">
          <cell r="N33">
            <v>131893.4</v>
          </cell>
          <cell r="O33" t="e">
            <v>#DIV/0!</v>
          </cell>
          <cell r="P33">
            <v>91657.28</v>
          </cell>
          <cell r="Q33">
            <v>350767.22</v>
          </cell>
          <cell r="R33">
            <v>2.82694336991017</v>
          </cell>
          <cell r="S33">
            <v>98407.6</v>
          </cell>
          <cell r="T33">
            <v>143496.71</v>
          </cell>
          <cell r="U33">
            <v>0.458187274153622</v>
          </cell>
          <cell r="V33">
            <v>190064.88</v>
          </cell>
          <cell r="W33">
            <v>494263.93</v>
          </cell>
          <cell r="X33">
            <v>1.60050110257087</v>
          </cell>
          <cell r="Y33">
            <v>88389.8</v>
          </cell>
          <cell r="Z33">
            <v>34200.39</v>
          </cell>
          <cell r="AA33">
            <v>-0.613073114771161</v>
          </cell>
          <cell r="AB33">
            <v>278454.68</v>
          </cell>
          <cell r="AC33">
            <v>528464.32</v>
          </cell>
          <cell r="AD33">
            <v>0.897846787850719</v>
          </cell>
          <cell r="AE33">
            <v>181882.45</v>
          </cell>
          <cell r="AF33">
            <v>134290.18</v>
          </cell>
        </row>
        <row r="34">
          <cell r="C34" t="str">
            <v>浙江都都装饰有限公司</v>
          </cell>
          <cell r="D34" t="str">
            <v>家装</v>
          </cell>
          <cell r="E34" t="str">
            <v>家装</v>
          </cell>
          <cell r="F34" t="str">
            <v>杭州市区</v>
          </cell>
          <cell r="G34" t="str">
            <v>拱墅区</v>
          </cell>
          <cell r="H34" t="str">
            <v>黄颖</v>
          </cell>
          <cell r="I34">
            <v>60</v>
          </cell>
          <cell r="J34">
            <v>16779</v>
          </cell>
          <cell r="K34">
            <v>37387</v>
          </cell>
          <cell r="L34">
            <v>1.2282019190655</v>
          </cell>
        </row>
        <row r="34">
          <cell r="O34" t="e">
            <v>#DIV/0!</v>
          </cell>
          <cell r="P34">
            <v>16779</v>
          </cell>
          <cell r="Q34">
            <v>37387</v>
          </cell>
          <cell r="R34">
            <v>1.2282019190655</v>
          </cell>
          <cell r="S34">
            <v>7332</v>
          </cell>
        </row>
        <row r="34">
          <cell r="U34">
            <v>-1</v>
          </cell>
          <cell r="V34">
            <v>24111</v>
          </cell>
          <cell r="W34">
            <v>37387</v>
          </cell>
          <cell r="X34">
            <v>0.550620048940318</v>
          </cell>
          <cell r="Y34">
            <v>49926</v>
          </cell>
          <cell r="Z34">
            <v>71744</v>
          </cell>
          <cell r="AA34">
            <v>0.437006770019629</v>
          </cell>
          <cell r="AB34">
            <v>74037</v>
          </cell>
          <cell r="AC34">
            <v>109131</v>
          </cell>
          <cell r="AD34">
            <v>0.474006240123182</v>
          </cell>
          <cell r="AE34">
            <v>57887</v>
          </cell>
          <cell r="AF34">
            <v>85422</v>
          </cell>
        </row>
        <row r="35">
          <cell r="C35" t="str">
            <v>桐庐县城南街道正亿家电经营部</v>
          </cell>
          <cell r="D35" t="str">
            <v>经销</v>
          </cell>
          <cell r="E35" t="str">
            <v>经销</v>
          </cell>
          <cell r="F35" t="str">
            <v>桐庐县</v>
          </cell>
          <cell r="G35" t="str">
            <v>桐庐县</v>
          </cell>
          <cell r="H35" t="str">
            <v>吴海林</v>
          </cell>
          <cell r="I35">
            <v>0</v>
          </cell>
        </row>
        <row r="35">
          <cell r="L35" t="e">
            <v>#DIV/0!</v>
          </cell>
        </row>
        <row r="35">
          <cell r="O35" t="e">
            <v>#DIV/0!</v>
          </cell>
          <cell r="P35">
            <v>0</v>
          </cell>
          <cell r="Q35">
            <v>0</v>
          </cell>
          <cell r="R35" t="e">
            <v>#DIV/0!</v>
          </cell>
          <cell r="S35">
            <v>26405</v>
          </cell>
        </row>
        <row r="35">
          <cell r="U35">
            <v>-1</v>
          </cell>
          <cell r="V35">
            <v>26405</v>
          </cell>
          <cell r="W35">
            <v>0</v>
          </cell>
          <cell r="X35">
            <v>-1</v>
          </cell>
        </row>
        <row r="35">
          <cell r="AA35" t="e">
            <v>#DIV/0!</v>
          </cell>
          <cell r="AB35">
            <v>26405</v>
          </cell>
          <cell r="AC35">
            <v>0</v>
          </cell>
          <cell r="AD35">
            <v>-1</v>
          </cell>
        </row>
        <row r="36">
          <cell r="C36" t="str">
            <v>杭州中瑞工程技术有限公司</v>
          </cell>
          <cell r="D36" t="str">
            <v>经销</v>
          </cell>
          <cell r="E36" t="str">
            <v>经销</v>
          </cell>
          <cell r="F36" t="str">
            <v>杭州市区</v>
          </cell>
          <cell r="G36" t="str">
            <v>市区</v>
          </cell>
          <cell r="H36" t="str">
            <v>陈雪君</v>
          </cell>
        </row>
        <row r="36">
          <cell r="J36">
            <v>50000</v>
          </cell>
        </row>
        <row r="36">
          <cell r="L36">
            <v>-1</v>
          </cell>
          <cell r="M36">
            <v>39000</v>
          </cell>
          <cell r="N36">
            <v>20000</v>
          </cell>
          <cell r="O36">
            <v>-0.487179487179487</v>
          </cell>
          <cell r="P36">
            <v>89000</v>
          </cell>
          <cell r="Q36">
            <v>20000</v>
          </cell>
          <cell r="R36">
            <v>-0.775280898876405</v>
          </cell>
          <cell r="S36">
            <v>35000</v>
          </cell>
        </row>
        <row r="36">
          <cell r="U36">
            <v>-1</v>
          </cell>
          <cell r="V36">
            <v>124000</v>
          </cell>
          <cell r="W36">
            <v>20000</v>
          </cell>
          <cell r="X36">
            <v>-0.838709677419355</v>
          </cell>
          <cell r="Y36">
            <v>190000</v>
          </cell>
        </row>
        <row r="36">
          <cell r="AA36">
            <v>-1</v>
          </cell>
          <cell r="AB36">
            <v>314000</v>
          </cell>
          <cell r="AC36">
            <v>20000</v>
          </cell>
          <cell r="AD36">
            <v>-0.936305732484076</v>
          </cell>
          <cell r="AE36">
            <v>50000</v>
          </cell>
        </row>
        <row r="37">
          <cell r="C37" t="str">
            <v>苏宁易购集团股份有限公司苏宁采购中心</v>
          </cell>
          <cell r="D37" t="str">
            <v>经销</v>
          </cell>
          <cell r="E37" t="str">
            <v>经销</v>
          </cell>
          <cell r="F37" t="str">
            <v>杭州市区</v>
          </cell>
          <cell r="G37" t="str">
            <v>市区</v>
          </cell>
          <cell r="H37" t="str">
            <v>陈雪君</v>
          </cell>
        </row>
        <row r="37">
          <cell r="K37">
            <v>5208.12</v>
          </cell>
          <cell r="L37" t="e">
            <v>#DIV/0!</v>
          </cell>
        </row>
        <row r="37">
          <cell r="N37">
            <v>713</v>
          </cell>
          <cell r="O37" t="e">
            <v>#DIV/0!</v>
          </cell>
          <cell r="P37">
            <v>0</v>
          </cell>
          <cell r="Q37">
            <v>5921.12</v>
          </cell>
          <cell r="R37" t="e">
            <v>#DIV/0!</v>
          </cell>
        </row>
        <row r="37">
          <cell r="U37" t="e">
            <v>#DIV/0!</v>
          </cell>
          <cell r="V37">
            <v>0</v>
          </cell>
          <cell r="W37">
            <v>5921.12</v>
          </cell>
          <cell r="X37" t="e">
            <v>#DIV/0!</v>
          </cell>
        </row>
        <row r="37">
          <cell r="AA37" t="e">
            <v>#DIV/0!</v>
          </cell>
          <cell r="AB37">
            <v>0</v>
          </cell>
          <cell r="AC37">
            <v>5921.12</v>
          </cell>
          <cell r="AD37" t="e">
            <v>#DIV/0!</v>
          </cell>
        </row>
        <row r="38">
          <cell r="C38" t="str">
            <v>杭州华东家电市场铁人电器商行</v>
          </cell>
          <cell r="D38" t="str">
            <v>经销</v>
          </cell>
          <cell r="E38" t="str">
            <v>经销</v>
          </cell>
          <cell r="F38" t="str">
            <v>杭州市区</v>
          </cell>
          <cell r="G38" t="str">
            <v>市区</v>
          </cell>
          <cell r="H38" t="str">
            <v>李燕霞</v>
          </cell>
          <cell r="I38">
            <v>20</v>
          </cell>
        </row>
        <row r="38">
          <cell r="L38" t="e">
            <v>#DIV/0!</v>
          </cell>
        </row>
        <row r="38">
          <cell r="O38" t="e">
            <v>#DIV/0!</v>
          </cell>
          <cell r="P38">
            <v>0</v>
          </cell>
          <cell r="Q38">
            <v>0</v>
          </cell>
          <cell r="R38" t="e">
            <v>#DIV/0!</v>
          </cell>
        </row>
        <row r="38">
          <cell r="U38" t="e">
            <v>#DIV/0!</v>
          </cell>
          <cell r="V38">
            <v>0</v>
          </cell>
          <cell r="W38">
            <v>0</v>
          </cell>
          <cell r="X38" t="e">
            <v>#DIV/0!</v>
          </cell>
        </row>
        <row r="38">
          <cell r="AA38" t="e">
            <v>#DIV/0!</v>
          </cell>
          <cell r="AB38">
            <v>0</v>
          </cell>
          <cell r="AC38">
            <v>0</v>
          </cell>
          <cell r="AD38" t="e">
            <v>#DIV/0!</v>
          </cell>
        </row>
        <row r="39">
          <cell r="C39" t="str">
            <v>杭州殊晟机电设备有限公司</v>
          </cell>
          <cell r="D39" t="str">
            <v>经销</v>
          </cell>
          <cell r="E39" t="str">
            <v>经销</v>
          </cell>
          <cell r="F39" t="str">
            <v>杭州市区</v>
          </cell>
          <cell r="G39" t="str">
            <v>市区</v>
          </cell>
          <cell r="H39" t="str">
            <v>李燕霞</v>
          </cell>
        </row>
        <row r="39">
          <cell r="L39" t="e">
            <v>#DIV/0!</v>
          </cell>
        </row>
        <row r="39">
          <cell r="O39" t="e">
            <v>#DIV/0!</v>
          </cell>
          <cell r="P39">
            <v>0</v>
          </cell>
          <cell r="Q39">
            <v>0</v>
          </cell>
          <cell r="R39" t="e">
            <v>#DIV/0!</v>
          </cell>
        </row>
        <row r="39">
          <cell r="U39" t="e">
            <v>#DIV/0!</v>
          </cell>
          <cell r="V39">
            <v>0</v>
          </cell>
          <cell r="W39">
            <v>0</v>
          </cell>
          <cell r="X39" t="e">
            <v>#DIV/0!</v>
          </cell>
        </row>
        <row r="39">
          <cell r="AA39" t="e">
            <v>#DIV/0!</v>
          </cell>
          <cell r="AB39">
            <v>0</v>
          </cell>
          <cell r="AC39">
            <v>0</v>
          </cell>
          <cell r="AD39" t="e">
            <v>#DIV/0!</v>
          </cell>
        </row>
        <row r="40">
          <cell r="C40" t="str">
            <v>滨江六空8090店</v>
          </cell>
          <cell r="D40" t="str">
            <v>直营</v>
          </cell>
          <cell r="E40" t="str">
            <v>直营</v>
          </cell>
          <cell r="F40" t="str">
            <v>杭州市区</v>
          </cell>
          <cell r="G40" t="str">
            <v>滨江区</v>
          </cell>
          <cell r="H40" t="str">
            <v>专卖店</v>
          </cell>
          <cell r="I40">
            <v>370</v>
          </cell>
        </row>
        <row r="40">
          <cell r="K40">
            <v>128272</v>
          </cell>
          <cell r="L40" t="e">
            <v>#DIV/0!</v>
          </cell>
        </row>
        <row r="40">
          <cell r="N40">
            <v>300432</v>
          </cell>
          <cell r="O40" t="e">
            <v>#DIV/0!</v>
          </cell>
          <cell r="P40">
            <v>0</v>
          </cell>
          <cell r="Q40">
            <v>428704</v>
          </cell>
          <cell r="R40" t="e">
            <v>#DIV/0!</v>
          </cell>
        </row>
        <row r="40">
          <cell r="T40">
            <v>378127</v>
          </cell>
          <cell r="U40" t="e">
            <v>#DIV/0!</v>
          </cell>
          <cell r="V40">
            <v>0</v>
          </cell>
          <cell r="W40">
            <v>806831</v>
          </cell>
          <cell r="X40" t="e">
            <v>#DIV/0!</v>
          </cell>
        </row>
        <row r="40">
          <cell r="Z40">
            <v>418240</v>
          </cell>
          <cell r="AA40" t="e">
            <v>#DIV/0!</v>
          </cell>
          <cell r="AB40">
            <v>0</v>
          </cell>
          <cell r="AC40">
            <v>1225071</v>
          </cell>
          <cell r="AD40" t="e">
            <v>#DIV/0!</v>
          </cell>
        </row>
        <row r="40">
          <cell r="AF40">
            <v>306225</v>
          </cell>
        </row>
        <row r="41">
          <cell r="C41" t="str">
            <v>萧山第六空间专卖店</v>
          </cell>
          <cell r="D41" t="str">
            <v>直营</v>
          </cell>
          <cell r="E41" t="str">
            <v>直营</v>
          </cell>
          <cell r="F41" t="str">
            <v>萧山区</v>
          </cell>
          <cell r="G41" t="str">
            <v>市区</v>
          </cell>
          <cell r="H41" t="str">
            <v>专卖店</v>
          </cell>
          <cell r="I41">
            <v>170</v>
          </cell>
        </row>
        <row r="41">
          <cell r="K41">
            <v>840</v>
          </cell>
          <cell r="L41" t="e">
            <v>#DIV/0!</v>
          </cell>
        </row>
        <row r="41">
          <cell r="N41">
            <v>30008</v>
          </cell>
          <cell r="O41" t="e">
            <v>#DIV/0!</v>
          </cell>
          <cell r="P41">
            <v>0</v>
          </cell>
          <cell r="Q41">
            <v>30848</v>
          </cell>
          <cell r="R41" t="e">
            <v>#DIV/0!</v>
          </cell>
        </row>
        <row r="41">
          <cell r="T41">
            <v>250109.6</v>
          </cell>
          <cell r="U41" t="e">
            <v>#DIV/0!</v>
          </cell>
          <cell r="V41">
            <v>0</v>
          </cell>
          <cell r="W41">
            <v>280957.6</v>
          </cell>
          <cell r="X41" t="e">
            <v>#DIV/0!</v>
          </cell>
        </row>
        <row r="41">
          <cell r="Z41">
            <v>296574</v>
          </cell>
          <cell r="AA41" t="e">
            <v>#DIV/0!</v>
          </cell>
          <cell r="AB41">
            <v>0</v>
          </cell>
          <cell r="AC41">
            <v>577531.6</v>
          </cell>
          <cell r="AD41" t="e">
            <v>#DIV/0!</v>
          </cell>
        </row>
        <row r="41">
          <cell r="AF41">
            <v>255533</v>
          </cell>
        </row>
        <row r="42">
          <cell r="C42" t="str">
            <v>政采云</v>
          </cell>
          <cell r="D42" t="str">
            <v>经销</v>
          </cell>
          <cell r="E42" t="str">
            <v>经销</v>
          </cell>
          <cell r="F42" t="str">
            <v>杭州市区</v>
          </cell>
        </row>
        <row r="42">
          <cell r="H42" t="str">
            <v>陈雪君</v>
          </cell>
        </row>
        <row r="42">
          <cell r="L42" t="e">
            <v>#DIV/0!</v>
          </cell>
        </row>
        <row r="42">
          <cell r="O42" t="e">
            <v>#DIV/0!</v>
          </cell>
          <cell r="P42">
            <v>0</v>
          </cell>
          <cell r="Q42">
            <v>0</v>
          </cell>
          <cell r="R42" t="e">
            <v>#DIV/0!</v>
          </cell>
        </row>
        <row r="42">
          <cell r="U42" t="e">
            <v>#DIV/0!</v>
          </cell>
          <cell r="V42">
            <v>0</v>
          </cell>
          <cell r="W42">
            <v>0</v>
          </cell>
          <cell r="X42" t="e">
            <v>#DIV/0!</v>
          </cell>
        </row>
        <row r="42">
          <cell r="AA42" t="e">
            <v>#DIV/0!</v>
          </cell>
          <cell r="AB42">
            <v>0</v>
          </cell>
          <cell r="AC42">
            <v>0</v>
          </cell>
          <cell r="AD42" t="e">
            <v>#DIV/0!</v>
          </cell>
        </row>
        <row r="43">
          <cell r="C43" t="str">
            <v>杭州装家百科电器有限公司</v>
          </cell>
          <cell r="D43" t="str">
            <v>家装</v>
          </cell>
          <cell r="E43" t="str">
            <v>家装</v>
          </cell>
          <cell r="F43" t="str">
            <v>杭州市区</v>
          </cell>
          <cell r="G43" t="str">
            <v>西湖区</v>
          </cell>
          <cell r="H43" t="str">
            <v>黄颖</v>
          </cell>
          <cell r="I43">
            <v>80</v>
          </cell>
        </row>
        <row r="43">
          <cell r="T43">
            <v>10661</v>
          </cell>
          <cell r="U43" t="e">
            <v>#DIV/0!</v>
          </cell>
          <cell r="V43">
            <v>0</v>
          </cell>
          <cell r="W43">
            <v>10661</v>
          </cell>
          <cell r="X43" t="e">
            <v>#DIV/0!</v>
          </cell>
        </row>
        <row r="43">
          <cell r="Z43">
            <v>15411</v>
          </cell>
          <cell r="AA43" t="e">
            <v>#DIV/0!</v>
          </cell>
          <cell r="AB43">
            <v>0</v>
          </cell>
          <cell r="AC43">
            <v>26072</v>
          </cell>
          <cell r="AD43" t="e">
            <v>#DIV/0!</v>
          </cell>
        </row>
        <row r="43">
          <cell r="AF43">
            <v>3348</v>
          </cell>
        </row>
        <row r="44">
          <cell r="C44" t="str">
            <v>贝壳美家供应链管理（浙江）有限责任公司</v>
          </cell>
          <cell r="D44" t="str">
            <v>家装</v>
          </cell>
          <cell r="E44" t="str">
            <v>家装</v>
          </cell>
          <cell r="F44" t="str">
            <v>杭州市区</v>
          </cell>
          <cell r="G44" t="str">
            <v>拱墅区</v>
          </cell>
          <cell r="H44" t="str">
            <v>黄颖</v>
          </cell>
        </row>
        <row r="44">
          <cell r="T44">
            <v>7250</v>
          </cell>
          <cell r="U44" t="e">
            <v>#DIV/0!</v>
          </cell>
          <cell r="V44">
            <v>0</v>
          </cell>
          <cell r="W44">
            <v>7250</v>
          </cell>
          <cell r="X44" t="e">
            <v>#DIV/0!</v>
          </cell>
        </row>
        <row r="44">
          <cell r="AA44" t="e">
            <v>#DIV/0!</v>
          </cell>
          <cell r="AB44">
            <v>0</v>
          </cell>
          <cell r="AC44">
            <v>7250</v>
          </cell>
          <cell r="AD44" t="e">
            <v>#DIV/0!</v>
          </cell>
        </row>
        <row r="45">
          <cell r="C45" t="str">
            <v>杭州平野实业有限公司</v>
          </cell>
          <cell r="D45" t="str">
            <v>家装</v>
          </cell>
          <cell r="E45" t="str">
            <v>家装</v>
          </cell>
          <cell r="F45" t="str">
            <v>杭州市区</v>
          </cell>
          <cell r="G45" t="str">
            <v>拱墅区</v>
          </cell>
          <cell r="H45" t="str">
            <v>黄颖</v>
          </cell>
          <cell r="I45">
            <v>20</v>
          </cell>
        </row>
        <row r="45">
          <cell r="AB45">
            <v>0</v>
          </cell>
        </row>
        <row r="46">
          <cell r="C46" t="str">
            <v>杭州速简优装饰工程有限公司</v>
          </cell>
          <cell r="D46" t="str">
            <v>家装</v>
          </cell>
          <cell r="E46" t="str">
            <v>家装</v>
          </cell>
          <cell r="F46" t="str">
            <v>杭州市区</v>
          </cell>
          <cell r="G46" t="str">
            <v>拱墅区</v>
          </cell>
          <cell r="H46" t="str">
            <v>黄颖</v>
          </cell>
          <cell r="I46">
            <v>20</v>
          </cell>
        </row>
        <row r="47">
          <cell r="C47" t="str">
            <v>杭州恒大建材超级旗舰店（浙江云顶贸易有限公司）</v>
          </cell>
          <cell r="D47" t="str">
            <v>家装</v>
          </cell>
          <cell r="E47" t="str">
            <v>家装</v>
          </cell>
          <cell r="F47" t="str">
            <v>杭州市区</v>
          </cell>
          <cell r="G47" t="str">
            <v>拱墅区</v>
          </cell>
          <cell r="H47" t="str">
            <v>黄颖</v>
          </cell>
        </row>
        <row r="47">
          <cell r="AF47">
            <v>13000</v>
          </cell>
        </row>
        <row r="48">
          <cell r="C48" t="str">
            <v>杭州允选科技有限公司</v>
          </cell>
          <cell r="D48" t="str">
            <v>经销</v>
          </cell>
          <cell r="E48" t="str">
            <v>经销</v>
          </cell>
          <cell r="F48" t="str">
            <v>杭州市区</v>
          </cell>
        </row>
        <row r="48">
          <cell r="H48" t="str">
            <v>陈雪君</v>
          </cell>
        </row>
        <row r="48">
          <cell r="AF48">
            <v>66234</v>
          </cell>
        </row>
        <row r="49">
          <cell r="C49" t="str">
            <v>北京天坛装饰工程有限责任公司杭州分公司</v>
          </cell>
          <cell r="D49" t="str">
            <v>家装</v>
          </cell>
          <cell r="E49" t="str">
            <v>家装</v>
          </cell>
          <cell r="F49" t="str">
            <v>杭州市区</v>
          </cell>
          <cell r="G49" t="str">
            <v>拱墅区</v>
          </cell>
          <cell r="H49" t="str">
            <v>黄颖</v>
          </cell>
          <cell r="I49">
            <v>60</v>
          </cell>
        </row>
        <row r="49">
          <cell r="T49">
            <v>35400</v>
          </cell>
          <cell r="U49" t="e">
            <v>#DIV/0!</v>
          </cell>
          <cell r="V49">
            <v>0</v>
          </cell>
          <cell r="W49">
            <v>35400</v>
          </cell>
          <cell r="X49" t="e">
            <v>#DIV/0!</v>
          </cell>
        </row>
        <row r="49">
          <cell r="AA49" t="e">
            <v>#DIV/0!</v>
          </cell>
          <cell r="AB49">
            <v>0</v>
          </cell>
          <cell r="AC49">
            <v>35400</v>
          </cell>
          <cell r="AD49" t="e">
            <v>#DIV/0!</v>
          </cell>
        </row>
        <row r="49">
          <cell r="AF49">
            <v>27200</v>
          </cell>
        </row>
      </sheetData>
      <sheetData sheetId="3">
        <row r="3">
          <cell r="C3" t="str">
            <v>长兴百诚天龙电器有限公司</v>
          </cell>
          <cell r="D3" t="str">
            <v>经销</v>
          </cell>
          <cell r="E3" t="str">
            <v>经销</v>
          </cell>
          <cell r="F3" t="str">
            <v>长兴县</v>
          </cell>
          <cell r="G3" t="str">
            <v>长兴县</v>
          </cell>
          <cell r="H3" t="str">
            <v>张正芳</v>
          </cell>
          <cell r="I3">
            <v>15</v>
          </cell>
        </row>
        <row r="3">
          <cell r="L3" t="e">
            <v>#DIV/0!</v>
          </cell>
        </row>
        <row r="3">
          <cell r="N3">
            <v>4405</v>
          </cell>
          <cell r="O3" t="e">
            <v>#DIV/0!</v>
          </cell>
          <cell r="P3">
            <v>0</v>
          </cell>
          <cell r="Q3">
            <v>4405</v>
          </cell>
          <cell r="R3" t="e">
            <v>#DIV/0!</v>
          </cell>
          <cell r="S3">
            <v>10579</v>
          </cell>
          <cell r="T3">
            <v>30000</v>
          </cell>
          <cell r="U3">
            <v>1.83580678703091</v>
          </cell>
          <cell r="V3">
            <v>10579</v>
          </cell>
          <cell r="W3">
            <v>34405</v>
          </cell>
          <cell r="X3">
            <v>2.25219775025995</v>
          </cell>
        </row>
        <row r="3">
          <cell r="AA3" t="e">
            <v>#DIV/0!</v>
          </cell>
          <cell r="AB3">
            <v>10579</v>
          </cell>
          <cell r="AC3">
            <v>34405</v>
          </cell>
          <cell r="AD3">
            <v>2.25219775025995</v>
          </cell>
        </row>
        <row r="4">
          <cell r="C4" t="str">
            <v>南浔力恒电器商行</v>
          </cell>
          <cell r="D4" t="str">
            <v>加盟</v>
          </cell>
          <cell r="E4" t="str">
            <v>加盟</v>
          </cell>
          <cell r="F4" t="str">
            <v>南浔区</v>
          </cell>
          <cell r="G4" t="str">
            <v>南浔区</v>
          </cell>
          <cell r="H4" t="str">
            <v>陈中元</v>
          </cell>
        </row>
        <row r="4">
          <cell r="J4">
            <v>2000</v>
          </cell>
          <cell r="K4">
            <v>3500</v>
          </cell>
          <cell r="L4">
            <v>0.75</v>
          </cell>
        </row>
        <row r="4">
          <cell r="N4">
            <v>10000</v>
          </cell>
          <cell r="O4" t="e">
            <v>#DIV/0!</v>
          </cell>
          <cell r="P4">
            <v>2000</v>
          </cell>
          <cell r="Q4">
            <v>13500</v>
          </cell>
          <cell r="R4">
            <v>5.75</v>
          </cell>
        </row>
        <row r="4">
          <cell r="T4">
            <v>13017.06</v>
          </cell>
          <cell r="U4" t="e">
            <v>#DIV/0!</v>
          </cell>
          <cell r="V4">
            <v>2000</v>
          </cell>
          <cell r="W4">
            <v>26517.06</v>
          </cell>
          <cell r="X4">
            <v>12.25853</v>
          </cell>
          <cell r="Y4">
            <v>58500</v>
          </cell>
        </row>
        <row r="4">
          <cell r="AA4">
            <v>-1</v>
          </cell>
          <cell r="AB4">
            <v>60500</v>
          </cell>
          <cell r="AC4">
            <v>26517.06</v>
          </cell>
          <cell r="AD4">
            <v>-0.561701487603306</v>
          </cell>
          <cell r="AE4">
            <v>47100</v>
          </cell>
        </row>
        <row r="5">
          <cell r="C5" t="str">
            <v>湖州浙北大厦家电有限公司</v>
          </cell>
          <cell r="D5" t="str">
            <v>TOP渠道</v>
          </cell>
          <cell r="E5" t="str">
            <v>TOP渠道</v>
          </cell>
          <cell r="F5" t="str">
            <v>湖州市区</v>
          </cell>
          <cell r="G5" t="str">
            <v>市区</v>
          </cell>
          <cell r="H5" t="str">
            <v>翁昕</v>
          </cell>
          <cell r="I5">
            <v>600</v>
          </cell>
          <cell r="J5">
            <v>200000</v>
          </cell>
          <cell r="K5">
            <v>400000</v>
          </cell>
          <cell r="L5">
            <v>1</v>
          </cell>
          <cell r="M5">
            <v>300000</v>
          </cell>
          <cell r="N5">
            <v>300000</v>
          </cell>
          <cell r="O5">
            <v>0</v>
          </cell>
          <cell r="P5">
            <v>500000</v>
          </cell>
          <cell r="Q5">
            <v>700000</v>
          </cell>
          <cell r="R5">
            <v>0.4</v>
          </cell>
        </row>
        <row r="5">
          <cell r="T5">
            <v>210000</v>
          </cell>
          <cell r="U5" t="e">
            <v>#DIV/0!</v>
          </cell>
          <cell r="V5">
            <v>500000</v>
          </cell>
          <cell r="W5">
            <v>910000</v>
          </cell>
          <cell r="X5">
            <v>0.82</v>
          </cell>
          <cell r="Y5">
            <v>250000</v>
          </cell>
          <cell r="Z5">
            <v>400000</v>
          </cell>
          <cell r="AA5">
            <v>0.6</v>
          </cell>
          <cell r="AB5">
            <v>750000</v>
          </cell>
          <cell r="AC5">
            <v>1310000</v>
          </cell>
          <cell r="AD5">
            <v>0.746666666666667</v>
          </cell>
          <cell r="AE5">
            <v>420000</v>
          </cell>
          <cell r="AF5">
            <v>180000</v>
          </cell>
        </row>
        <row r="6">
          <cell r="C6" t="str">
            <v>德清县武康镇佳通制冷设备商行</v>
          </cell>
          <cell r="D6" t="str">
            <v>经销</v>
          </cell>
          <cell r="E6" t="str">
            <v>经销</v>
          </cell>
          <cell r="F6" t="str">
            <v>德清县</v>
          </cell>
          <cell r="G6" t="str">
            <v>德清县</v>
          </cell>
          <cell r="H6" t="str">
            <v>陈中元</v>
          </cell>
        </row>
        <row r="6">
          <cell r="K6">
            <v>23268</v>
          </cell>
          <cell r="L6" t="e">
            <v>#DIV/0!</v>
          </cell>
        </row>
        <row r="6">
          <cell r="N6">
            <v>20000</v>
          </cell>
          <cell r="O6" t="e">
            <v>#DIV/0!</v>
          </cell>
          <cell r="P6">
            <v>0</v>
          </cell>
          <cell r="Q6">
            <v>43268</v>
          </cell>
          <cell r="R6" t="e">
            <v>#DIV/0!</v>
          </cell>
          <cell r="S6">
            <v>150040</v>
          </cell>
          <cell r="T6">
            <v>110886</v>
          </cell>
          <cell r="U6">
            <v>-0.260957078112503</v>
          </cell>
          <cell r="V6">
            <v>150040</v>
          </cell>
          <cell r="W6">
            <v>154154</v>
          </cell>
          <cell r="X6">
            <v>0.0274193548387096</v>
          </cell>
        </row>
        <row r="6">
          <cell r="AA6" t="e">
            <v>#DIV/0!</v>
          </cell>
          <cell r="AB6">
            <v>150040</v>
          </cell>
          <cell r="AC6">
            <v>154154</v>
          </cell>
          <cell r="AD6">
            <v>0.0274193548387096</v>
          </cell>
          <cell r="AE6">
            <v>39000</v>
          </cell>
          <cell r="AF6">
            <v>31123</v>
          </cell>
        </row>
        <row r="7">
          <cell r="C7" t="str">
            <v>湖州长兴之窗专卖店</v>
          </cell>
          <cell r="D7" t="str">
            <v>直营</v>
          </cell>
          <cell r="E7" t="str">
            <v>直营</v>
          </cell>
          <cell r="F7" t="str">
            <v>长兴县</v>
          </cell>
          <cell r="G7" t="str">
            <v>长兴县</v>
          </cell>
          <cell r="H7" t="str">
            <v>张正芳</v>
          </cell>
          <cell r="I7">
            <v>75</v>
          </cell>
          <cell r="J7">
            <v>68740</v>
          </cell>
          <cell r="K7">
            <v>41556</v>
          </cell>
          <cell r="L7">
            <v>-0.395461157986616</v>
          </cell>
          <cell r="M7">
            <v>17488</v>
          </cell>
          <cell r="N7">
            <v>23930</v>
          </cell>
          <cell r="O7">
            <v>0.368366880146386</v>
          </cell>
          <cell r="P7">
            <v>86228</v>
          </cell>
          <cell r="Q7">
            <v>65486</v>
          </cell>
          <cell r="R7">
            <v>-0.240548313772788</v>
          </cell>
          <cell r="S7">
            <v>42550</v>
          </cell>
          <cell r="T7">
            <v>28616</v>
          </cell>
          <cell r="U7">
            <v>-0.327473560517039</v>
          </cell>
          <cell r="V7">
            <v>128778</v>
          </cell>
          <cell r="W7">
            <v>94102</v>
          </cell>
          <cell r="X7">
            <v>-0.269269595738402</v>
          </cell>
          <cell r="Y7">
            <v>48590</v>
          </cell>
          <cell r="Z7">
            <v>5936</v>
          </cell>
          <cell r="AA7">
            <v>-0.877834945462029</v>
          </cell>
          <cell r="AB7">
            <v>177368</v>
          </cell>
          <cell r="AC7">
            <v>100038</v>
          </cell>
          <cell r="AD7">
            <v>-0.435986198186821</v>
          </cell>
          <cell r="AE7">
            <v>76270</v>
          </cell>
          <cell r="AF7">
            <v>33015</v>
          </cell>
        </row>
        <row r="8">
          <cell r="C8" t="str">
            <v>湖州金蝶零售</v>
          </cell>
          <cell r="D8" t="str">
            <v>零售</v>
          </cell>
          <cell r="E8" t="str">
            <v>零售</v>
          </cell>
          <cell r="F8" t="str">
            <v>湖州市区</v>
          </cell>
          <cell r="G8" t="str">
            <v>市区</v>
          </cell>
          <cell r="H8" t="str">
            <v>陈中元</v>
          </cell>
        </row>
        <row r="8">
          <cell r="J8">
            <v>216965.28</v>
          </cell>
          <cell r="K8">
            <v>4938</v>
          </cell>
          <cell r="L8">
            <v>-0.977240598127037</v>
          </cell>
          <cell r="M8">
            <v>59548</v>
          </cell>
        </row>
        <row r="8">
          <cell r="O8">
            <v>-1</v>
          </cell>
          <cell r="P8">
            <v>276513.28</v>
          </cell>
          <cell r="Q8">
            <v>4938</v>
          </cell>
          <cell r="R8">
            <v>-0.98214190652977</v>
          </cell>
          <cell r="S8">
            <v>97829.46</v>
          </cell>
          <cell r="T8">
            <v>2998</v>
          </cell>
          <cell r="U8">
            <v>-0.969354834423087</v>
          </cell>
          <cell r="V8">
            <v>374342.74</v>
          </cell>
          <cell r="W8">
            <v>7936</v>
          </cell>
          <cell r="X8">
            <v>-0.978800176544094</v>
          </cell>
          <cell r="Y8">
            <v>14652</v>
          </cell>
          <cell r="Z8">
            <v>2400</v>
          </cell>
          <cell r="AA8">
            <v>-0.836199836199836</v>
          </cell>
          <cell r="AB8">
            <v>388994.74</v>
          </cell>
          <cell r="AC8">
            <v>10336</v>
          </cell>
          <cell r="AD8">
            <v>-0.973428946622774</v>
          </cell>
          <cell r="AE8">
            <v>2100</v>
          </cell>
          <cell r="AF8">
            <v>11730</v>
          </cell>
        </row>
        <row r="9">
          <cell r="C9" t="str">
            <v>吴兴新丰豪厨卫热水器商店</v>
          </cell>
          <cell r="D9" t="str">
            <v>经销</v>
          </cell>
          <cell r="E9" t="str">
            <v>经销</v>
          </cell>
          <cell r="F9" t="str">
            <v>湖州市区</v>
          </cell>
          <cell r="G9" t="str">
            <v>吴兴区</v>
          </cell>
          <cell r="H9" t="str">
            <v>陈中元</v>
          </cell>
        </row>
        <row r="9">
          <cell r="J9">
            <v>4521</v>
          </cell>
        </row>
        <row r="9">
          <cell r="L9">
            <v>-1</v>
          </cell>
        </row>
        <row r="9">
          <cell r="O9" t="e">
            <v>#DIV/0!</v>
          </cell>
          <cell r="P9">
            <v>4521</v>
          </cell>
          <cell r="Q9">
            <v>0</v>
          </cell>
          <cell r="R9">
            <v>-1</v>
          </cell>
        </row>
        <row r="9">
          <cell r="U9" t="e">
            <v>#DIV/0!</v>
          </cell>
          <cell r="V9">
            <v>4521</v>
          </cell>
          <cell r="W9">
            <v>0</v>
          </cell>
          <cell r="X9">
            <v>-1</v>
          </cell>
          <cell r="Y9">
            <v>3305</v>
          </cell>
        </row>
        <row r="9">
          <cell r="AA9">
            <v>-1</v>
          </cell>
          <cell r="AB9">
            <v>7826</v>
          </cell>
          <cell r="AC9">
            <v>0</v>
          </cell>
          <cell r="AD9">
            <v>-1</v>
          </cell>
        </row>
        <row r="10">
          <cell r="C10" t="str">
            <v>湖州晓宇冷暖设备工程有限公司</v>
          </cell>
          <cell r="D10" t="str">
            <v>暖通</v>
          </cell>
          <cell r="E10" t="str">
            <v>暖通</v>
          </cell>
          <cell r="F10" t="str">
            <v>湖州市区</v>
          </cell>
          <cell r="G10" t="str">
            <v>吴兴区</v>
          </cell>
          <cell r="H10" t="str">
            <v>陈中元</v>
          </cell>
        </row>
        <row r="10">
          <cell r="J10">
            <v>18336</v>
          </cell>
          <cell r="K10">
            <v>790</v>
          </cell>
          <cell r="L10">
            <v>-0.956915357766143</v>
          </cell>
          <cell r="M10">
            <v>5885</v>
          </cell>
        </row>
        <row r="10">
          <cell r="O10">
            <v>-1</v>
          </cell>
          <cell r="P10">
            <v>24221</v>
          </cell>
          <cell r="Q10">
            <v>790</v>
          </cell>
          <cell r="R10">
            <v>-0.967383675323067</v>
          </cell>
          <cell r="S10">
            <v>9785</v>
          </cell>
          <cell r="T10">
            <v>9575</v>
          </cell>
          <cell r="U10">
            <v>-0.0214614205416453</v>
          </cell>
          <cell r="V10">
            <v>34006</v>
          </cell>
          <cell r="W10">
            <v>10365</v>
          </cell>
          <cell r="X10">
            <v>-0.695200846909369</v>
          </cell>
          <cell r="Y10">
            <v>20567</v>
          </cell>
        </row>
        <row r="10">
          <cell r="AA10">
            <v>-1</v>
          </cell>
          <cell r="AB10">
            <v>54573</v>
          </cell>
          <cell r="AC10">
            <v>10365</v>
          </cell>
          <cell r="AD10">
            <v>-0.810070914188335</v>
          </cell>
        </row>
        <row r="11">
          <cell r="C11" t="str">
            <v>长兴银海电器有限公司</v>
          </cell>
          <cell r="D11" t="str">
            <v>经销</v>
          </cell>
          <cell r="E11" t="str">
            <v>经销</v>
          </cell>
          <cell r="F11" t="str">
            <v>长兴县</v>
          </cell>
          <cell r="G11" t="str">
            <v>长兴县</v>
          </cell>
          <cell r="H11" t="str">
            <v>张正芳</v>
          </cell>
        </row>
        <row r="11">
          <cell r="L11" t="e">
            <v>#DIV/0!</v>
          </cell>
        </row>
        <row r="11">
          <cell r="O11" t="e">
            <v>#DIV/0!</v>
          </cell>
          <cell r="P11">
            <v>0</v>
          </cell>
          <cell r="Q11">
            <v>0</v>
          </cell>
          <cell r="R11" t="e">
            <v>#DIV/0!</v>
          </cell>
          <cell r="S11">
            <v>2896.82</v>
          </cell>
        </row>
        <row r="11">
          <cell r="U11">
            <v>-1</v>
          </cell>
          <cell r="V11">
            <v>2896.82</v>
          </cell>
          <cell r="W11">
            <v>0</v>
          </cell>
          <cell r="X11">
            <v>-1</v>
          </cell>
        </row>
        <row r="11">
          <cell r="AA11" t="e">
            <v>#DIV/0!</v>
          </cell>
          <cell r="AB11">
            <v>2896.82</v>
          </cell>
          <cell r="AC11">
            <v>0</v>
          </cell>
          <cell r="AD11">
            <v>-1</v>
          </cell>
        </row>
        <row r="12">
          <cell r="C12" t="str">
            <v>长兴小浙北家电</v>
          </cell>
          <cell r="D12" t="str">
            <v>经销</v>
          </cell>
          <cell r="E12" t="str">
            <v>经销</v>
          </cell>
          <cell r="F12" t="str">
            <v>长兴县</v>
          </cell>
          <cell r="G12" t="str">
            <v>长兴县</v>
          </cell>
          <cell r="H12" t="str">
            <v>张正芳</v>
          </cell>
          <cell r="I12">
            <v>15</v>
          </cell>
          <cell r="J12">
            <v>20000</v>
          </cell>
        </row>
        <row r="12">
          <cell r="L12">
            <v>-1</v>
          </cell>
        </row>
        <row r="12">
          <cell r="O12" t="e">
            <v>#DIV/0!</v>
          </cell>
          <cell r="P12">
            <v>20000</v>
          </cell>
          <cell r="Q12">
            <v>0</v>
          </cell>
          <cell r="R12">
            <v>-1</v>
          </cell>
          <cell r="S12">
            <v>30000</v>
          </cell>
        </row>
        <row r="12">
          <cell r="U12">
            <v>-1</v>
          </cell>
          <cell r="V12">
            <v>50000</v>
          </cell>
          <cell r="W12">
            <v>0</v>
          </cell>
          <cell r="X12">
            <v>-1</v>
          </cell>
        </row>
        <row r="12">
          <cell r="AA12" t="e">
            <v>#DIV/0!</v>
          </cell>
          <cell r="AB12">
            <v>50000</v>
          </cell>
          <cell r="AC12">
            <v>0</v>
          </cell>
          <cell r="AD12">
            <v>-1</v>
          </cell>
        </row>
        <row r="13">
          <cell r="C13" t="str">
            <v>湖州东邦商贸有限公司</v>
          </cell>
          <cell r="D13" t="str">
            <v>经销</v>
          </cell>
          <cell r="E13" t="str">
            <v>经销</v>
          </cell>
          <cell r="F13" t="str">
            <v>长兴县</v>
          </cell>
          <cell r="G13" t="str">
            <v>长兴县</v>
          </cell>
          <cell r="H13" t="str">
            <v>张正芳</v>
          </cell>
          <cell r="I13">
            <v>30</v>
          </cell>
          <cell r="J13">
            <v>26400</v>
          </cell>
        </row>
        <row r="13">
          <cell r="L13">
            <v>-1</v>
          </cell>
        </row>
        <row r="13">
          <cell r="O13" t="e">
            <v>#DIV/0!</v>
          </cell>
          <cell r="P13">
            <v>26400</v>
          </cell>
          <cell r="Q13">
            <v>0</v>
          </cell>
          <cell r="R13">
            <v>-1</v>
          </cell>
          <cell r="S13">
            <v>72600</v>
          </cell>
        </row>
        <row r="13">
          <cell r="U13">
            <v>-1</v>
          </cell>
          <cell r="V13">
            <v>99000</v>
          </cell>
          <cell r="W13">
            <v>0</v>
          </cell>
          <cell r="X13">
            <v>-1</v>
          </cell>
        </row>
        <row r="13">
          <cell r="AA13" t="e">
            <v>#DIV/0!</v>
          </cell>
          <cell r="AB13">
            <v>99000</v>
          </cell>
          <cell r="AC13">
            <v>0</v>
          </cell>
          <cell r="AD13">
            <v>-1</v>
          </cell>
        </row>
        <row r="14">
          <cell r="C14" t="str">
            <v>安吉方润家电有限公司</v>
          </cell>
          <cell r="D14" t="str">
            <v>经销</v>
          </cell>
          <cell r="E14" t="str">
            <v>经销</v>
          </cell>
          <cell r="F14" t="str">
            <v>安吉县</v>
          </cell>
          <cell r="G14" t="str">
            <v>安吉县</v>
          </cell>
          <cell r="H14" t="str">
            <v>陈中元</v>
          </cell>
        </row>
        <row r="14">
          <cell r="J14">
            <v>3600</v>
          </cell>
        </row>
        <row r="14">
          <cell r="L14">
            <v>-1</v>
          </cell>
        </row>
        <row r="14">
          <cell r="O14" t="e">
            <v>#DIV/0!</v>
          </cell>
          <cell r="P14">
            <v>3600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3600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3600</v>
          </cell>
          <cell r="AC14">
            <v>0</v>
          </cell>
          <cell r="AD14">
            <v>-1</v>
          </cell>
          <cell r="AE14">
            <v>13074</v>
          </cell>
        </row>
        <row r="15">
          <cell r="C15" t="str">
            <v>湖州魁联电器有限公司</v>
          </cell>
          <cell r="D15" t="str">
            <v>经销</v>
          </cell>
          <cell r="E15" t="str">
            <v>经销</v>
          </cell>
          <cell r="F15" t="str">
            <v>长兴县</v>
          </cell>
          <cell r="G15" t="str">
            <v>长兴县</v>
          </cell>
          <cell r="H15" t="str">
            <v>张正芳</v>
          </cell>
        </row>
        <row r="15">
          <cell r="L15" t="e">
            <v>#DIV/0!</v>
          </cell>
        </row>
        <row r="15">
          <cell r="O15" t="e">
            <v>#DIV/0!</v>
          </cell>
          <cell r="P15">
            <v>0</v>
          </cell>
          <cell r="Q15">
            <v>0</v>
          </cell>
          <cell r="R15" t="e">
            <v>#DIV/0!</v>
          </cell>
        </row>
        <row r="15">
          <cell r="U15" t="e">
            <v>#DIV/0!</v>
          </cell>
          <cell r="V15">
            <v>0</v>
          </cell>
          <cell r="W15">
            <v>0</v>
          </cell>
          <cell r="X15" t="e">
            <v>#DIV/0!</v>
          </cell>
        </row>
        <row r="15">
          <cell r="AA15" t="e">
            <v>#DIV/0!</v>
          </cell>
          <cell r="AB15">
            <v>0</v>
          </cell>
          <cell r="AC15">
            <v>0</v>
          </cell>
          <cell r="AD15" t="e">
            <v>#DIV/0!</v>
          </cell>
        </row>
        <row r="16">
          <cell r="C16" t="str">
            <v>湖州菱通冷暖设备有限公司</v>
          </cell>
          <cell r="D16" t="str">
            <v>暖通</v>
          </cell>
          <cell r="E16" t="str">
            <v>暖通</v>
          </cell>
          <cell r="F16" t="str">
            <v>湖州市区</v>
          </cell>
          <cell r="G16" t="str">
            <v>吴兴区</v>
          </cell>
          <cell r="H16" t="str">
            <v>陈中元</v>
          </cell>
        </row>
        <row r="16">
          <cell r="J16">
            <v>3107</v>
          </cell>
        </row>
        <row r="16">
          <cell r="L16">
            <v>-1</v>
          </cell>
        </row>
        <row r="16">
          <cell r="O16" t="e">
            <v>#DIV/0!</v>
          </cell>
          <cell r="P16">
            <v>3107</v>
          </cell>
          <cell r="Q16">
            <v>0</v>
          </cell>
          <cell r="R16">
            <v>-1</v>
          </cell>
        </row>
        <row r="16">
          <cell r="U16" t="e">
            <v>#DIV/0!</v>
          </cell>
          <cell r="V16">
            <v>3107</v>
          </cell>
          <cell r="W16">
            <v>0</v>
          </cell>
          <cell r="X16">
            <v>-1</v>
          </cell>
          <cell r="Y16">
            <v>4335</v>
          </cell>
        </row>
        <row r="16">
          <cell r="AA16">
            <v>-1</v>
          </cell>
          <cell r="AB16">
            <v>7442</v>
          </cell>
          <cell r="AC16">
            <v>0</v>
          </cell>
          <cell r="AD16">
            <v>-1</v>
          </cell>
        </row>
        <row r="17">
          <cell r="C17" t="str">
            <v>长兴纵跃机电有限公司</v>
          </cell>
          <cell r="D17" t="str">
            <v>经销</v>
          </cell>
          <cell r="E17" t="str">
            <v>经销</v>
          </cell>
          <cell r="F17" t="str">
            <v>长兴县</v>
          </cell>
          <cell r="G17" t="str">
            <v>长兴县</v>
          </cell>
          <cell r="H17" t="str">
            <v>张正芳</v>
          </cell>
        </row>
        <row r="17">
          <cell r="J17">
            <v>4789</v>
          </cell>
        </row>
        <row r="17">
          <cell r="L17">
            <v>-1</v>
          </cell>
        </row>
        <row r="17">
          <cell r="O17" t="e">
            <v>#DIV/0!</v>
          </cell>
          <cell r="P17">
            <v>4789</v>
          </cell>
          <cell r="Q17">
            <v>0</v>
          </cell>
          <cell r="R17">
            <v>-1</v>
          </cell>
          <cell r="S17">
            <v>7800</v>
          </cell>
        </row>
        <row r="17">
          <cell r="U17">
            <v>-1</v>
          </cell>
          <cell r="V17">
            <v>12589</v>
          </cell>
          <cell r="W17">
            <v>0</v>
          </cell>
          <cell r="X17">
            <v>-1</v>
          </cell>
        </row>
        <row r="17">
          <cell r="AA17" t="e">
            <v>#DIV/0!</v>
          </cell>
          <cell r="AB17">
            <v>12589</v>
          </cell>
          <cell r="AC17">
            <v>0</v>
          </cell>
          <cell r="AD17">
            <v>-1</v>
          </cell>
        </row>
        <row r="18">
          <cell r="C18" t="str">
            <v>湖州浙北网格家电有限公司</v>
          </cell>
          <cell r="D18" t="str">
            <v>经销</v>
          </cell>
          <cell r="E18" t="str">
            <v>经销</v>
          </cell>
          <cell r="F18" t="str">
            <v>湖州市区</v>
          </cell>
          <cell r="G18" t="str">
            <v>市区</v>
          </cell>
          <cell r="H18" t="str">
            <v>翁昕</v>
          </cell>
        </row>
        <row r="18">
          <cell r="J18">
            <v>10000</v>
          </cell>
        </row>
        <row r="18">
          <cell r="L18">
            <v>-1</v>
          </cell>
        </row>
        <row r="18">
          <cell r="N18">
            <v>30820</v>
          </cell>
          <cell r="O18" t="e">
            <v>#DIV/0!</v>
          </cell>
          <cell r="P18">
            <v>10000</v>
          </cell>
          <cell r="Q18">
            <v>30820</v>
          </cell>
          <cell r="R18">
            <v>2.082</v>
          </cell>
        </row>
        <row r="18">
          <cell r="T18">
            <v>9744</v>
          </cell>
          <cell r="U18" t="e">
            <v>#DIV/0!</v>
          </cell>
          <cell r="V18">
            <v>10000</v>
          </cell>
          <cell r="W18">
            <v>40564</v>
          </cell>
          <cell r="X18">
            <v>3.0564</v>
          </cell>
        </row>
        <row r="18">
          <cell r="AA18" t="e">
            <v>#DIV/0!</v>
          </cell>
          <cell r="AB18">
            <v>10000</v>
          </cell>
          <cell r="AC18">
            <v>40564</v>
          </cell>
          <cell r="AD18">
            <v>3.0564</v>
          </cell>
        </row>
        <row r="18">
          <cell r="AF18">
            <v>32390</v>
          </cell>
        </row>
        <row r="19">
          <cell r="C19" t="str">
            <v>湖州乐曜贸易有限公司</v>
          </cell>
          <cell r="D19" t="str">
            <v>经销</v>
          </cell>
          <cell r="E19" t="str">
            <v>经销</v>
          </cell>
          <cell r="F19" t="str">
            <v>湖州市区</v>
          </cell>
          <cell r="G19" t="str">
            <v>市区</v>
          </cell>
          <cell r="H19" t="str">
            <v>陈中元</v>
          </cell>
        </row>
        <row r="19">
          <cell r="L19" t="e">
            <v>#DIV/0!</v>
          </cell>
        </row>
        <row r="19">
          <cell r="O19" t="e">
            <v>#DIV/0!</v>
          </cell>
          <cell r="P19">
            <v>0</v>
          </cell>
          <cell r="Q19">
            <v>0</v>
          </cell>
          <cell r="R19" t="e">
            <v>#DIV/0!</v>
          </cell>
          <cell r="S19">
            <v>2962</v>
          </cell>
        </row>
        <row r="19">
          <cell r="U19">
            <v>-1</v>
          </cell>
          <cell r="V19">
            <v>2962</v>
          </cell>
          <cell r="W19">
            <v>0</v>
          </cell>
          <cell r="X19">
            <v>-1</v>
          </cell>
        </row>
        <row r="19">
          <cell r="AA19" t="e">
            <v>#DIV/0!</v>
          </cell>
          <cell r="AB19">
            <v>2962</v>
          </cell>
          <cell r="AC19">
            <v>0</v>
          </cell>
          <cell r="AD19">
            <v>-1</v>
          </cell>
        </row>
        <row r="20">
          <cell r="C20" t="str">
            <v>苏宁易购集团股份有限公司苏宁采购中心</v>
          </cell>
          <cell r="D20" t="str">
            <v>经销</v>
          </cell>
          <cell r="E20" t="str">
            <v>经销</v>
          </cell>
          <cell r="F20" t="str">
            <v>湖州市区</v>
          </cell>
          <cell r="G20" t="str">
            <v>市区</v>
          </cell>
          <cell r="H20" t="str">
            <v>陈中元</v>
          </cell>
        </row>
        <row r="20">
          <cell r="L20" t="e">
            <v>#DIV/0!</v>
          </cell>
        </row>
        <row r="20">
          <cell r="N20">
            <v>1736.04</v>
          </cell>
          <cell r="O20" t="e">
            <v>#DIV/0!</v>
          </cell>
          <cell r="P20">
            <v>0</v>
          </cell>
          <cell r="Q20">
            <v>1736.04</v>
          </cell>
          <cell r="R20" t="e">
            <v>#DIV/0!</v>
          </cell>
        </row>
        <row r="20">
          <cell r="U20" t="e">
            <v>#DIV/0!</v>
          </cell>
          <cell r="V20">
            <v>0</v>
          </cell>
          <cell r="W20">
            <v>1736.04</v>
          </cell>
          <cell r="X20" t="e">
            <v>#DIV/0!</v>
          </cell>
        </row>
        <row r="20">
          <cell r="Z20">
            <v>3472.08</v>
          </cell>
          <cell r="AA20" t="e">
            <v>#DIV/0!</v>
          </cell>
          <cell r="AB20">
            <v>0</v>
          </cell>
          <cell r="AC20">
            <v>5208.12</v>
          </cell>
          <cell r="AD20" t="e">
            <v>#DIV/0!</v>
          </cell>
        </row>
        <row r="21">
          <cell r="C21" t="str">
            <v>湖州浔海电器销售有限公司</v>
          </cell>
          <cell r="D21" t="str">
            <v>经销</v>
          </cell>
          <cell r="E21" t="str">
            <v>经销</v>
          </cell>
          <cell r="F21" t="str">
            <v>南浔区</v>
          </cell>
          <cell r="G21" t="str">
            <v>市区</v>
          </cell>
          <cell r="H21" t="str">
            <v>陈中元</v>
          </cell>
          <cell r="I21">
            <v>60</v>
          </cell>
        </row>
        <row r="21">
          <cell r="AF21">
            <v>116732</v>
          </cell>
        </row>
        <row r="22">
          <cell r="C22" t="str">
            <v>长兴县浙北家用电器有限公司</v>
          </cell>
          <cell r="D22" t="str">
            <v>经销</v>
          </cell>
          <cell r="E22" t="str">
            <v>经销</v>
          </cell>
          <cell r="F22" t="str">
            <v>长兴县</v>
          </cell>
          <cell r="G22" t="str">
            <v>长兴县</v>
          </cell>
          <cell r="H22" t="str">
            <v>张正芳</v>
          </cell>
        </row>
        <row r="22">
          <cell r="L22" t="e">
            <v>#DIV/0!</v>
          </cell>
        </row>
        <row r="22">
          <cell r="O22" t="e">
            <v>#DIV/0!</v>
          </cell>
          <cell r="P22">
            <v>0</v>
          </cell>
          <cell r="Q22">
            <v>0</v>
          </cell>
          <cell r="R22" t="e">
            <v>#DIV/0!</v>
          </cell>
        </row>
        <row r="22">
          <cell r="U22" t="e">
            <v>#DIV/0!</v>
          </cell>
          <cell r="V22">
            <v>0</v>
          </cell>
          <cell r="W22">
            <v>0</v>
          </cell>
          <cell r="X22" t="e">
            <v>#DIV/0!</v>
          </cell>
        </row>
        <row r="22">
          <cell r="AA22" t="e">
            <v>#DIV/0!</v>
          </cell>
          <cell r="AB22">
            <v>0</v>
          </cell>
          <cell r="AC22">
            <v>0</v>
          </cell>
          <cell r="AD22" t="e">
            <v>#DIV/0!</v>
          </cell>
        </row>
      </sheetData>
      <sheetData sheetId="4"/>
      <sheetData sheetId="5">
        <row r="3">
          <cell r="C3" t="str">
            <v>义乌市荣昌家电维修部</v>
          </cell>
          <cell r="D3" t="str">
            <v>加盟</v>
          </cell>
          <cell r="E3" t="str">
            <v>加盟</v>
          </cell>
          <cell r="F3" t="str">
            <v>义乌市</v>
          </cell>
          <cell r="G3" t="str">
            <v>义乌市</v>
          </cell>
          <cell r="H3" t="str">
            <v>林青云</v>
          </cell>
          <cell r="I3">
            <v>220</v>
          </cell>
          <cell r="J3">
            <v>365000</v>
          </cell>
          <cell r="K3">
            <v>84500</v>
          </cell>
          <cell r="L3">
            <v>-0.768493150684932</v>
          </cell>
          <cell r="M3">
            <v>30000</v>
          </cell>
          <cell r="N3">
            <v>36876</v>
          </cell>
          <cell r="O3">
            <v>0.2292</v>
          </cell>
          <cell r="P3">
            <v>395000</v>
          </cell>
          <cell r="Q3">
            <v>121376</v>
          </cell>
          <cell r="R3">
            <v>-0.692718987341772</v>
          </cell>
          <cell r="S3">
            <v>148000</v>
          </cell>
          <cell r="T3">
            <v>114573.54</v>
          </cell>
          <cell r="U3">
            <v>-0.225854459459459</v>
          </cell>
          <cell r="V3">
            <v>543000</v>
          </cell>
          <cell r="W3">
            <v>235949.54</v>
          </cell>
          <cell r="X3">
            <v>-0.565470460405157</v>
          </cell>
          <cell r="Y3">
            <v>115000</v>
          </cell>
          <cell r="Z3">
            <v>156103</v>
          </cell>
          <cell r="AA3">
            <v>0.357417391304348</v>
          </cell>
          <cell r="AB3">
            <v>658000</v>
          </cell>
          <cell r="AC3">
            <v>392052.54</v>
          </cell>
          <cell r="AD3">
            <v>-0.40417547112462</v>
          </cell>
          <cell r="AE3">
            <v>171600</v>
          </cell>
          <cell r="AF3">
            <v>51953</v>
          </cell>
        </row>
        <row r="4">
          <cell r="C4" t="str">
            <v>浙江普农家电有限公司</v>
          </cell>
          <cell r="D4" t="str">
            <v>TOP渠道</v>
          </cell>
          <cell r="E4" t="str">
            <v>TOP渠道</v>
          </cell>
          <cell r="F4" t="str">
            <v>衢州市区</v>
          </cell>
          <cell r="G4" t="str">
            <v>衢州市</v>
          </cell>
          <cell r="H4" t="str">
            <v>江雯</v>
          </cell>
          <cell r="I4">
            <v>200</v>
          </cell>
          <cell r="J4">
            <v>203140.4</v>
          </cell>
          <cell r="K4">
            <v>211568</v>
          </cell>
          <cell r="L4">
            <v>0.0414865777560742</v>
          </cell>
          <cell r="M4">
            <v>108325</v>
          </cell>
          <cell r="N4">
            <v>126251</v>
          </cell>
          <cell r="O4">
            <v>0.165483498730672</v>
          </cell>
          <cell r="P4">
            <v>311465.4</v>
          </cell>
          <cell r="Q4">
            <v>337819</v>
          </cell>
          <cell r="R4">
            <v>0.0846116454668799</v>
          </cell>
          <cell r="S4">
            <v>64094</v>
          </cell>
          <cell r="T4">
            <v>164562</v>
          </cell>
          <cell r="U4">
            <v>1.56751021936531</v>
          </cell>
          <cell r="V4">
            <v>375559.4</v>
          </cell>
          <cell r="W4">
            <v>502381</v>
          </cell>
          <cell r="X4">
            <v>0.33768719408967</v>
          </cell>
          <cell r="Y4">
            <v>66218</v>
          </cell>
          <cell r="Z4">
            <v>103867</v>
          </cell>
          <cell r="AA4">
            <v>0.568561418345465</v>
          </cell>
          <cell r="AB4">
            <v>441777.4</v>
          </cell>
          <cell r="AC4">
            <v>606248</v>
          </cell>
          <cell r="AD4">
            <v>0.372292923992943</v>
          </cell>
          <cell r="AE4">
            <v>62805</v>
          </cell>
          <cell r="AF4">
            <v>136346</v>
          </cell>
        </row>
        <row r="5">
          <cell r="C5" t="str">
            <v>金华五星</v>
          </cell>
          <cell r="D5" t="str">
            <v>五星</v>
          </cell>
          <cell r="E5" t="str">
            <v>五星</v>
          </cell>
          <cell r="F5" t="str">
            <v>金华市区</v>
          </cell>
          <cell r="G5" t="str">
            <v>市区</v>
          </cell>
          <cell r="H5" t="str">
            <v>潘杏</v>
          </cell>
        </row>
        <row r="5">
          <cell r="J5">
            <v>97567.31</v>
          </cell>
          <cell r="K5">
            <v>170180.19</v>
          </cell>
          <cell r="L5">
            <v>0.744233698766523</v>
          </cell>
        </row>
        <row r="5">
          <cell r="N5">
            <v>33500.8</v>
          </cell>
          <cell r="O5" t="e">
            <v>#DIV/0!</v>
          </cell>
          <cell r="P5">
            <v>97567.31</v>
          </cell>
          <cell r="Q5">
            <v>203680.99</v>
          </cell>
          <cell r="R5">
            <v>1.08759460520127</v>
          </cell>
        </row>
        <row r="5">
          <cell r="T5">
            <v>337846.67</v>
          </cell>
          <cell r="U5" t="e">
            <v>#DIV/0!</v>
          </cell>
          <cell r="V5">
            <v>97567.31</v>
          </cell>
          <cell r="W5">
            <v>541527.66</v>
          </cell>
          <cell r="X5">
            <v>4.55029814801699</v>
          </cell>
          <cell r="Y5">
            <v>240583.45</v>
          </cell>
          <cell r="Z5">
            <v>244513.1</v>
          </cell>
          <cell r="AA5">
            <v>0.0163338334370049</v>
          </cell>
          <cell r="AB5">
            <v>338150.76</v>
          </cell>
          <cell r="AC5">
            <v>786040.76</v>
          </cell>
          <cell r="AD5">
            <v>1.32452755688025</v>
          </cell>
          <cell r="AE5">
            <v>100835.81</v>
          </cell>
          <cell r="AF5">
            <v>193019.03</v>
          </cell>
        </row>
        <row r="6">
          <cell r="C6" t="str">
            <v>（新）金华八一南街专卖店</v>
          </cell>
          <cell r="D6" t="str">
            <v>直营</v>
          </cell>
          <cell r="E6" t="str">
            <v>直营</v>
          </cell>
          <cell r="F6" t="str">
            <v>金华市区</v>
          </cell>
          <cell r="G6" t="str">
            <v>婺城区</v>
          </cell>
          <cell r="H6" t="str">
            <v>姜卫</v>
          </cell>
        </row>
        <row r="6">
          <cell r="J6">
            <v>17958</v>
          </cell>
        </row>
        <row r="6">
          <cell r="L6">
            <v>-1</v>
          </cell>
          <cell r="M6">
            <v>3966</v>
          </cell>
        </row>
        <row r="6">
          <cell r="O6">
            <v>-1</v>
          </cell>
          <cell r="P6">
            <v>21924</v>
          </cell>
          <cell r="Q6">
            <v>0</v>
          </cell>
          <cell r="R6">
            <v>-1</v>
          </cell>
          <cell r="S6">
            <v>6800</v>
          </cell>
        </row>
        <row r="6">
          <cell r="U6">
            <v>-1</v>
          </cell>
          <cell r="V6">
            <v>28724</v>
          </cell>
          <cell r="W6">
            <v>0</v>
          </cell>
          <cell r="X6">
            <v>-1</v>
          </cell>
        </row>
        <row r="6">
          <cell r="AA6" t="e">
            <v>#DIV/0!</v>
          </cell>
          <cell r="AB6">
            <v>28724</v>
          </cell>
          <cell r="AC6">
            <v>0</v>
          </cell>
          <cell r="AD6">
            <v>-1</v>
          </cell>
        </row>
        <row r="7">
          <cell r="C7" t="str">
            <v>衢州市柯城汇鑫家用电器商行</v>
          </cell>
          <cell r="D7" t="str">
            <v>加盟</v>
          </cell>
          <cell r="E7" t="str">
            <v>加盟</v>
          </cell>
          <cell r="F7" t="str">
            <v>衢州市区</v>
          </cell>
          <cell r="G7" t="str">
            <v>柯城区</v>
          </cell>
          <cell r="H7" t="str">
            <v>江雯</v>
          </cell>
          <cell r="I7">
            <v>80</v>
          </cell>
          <cell r="J7">
            <v>25400</v>
          </cell>
          <cell r="K7">
            <v>30730</v>
          </cell>
          <cell r="L7">
            <v>0.209842519685039</v>
          </cell>
          <cell r="M7">
            <v>10400</v>
          </cell>
        </row>
        <row r="7">
          <cell r="O7">
            <v>-1</v>
          </cell>
          <cell r="P7">
            <v>35800</v>
          </cell>
          <cell r="Q7">
            <v>30730</v>
          </cell>
          <cell r="R7">
            <v>-0.141620111731844</v>
          </cell>
          <cell r="S7">
            <v>30900</v>
          </cell>
          <cell r="T7">
            <v>31852</v>
          </cell>
          <cell r="U7">
            <v>0.0308090614886731</v>
          </cell>
          <cell r="V7">
            <v>66700</v>
          </cell>
          <cell r="W7">
            <v>62582</v>
          </cell>
          <cell r="X7">
            <v>-0.0617391304347826</v>
          </cell>
          <cell r="Y7">
            <v>32900</v>
          </cell>
          <cell r="Z7">
            <v>39671</v>
          </cell>
          <cell r="AA7">
            <v>0.20580547112462</v>
          </cell>
          <cell r="AB7">
            <v>99600</v>
          </cell>
          <cell r="AC7">
            <v>102253</v>
          </cell>
          <cell r="AD7">
            <v>0.0266365461847389</v>
          </cell>
          <cell r="AE7">
            <v>65953</v>
          </cell>
          <cell r="AF7">
            <v>48396</v>
          </cell>
        </row>
        <row r="8">
          <cell r="C8" t="str">
            <v>东阳市国美电器有限公司</v>
          </cell>
          <cell r="D8" t="str">
            <v>经销</v>
          </cell>
          <cell r="E8" t="str">
            <v>经销</v>
          </cell>
          <cell r="F8" t="str">
            <v>东阳市</v>
          </cell>
          <cell r="G8" t="str">
            <v>东阳市</v>
          </cell>
          <cell r="H8" t="str">
            <v>林青云</v>
          </cell>
          <cell r="I8">
            <v>20</v>
          </cell>
          <cell r="J8">
            <v>25000</v>
          </cell>
          <cell r="K8">
            <v>4298</v>
          </cell>
          <cell r="L8">
            <v>-0.82808</v>
          </cell>
        </row>
        <row r="8">
          <cell r="N8">
            <v>5186</v>
          </cell>
          <cell r="O8" t="e">
            <v>#DIV/0!</v>
          </cell>
          <cell r="P8">
            <v>25000</v>
          </cell>
          <cell r="Q8">
            <v>9484</v>
          </cell>
          <cell r="R8">
            <v>-0.62064</v>
          </cell>
        </row>
        <row r="8">
          <cell r="U8" t="e">
            <v>#DIV/0!</v>
          </cell>
          <cell r="V8">
            <v>25000</v>
          </cell>
          <cell r="W8">
            <v>9484</v>
          </cell>
          <cell r="X8">
            <v>-0.62064</v>
          </cell>
          <cell r="Y8">
            <v>800</v>
          </cell>
          <cell r="Z8">
            <v>2766</v>
          </cell>
          <cell r="AA8">
            <v>2.4575</v>
          </cell>
          <cell r="AB8">
            <v>25800</v>
          </cell>
          <cell r="AC8">
            <v>12250</v>
          </cell>
          <cell r="AD8">
            <v>-0.525193798449612</v>
          </cell>
          <cell r="AE8">
            <v>18078</v>
          </cell>
        </row>
        <row r="9">
          <cell r="C9" t="str">
            <v>兰溪市福祥家电经营部</v>
          </cell>
          <cell r="D9" t="str">
            <v>加盟</v>
          </cell>
          <cell r="E9" t="str">
            <v>加盟</v>
          </cell>
          <cell r="F9" t="str">
            <v>兰溪市</v>
          </cell>
          <cell r="G9" t="str">
            <v>兰溪市</v>
          </cell>
          <cell r="H9" t="str">
            <v>潘杏</v>
          </cell>
        </row>
        <row r="9">
          <cell r="J9">
            <v>149023</v>
          </cell>
        </row>
        <row r="9">
          <cell r="L9">
            <v>-1</v>
          </cell>
          <cell r="M9">
            <v>3015</v>
          </cell>
        </row>
        <row r="9">
          <cell r="O9">
            <v>-1</v>
          </cell>
          <cell r="P9">
            <v>152038</v>
          </cell>
          <cell r="Q9">
            <v>0</v>
          </cell>
          <cell r="R9">
            <v>-1</v>
          </cell>
          <cell r="S9">
            <v>19327</v>
          </cell>
        </row>
        <row r="9">
          <cell r="U9">
            <v>-1</v>
          </cell>
          <cell r="V9">
            <v>171365</v>
          </cell>
          <cell r="W9">
            <v>0</v>
          </cell>
          <cell r="X9">
            <v>-1</v>
          </cell>
          <cell r="Y9">
            <v>13493</v>
          </cell>
        </row>
        <row r="9">
          <cell r="AA9">
            <v>-1</v>
          </cell>
          <cell r="AB9">
            <v>184858</v>
          </cell>
          <cell r="AC9">
            <v>0</v>
          </cell>
          <cell r="AD9">
            <v>-1</v>
          </cell>
          <cell r="AE9">
            <v>36809</v>
          </cell>
        </row>
        <row r="10">
          <cell r="C10" t="str">
            <v>金华龙腾建材市场专卖店</v>
          </cell>
          <cell r="D10" t="str">
            <v>直营</v>
          </cell>
          <cell r="E10" t="str">
            <v>直营</v>
          </cell>
          <cell r="F10" t="str">
            <v>金华市区</v>
          </cell>
          <cell r="G10" t="str">
            <v>婺城区</v>
          </cell>
          <cell r="H10" t="str">
            <v>姜卫</v>
          </cell>
          <cell r="I10">
            <v>200</v>
          </cell>
          <cell r="J10">
            <v>84544</v>
          </cell>
          <cell r="K10">
            <v>270657</v>
          </cell>
          <cell r="L10">
            <v>2.2013744322483</v>
          </cell>
          <cell r="M10">
            <v>15592</v>
          </cell>
          <cell r="N10">
            <v>114255</v>
          </cell>
          <cell r="O10">
            <v>6.32779630579785</v>
          </cell>
          <cell r="P10">
            <v>100136</v>
          </cell>
          <cell r="Q10">
            <v>384912</v>
          </cell>
          <cell r="R10">
            <v>2.84389230646321</v>
          </cell>
          <cell r="S10">
            <v>40421</v>
          </cell>
          <cell r="T10">
            <v>272412</v>
          </cell>
          <cell r="U10">
            <v>5.73936815021895</v>
          </cell>
          <cell r="V10">
            <v>140557</v>
          </cell>
          <cell r="W10">
            <v>657324</v>
          </cell>
          <cell r="X10">
            <v>3.67656537917002</v>
          </cell>
          <cell r="Y10">
            <v>95170</v>
          </cell>
          <cell r="Z10">
            <v>144687</v>
          </cell>
          <cell r="AA10">
            <v>0.520300514868131</v>
          </cell>
          <cell r="AB10">
            <v>235727</v>
          </cell>
          <cell r="AC10">
            <v>802011</v>
          </cell>
          <cell r="AD10">
            <v>2.40228739177099</v>
          </cell>
          <cell r="AE10">
            <v>66978</v>
          </cell>
          <cell r="AF10">
            <v>201219</v>
          </cell>
        </row>
        <row r="11">
          <cell r="C11" t="str">
            <v>兰溪市小严家电经营部</v>
          </cell>
          <cell r="D11" t="str">
            <v>经销</v>
          </cell>
          <cell r="E11" t="str">
            <v>经销</v>
          </cell>
          <cell r="F11" t="str">
            <v>兰溪市</v>
          </cell>
          <cell r="G11" t="str">
            <v>兰溪市</v>
          </cell>
          <cell r="H11" t="str">
            <v>潘杏</v>
          </cell>
          <cell r="I11">
            <v>30</v>
          </cell>
          <cell r="J11">
            <v>30425</v>
          </cell>
          <cell r="K11">
            <v>21359</v>
          </cell>
          <cell r="L11">
            <v>-0.29797863599014</v>
          </cell>
          <cell r="M11">
            <v>10451</v>
          </cell>
          <cell r="N11">
            <v>8805</v>
          </cell>
          <cell r="O11">
            <v>-0.157496890249737</v>
          </cell>
          <cell r="P11">
            <v>40876</v>
          </cell>
          <cell r="Q11">
            <v>30164</v>
          </cell>
          <cell r="R11">
            <v>-0.262060867012428</v>
          </cell>
        </row>
        <row r="11">
          <cell r="T11">
            <v>3203</v>
          </cell>
          <cell r="U11" t="e">
            <v>#DIV/0!</v>
          </cell>
          <cell r="V11">
            <v>40876</v>
          </cell>
          <cell r="W11">
            <v>33367</v>
          </cell>
          <cell r="X11">
            <v>-0.183701927781583</v>
          </cell>
          <cell r="Y11">
            <v>7276</v>
          </cell>
          <cell r="Z11">
            <v>1479</v>
          </cell>
          <cell r="AA11">
            <v>-0.796728971962617</v>
          </cell>
          <cell r="AB11">
            <v>48152</v>
          </cell>
          <cell r="AC11">
            <v>34846</v>
          </cell>
          <cell r="AD11">
            <v>-0.276333277953148</v>
          </cell>
          <cell r="AE11">
            <v>21993</v>
          </cell>
        </row>
        <row r="12">
          <cell r="C12" t="str">
            <v>金华金蝶零售</v>
          </cell>
          <cell r="D12" t="str">
            <v>零售</v>
          </cell>
          <cell r="E12" t="str">
            <v>零售</v>
          </cell>
          <cell r="F12" t="str">
            <v>金华市区</v>
          </cell>
          <cell r="G12" t="str">
            <v>市区</v>
          </cell>
          <cell r="H12" t="str">
            <v>姜卫</v>
          </cell>
        </row>
        <row r="12">
          <cell r="J12">
            <v>3850</v>
          </cell>
          <cell r="K12">
            <v>4018</v>
          </cell>
          <cell r="L12">
            <v>0.0436363636363637</v>
          </cell>
        </row>
        <row r="12">
          <cell r="O12" t="e">
            <v>#DIV/0!</v>
          </cell>
          <cell r="P12">
            <v>3850</v>
          </cell>
          <cell r="Q12">
            <v>4018</v>
          </cell>
          <cell r="R12">
            <v>0.0436363636363637</v>
          </cell>
          <cell r="S12">
            <v>8800</v>
          </cell>
          <cell r="T12">
            <v>6295</v>
          </cell>
          <cell r="U12">
            <v>-0.284659090909091</v>
          </cell>
          <cell r="V12">
            <v>12650</v>
          </cell>
          <cell r="W12">
            <v>10313</v>
          </cell>
          <cell r="X12">
            <v>-0.184743083003953</v>
          </cell>
        </row>
        <row r="12">
          <cell r="Z12">
            <v>12000</v>
          </cell>
          <cell r="AA12" t="e">
            <v>#DIV/0!</v>
          </cell>
          <cell r="AB12">
            <v>12650</v>
          </cell>
          <cell r="AC12">
            <v>22313</v>
          </cell>
          <cell r="AD12">
            <v>0.763873517786561</v>
          </cell>
          <cell r="AE12">
            <v>1800</v>
          </cell>
        </row>
        <row r="13">
          <cell r="C13" t="str">
            <v>磐安县洪昌家电商场</v>
          </cell>
          <cell r="D13" t="str">
            <v>经销</v>
          </cell>
          <cell r="E13" t="str">
            <v>经销</v>
          </cell>
          <cell r="F13" t="str">
            <v>磐安县</v>
          </cell>
          <cell r="G13" t="str">
            <v>磐安县</v>
          </cell>
          <cell r="H13" t="str">
            <v>林青云</v>
          </cell>
        </row>
        <row r="13">
          <cell r="J13">
            <v>6649</v>
          </cell>
        </row>
        <row r="13">
          <cell r="L13">
            <v>-1</v>
          </cell>
        </row>
        <row r="13">
          <cell r="O13" t="e">
            <v>#DIV/0!</v>
          </cell>
          <cell r="P13">
            <v>6649</v>
          </cell>
          <cell r="Q13">
            <v>0</v>
          </cell>
          <cell r="R13">
            <v>-1</v>
          </cell>
        </row>
        <row r="13">
          <cell r="U13" t="e">
            <v>#DIV/0!</v>
          </cell>
          <cell r="V13">
            <v>6649</v>
          </cell>
          <cell r="W13">
            <v>0</v>
          </cell>
          <cell r="X13">
            <v>-1</v>
          </cell>
        </row>
        <row r="13">
          <cell r="AA13" t="e">
            <v>#DIV/0!</v>
          </cell>
          <cell r="AB13">
            <v>6649</v>
          </cell>
          <cell r="AC13">
            <v>0</v>
          </cell>
          <cell r="AD13">
            <v>-1</v>
          </cell>
        </row>
        <row r="14">
          <cell r="C14" t="str">
            <v>江山硕邦家电有限公司</v>
          </cell>
          <cell r="D14" t="str">
            <v>经销</v>
          </cell>
          <cell r="E14" t="str">
            <v>经销</v>
          </cell>
          <cell r="F14" t="str">
            <v>江山市</v>
          </cell>
          <cell r="G14" t="str">
            <v>江山市</v>
          </cell>
          <cell r="H14" t="str">
            <v>江雯</v>
          </cell>
        </row>
        <row r="14">
          <cell r="L14" t="e">
            <v>#DIV/0!</v>
          </cell>
          <cell r="M14">
            <v>19218</v>
          </cell>
        </row>
        <row r="14">
          <cell r="O14">
            <v>-1</v>
          </cell>
          <cell r="P14">
            <v>19218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19218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19218</v>
          </cell>
          <cell r="AC14">
            <v>0</v>
          </cell>
          <cell r="AD14">
            <v>-1</v>
          </cell>
        </row>
        <row r="15">
          <cell r="C15" t="str">
            <v>义乌艾欧机电设备有限公司</v>
          </cell>
          <cell r="D15" t="str">
            <v>加盟</v>
          </cell>
          <cell r="E15" t="str">
            <v>加盟</v>
          </cell>
          <cell r="F15" t="str">
            <v>义乌市</v>
          </cell>
          <cell r="G15" t="str">
            <v>义乌市</v>
          </cell>
          <cell r="H15" t="str">
            <v>林青云</v>
          </cell>
        </row>
        <row r="15">
          <cell r="J15">
            <v>95208</v>
          </cell>
        </row>
        <row r="15">
          <cell r="L15">
            <v>-1</v>
          </cell>
          <cell r="M15">
            <v>23568</v>
          </cell>
        </row>
        <row r="15">
          <cell r="O15">
            <v>-1</v>
          </cell>
          <cell r="P15">
            <v>118776</v>
          </cell>
          <cell r="Q15">
            <v>0</v>
          </cell>
          <cell r="R15">
            <v>-1</v>
          </cell>
          <cell r="S15">
            <v>27546</v>
          </cell>
        </row>
        <row r="15">
          <cell r="U15">
            <v>-1</v>
          </cell>
          <cell r="V15">
            <v>146322</v>
          </cell>
          <cell r="W15">
            <v>0</v>
          </cell>
          <cell r="X15">
            <v>-1</v>
          </cell>
          <cell r="Y15">
            <v>48756</v>
          </cell>
        </row>
        <row r="15">
          <cell r="AA15">
            <v>-1</v>
          </cell>
          <cell r="AB15">
            <v>195078</v>
          </cell>
          <cell r="AC15">
            <v>0</v>
          </cell>
          <cell r="AD15">
            <v>-1</v>
          </cell>
          <cell r="AE15">
            <v>57457</v>
          </cell>
        </row>
        <row r="16">
          <cell r="C16" t="str">
            <v>东阳市大中商贸有限公司</v>
          </cell>
          <cell r="D16" t="str">
            <v>经销</v>
          </cell>
          <cell r="E16" t="str">
            <v>经销</v>
          </cell>
          <cell r="F16" t="str">
            <v>东阳市</v>
          </cell>
          <cell r="G16" t="str">
            <v>东阳市</v>
          </cell>
          <cell r="H16" t="str">
            <v>林青云</v>
          </cell>
        </row>
        <row r="16">
          <cell r="J16">
            <v>1690</v>
          </cell>
        </row>
        <row r="16">
          <cell r="L16">
            <v>-1</v>
          </cell>
        </row>
        <row r="16">
          <cell r="O16" t="e">
            <v>#DIV/0!</v>
          </cell>
          <cell r="P16">
            <v>1690</v>
          </cell>
          <cell r="Q16">
            <v>0</v>
          </cell>
          <cell r="R16">
            <v>-1</v>
          </cell>
        </row>
        <row r="16">
          <cell r="U16" t="e">
            <v>#DIV/0!</v>
          </cell>
          <cell r="V16">
            <v>1690</v>
          </cell>
          <cell r="W16">
            <v>0</v>
          </cell>
          <cell r="X16">
            <v>-1</v>
          </cell>
          <cell r="Y16">
            <v>3375</v>
          </cell>
        </row>
        <row r="16">
          <cell r="AA16">
            <v>-1</v>
          </cell>
          <cell r="AB16">
            <v>5065</v>
          </cell>
          <cell r="AC16">
            <v>0</v>
          </cell>
          <cell r="AD16">
            <v>-1</v>
          </cell>
        </row>
        <row r="17">
          <cell r="C17" t="str">
            <v>金华市万普电器销售有限公司</v>
          </cell>
          <cell r="D17" t="str">
            <v>经销</v>
          </cell>
          <cell r="E17" t="str">
            <v>经销</v>
          </cell>
          <cell r="F17" t="str">
            <v>金华市区</v>
          </cell>
          <cell r="G17" t="str">
            <v>金东区</v>
          </cell>
          <cell r="H17" t="str">
            <v>潘杏</v>
          </cell>
        </row>
        <row r="17">
          <cell r="J17">
            <v>5412</v>
          </cell>
          <cell r="K17">
            <v>-8765</v>
          </cell>
          <cell r="L17">
            <v>-2.61954915003695</v>
          </cell>
          <cell r="M17">
            <v>729</v>
          </cell>
          <cell r="N17">
            <v>2310</v>
          </cell>
          <cell r="O17">
            <v>2.16872427983539</v>
          </cell>
          <cell r="P17">
            <v>6141</v>
          </cell>
          <cell r="Q17">
            <v>-6455</v>
          </cell>
          <cell r="R17">
            <v>-2.05113173750204</v>
          </cell>
          <cell r="S17">
            <v>20000</v>
          </cell>
          <cell r="T17">
            <v>5229</v>
          </cell>
          <cell r="U17">
            <v>-0.73855</v>
          </cell>
          <cell r="V17">
            <v>26141</v>
          </cell>
          <cell r="W17">
            <v>-1226</v>
          </cell>
          <cell r="X17">
            <v>-1.04689950652232</v>
          </cell>
        </row>
        <row r="17">
          <cell r="AA17" t="e">
            <v>#DIV/0!</v>
          </cell>
          <cell r="AB17">
            <v>26141</v>
          </cell>
          <cell r="AC17">
            <v>-1226</v>
          </cell>
          <cell r="AD17">
            <v>-1.04689950652232</v>
          </cell>
        </row>
        <row r="18">
          <cell r="C18" t="str">
            <v>龙游博美电器有限公司</v>
          </cell>
          <cell r="D18" t="str">
            <v>经销</v>
          </cell>
          <cell r="E18" t="str">
            <v>经销</v>
          </cell>
          <cell r="F18" t="str">
            <v>龙游县</v>
          </cell>
          <cell r="G18" t="str">
            <v>龙游县</v>
          </cell>
          <cell r="H18" t="str">
            <v>江雯</v>
          </cell>
          <cell r="I18">
            <v>5</v>
          </cell>
        </row>
        <row r="18">
          <cell r="K18">
            <v>2310</v>
          </cell>
          <cell r="L18" t="e">
            <v>#DIV/0!</v>
          </cell>
        </row>
        <row r="18">
          <cell r="N18">
            <v>3302</v>
          </cell>
          <cell r="O18" t="e">
            <v>#DIV/0!</v>
          </cell>
          <cell r="P18">
            <v>0</v>
          </cell>
          <cell r="Q18">
            <v>5612</v>
          </cell>
          <cell r="R18" t="e">
            <v>#DIV/0!</v>
          </cell>
        </row>
        <row r="18">
          <cell r="U18" t="e">
            <v>#DIV/0!</v>
          </cell>
          <cell r="V18">
            <v>0</v>
          </cell>
          <cell r="W18">
            <v>5612</v>
          </cell>
          <cell r="X18" t="e">
            <v>#DIV/0!</v>
          </cell>
          <cell r="Y18">
            <v>2998</v>
          </cell>
        </row>
        <row r="18">
          <cell r="AA18">
            <v>-1</v>
          </cell>
          <cell r="AB18">
            <v>2998</v>
          </cell>
          <cell r="AC18">
            <v>5612</v>
          </cell>
          <cell r="AD18">
            <v>0.871914609739826</v>
          </cell>
        </row>
        <row r="19">
          <cell r="C19" t="str">
            <v>衢州众冠电器有限公司</v>
          </cell>
          <cell r="D19" t="str">
            <v>经销</v>
          </cell>
          <cell r="E19" t="str">
            <v>经销</v>
          </cell>
          <cell r="F19" t="str">
            <v>常山县</v>
          </cell>
          <cell r="G19" t="str">
            <v>常山县</v>
          </cell>
          <cell r="H19" t="str">
            <v>江雯</v>
          </cell>
          <cell r="I19">
            <v>30</v>
          </cell>
        </row>
        <row r="19">
          <cell r="L19" t="e">
            <v>#DIV/0!</v>
          </cell>
        </row>
        <row r="19">
          <cell r="O19" t="e">
            <v>#DIV/0!</v>
          </cell>
          <cell r="P19">
            <v>0</v>
          </cell>
          <cell r="Q19">
            <v>0</v>
          </cell>
          <cell r="R19" t="e">
            <v>#DIV/0!</v>
          </cell>
        </row>
        <row r="19">
          <cell r="U19" t="e">
            <v>#DIV/0!</v>
          </cell>
          <cell r="V19">
            <v>0</v>
          </cell>
          <cell r="W19">
            <v>0</v>
          </cell>
          <cell r="X19" t="e">
            <v>#DIV/0!</v>
          </cell>
          <cell r="Y19">
            <v>20000</v>
          </cell>
        </row>
        <row r="19">
          <cell r="AA19">
            <v>-1</v>
          </cell>
          <cell r="AB19">
            <v>20000</v>
          </cell>
          <cell r="AC19">
            <v>0</v>
          </cell>
          <cell r="AD19">
            <v>-1</v>
          </cell>
        </row>
        <row r="20">
          <cell r="C20" t="str">
            <v>金华市婺美电器有限公司</v>
          </cell>
          <cell r="D20" t="str">
            <v>经销</v>
          </cell>
          <cell r="E20" t="str">
            <v>经销</v>
          </cell>
          <cell r="F20" t="str">
            <v>金华市区</v>
          </cell>
          <cell r="G20" t="str">
            <v>婺城区</v>
          </cell>
          <cell r="H20" t="str">
            <v>潘杏</v>
          </cell>
          <cell r="I20">
            <v>10</v>
          </cell>
        </row>
        <row r="20">
          <cell r="K20">
            <v>840</v>
          </cell>
          <cell r="L20" t="e">
            <v>#DIV/0!</v>
          </cell>
        </row>
        <row r="20">
          <cell r="N20">
            <v>10504</v>
          </cell>
          <cell r="O20" t="e">
            <v>#DIV/0!</v>
          </cell>
          <cell r="P20">
            <v>0</v>
          </cell>
          <cell r="Q20">
            <v>11344</v>
          </cell>
          <cell r="R20" t="e">
            <v>#DIV/0!</v>
          </cell>
        </row>
        <row r="20">
          <cell r="T20">
            <v>3070</v>
          </cell>
          <cell r="U20" t="e">
            <v>#DIV/0!</v>
          </cell>
          <cell r="V20">
            <v>0</v>
          </cell>
          <cell r="W20">
            <v>14414</v>
          </cell>
          <cell r="X20" t="e">
            <v>#DIV/0!</v>
          </cell>
          <cell r="Y20">
            <v>1810</v>
          </cell>
        </row>
        <row r="20">
          <cell r="AA20">
            <v>-1</v>
          </cell>
          <cell r="AB20">
            <v>1810</v>
          </cell>
          <cell r="AC20">
            <v>14414</v>
          </cell>
          <cell r="AD20">
            <v>6.96353591160221</v>
          </cell>
          <cell r="AE20">
            <v>4787</v>
          </cell>
        </row>
        <row r="21">
          <cell r="C21" t="str">
            <v>兰溪市升美电器商行</v>
          </cell>
          <cell r="D21" t="str">
            <v>经销</v>
          </cell>
          <cell r="E21" t="str">
            <v>经销</v>
          </cell>
          <cell r="F21" t="str">
            <v>兰溪市</v>
          </cell>
          <cell r="G21" t="str">
            <v>兰溪市</v>
          </cell>
          <cell r="H21" t="str">
            <v>潘杏</v>
          </cell>
        </row>
        <row r="21">
          <cell r="L21" t="e">
            <v>#DIV/0!</v>
          </cell>
        </row>
        <row r="21">
          <cell r="O21" t="e">
            <v>#DIV/0!</v>
          </cell>
          <cell r="P21">
            <v>0</v>
          </cell>
          <cell r="Q21">
            <v>0</v>
          </cell>
          <cell r="R21" t="e">
            <v>#DIV/0!</v>
          </cell>
        </row>
        <row r="21">
          <cell r="U21" t="e">
            <v>#DIV/0!</v>
          </cell>
          <cell r="V21">
            <v>0</v>
          </cell>
          <cell r="W21">
            <v>0</v>
          </cell>
          <cell r="X21" t="e">
            <v>#DIV/0!</v>
          </cell>
        </row>
        <row r="21">
          <cell r="AA21" t="e">
            <v>#DIV/0!</v>
          </cell>
          <cell r="AB21">
            <v>0</v>
          </cell>
          <cell r="AC21">
            <v>0</v>
          </cell>
          <cell r="AD21" t="e">
            <v>#DIV/0!</v>
          </cell>
          <cell r="AE21">
            <v>30000</v>
          </cell>
        </row>
        <row r="22">
          <cell r="C22" t="str">
            <v>杭州中博智能电器有限公司</v>
          </cell>
          <cell r="D22" t="str">
            <v>家装</v>
          </cell>
          <cell r="E22" t="str">
            <v>家装</v>
          </cell>
          <cell r="F22" t="str">
            <v>金华市区</v>
          </cell>
        </row>
        <row r="22">
          <cell r="H22" t="str">
            <v>潘杏</v>
          </cell>
        </row>
        <row r="22">
          <cell r="L22" t="e">
            <v>#DIV/0!</v>
          </cell>
        </row>
        <row r="22">
          <cell r="O22" t="e">
            <v>#DIV/0!</v>
          </cell>
          <cell r="P22">
            <v>0</v>
          </cell>
          <cell r="Q22">
            <v>0</v>
          </cell>
          <cell r="R22" t="e">
            <v>#DIV/0!</v>
          </cell>
        </row>
        <row r="22">
          <cell r="T22">
            <v>1732</v>
          </cell>
          <cell r="U22" t="e">
            <v>#DIV/0!</v>
          </cell>
          <cell r="V22">
            <v>0</v>
          </cell>
          <cell r="W22">
            <v>1732</v>
          </cell>
          <cell r="X22" t="e">
            <v>#DIV/0!</v>
          </cell>
        </row>
        <row r="22">
          <cell r="Z22">
            <v>2701</v>
          </cell>
          <cell r="AA22" t="e">
            <v>#DIV/0!</v>
          </cell>
          <cell r="AB22">
            <v>0</v>
          </cell>
          <cell r="AC22">
            <v>4433</v>
          </cell>
          <cell r="AD22" t="e">
            <v>#DIV/0!</v>
          </cell>
        </row>
        <row r="23">
          <cell r="C23" t="str">
            <v>苏宁易购集团股份有限公司苏宁采购中心</v>
          </cell>
          <cell r="D23" t="str">
            <v>经销</v>
          </cell>
          <cell r="E23" t="str">
            <v>经销</v>
          </cell>
          <cell r="F23" t="str">
            <v>金华市区</v>
          </cell>
        </row>
        <row r="23">
          <cell r="H23" t="str">
            <v>潘杏</v>
          </cell>
        </row>
        <row r="23">
          <cell r="L23" t="e">
            <v>#DIV/0!</v>
          </cell>
        </row>
        <row r="23">
          <cell r="N23">
            <v>12400.68</v>
          </cell>
          <cell r="O23" t="e">
            <v>#DIV/0!</v>
          </cell>
          <cell r="P23">
            <v>0</v>
          </cell>
          <cell r="Q23">
            <v>12400.68</v>
          </cell>
          <cell r="R23" t="e">
            <v>#DIV/0!</v>
          </cell>
        </row>
        <row r="23">
          <cell r="T23">
            <v>3939.44</v>
          </cell>
          <cell r="U23" t="e">
            <v>#DIV/0!</v>
          </cell>
          <cell r="V23">
            <v>0</v>
          </cell>
          <cell r="W23">
            <v>16340.12</v>
          </cell>
          <cell r="X23" t="e">
            <v>#DIV/0!</v>
          </cell>
        </row>
        <row r="23">
          <cell r="AA23" t="e">
            <v>#DIV/0!</v>
          </cell>
          <cell r="AB23">
            <v>0</v>
          </cell>
          <cell r="AC23">
            <v>16340.12</v>
          </cell>
          <cell r="AD23" t="e">
            <v>#DIV/0!</v>
          </cell>
        </row>
        <row r="24">
          <cell r="C24" t="str">
            <v>衢州万恒电器有限公司</v>
          </cell>
          <cell r="D24" t="str">
            <v>经销</v>
          </cell>
          <cell r="E24" t="str">
            <v>经销</v>
          </cell>
          <cell r="F24" t="str">
            <v>衢州市区</v>
          </cell>
          <cell r="G24" t="str">
            <v>柯城区</v>
          </cell>
          <cell r="H24" t="str">
            <v>江雯</v>
          </cell>
        </row>
        <row r="24">
          <cell r="K24">
            <v>5688</v>
          </cell>
          <cell r="L24" t="e">
            <v>#DIV/0!</v>
          </cell>
        </row>
        <row r="24">
          <cell r="O24" t="e">
            <v>#DIV/0!</v>
          </cell>
          <cell r="P24">
            <v>0</v>
          </cell>
          <cell r="Q24">
            <v>5688</v>
          </cell>
          <cell r="R24" t="e">
            <v>#DIV/0!</v>
          </cell>
        </row>
        <row r="24">
          <cell r="T24">
            <v>2300</v>
          </cell>
          <cell r="U24" t="e">
            <v>#DIV/0!</v>
          </cell>
          <cell r="V24">
            <v>0</v>
          </cell>
          <cell r="W24">
            <v>7988</v>
          </cell>
          <cell r="X24" t="e">
            <v>#DIV/0!</v>
          </cell>
        </row>
        <row r="24">
          <cell r="AA24" t="e">
            <v>#DIV/0!</v>
          </cell>
          <cell r="AB24">
            <v>0</v>
          </cell>
          <cell r="AC24">
            <v>7988</v>
          </cell>
          <cell r="AD24" t="e">
            <v>#DIV/0!</v>
          </cell>
        </row>
        <row r="25">
          <cell r="C25" t="str">
            <v>金华市汇诚电器有限公司</v>
          </cell>
          <cell r="D25" t="str">
            <v>经销</v>
          </cell>
          <cell r="E25" t="str">
            <v>经销</v>
          </cell>
          <cell r="F25" t="str">
            <v>金华市区</v>
          </cell>
          <cell r="G25" t="str">
            <v>金东区</v>
          </cell>
          <cell r="H25" t="str">
            <v>潘杏</v>
          </cell>
        </row>
        <row r="25">
          <cell r="L25" t="e">
            <v>#DIV/0!</v>
          </cell>
        </row>
        <row r="25"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</row>
        <row r="25"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</row>
        <row r="25">
          <cell r="AA25" t="e">
            <v>#DIV/0!</v>
          </cell>
          <cell r="AB25">
            <v>0</v>
          </cell>
          <cell r="AC25">
            <v>0</v>
          </cell>
          <cell r="AD25" t="e">
            <v>#DIV/0!</v>
          </cell>
        </row>
        <row r="26">
          <cell r="C26" t="str">
            <v>兰溪市泽胜电器有限公司</v>
          </cell>
          <cell r="D26" t="str">
            <v>经销</v>
          </cell>
          <cell r="E26" t="str">
            <v>经销</v>
          </cell>
          <cell r="F26" t="str">
            <v>金华市区</v>
          </cell>
          <cell r="G26" t="str">
            <v>金东区</v>
          </cell>
          <cell r="H26" t="str">
            <v>潘杏</v>
          </cell>
        </row>
        <row r="26">
          <cell r="AF26">
            <v>10781</v>
          </cell>
        </row>
        <row r="27">
          <cell r="C27" t="str">
            <v>义乌国创空调设备有限公司</v>
          </cell>
          <cell r="D27" t="str">
            <v>经销</v>
          </cell>
          <cell r="E27" t="str">
            <v>经销</v>
          </cell>
          <cell r="F27" t="str">
            <v>义乌市</v>
          </cell>
        </row>
        <row r="27">
          <cell r="H27" t="str">
            <v>林青云</v>
          </cell>
          <cell r="I27">
            <v>10</v>
          </cell>
        </row>
        <row r="27">
          <cell r="AF27">
            <v>20000</v>
          </cell>
        </row>
        <row r="28">
          <cell r="C28" t="str">
            <v>永康立格暖通设备有限公司</v>
          </cell>
          <cell r="D28" t="str">
            <v>经销</v>
          </cell>
          <cell r="E28" t="str">
            <v>经销</v>
          </cell>
          <cell r="F28" t="str">
            <v>金华市区</v>
          </cell>
        </row>
        <row r="28">
          <cell r="H28" t="str">
            <v>潘杏</v>
          </cell>
          <cell r="I28">
            <v>10</v>
          </cell>
        </row>
        <row r="28">
          <cell r="K28">
            <v>4928</v>
          </cell>
          <cell r="L28" t="e">
            <v>#DIV/0!</v>
          </cell>
        </row>
        <row r="28">
          <cell r="O28" t="e">
            <v>#DIV/0!</v>
          </cell>
          <cell r="P28">
            <v>0</v>
          </cell>
          <cell r="Q28">
            <v>4928</v>
          </cell>
          <cell r="R28" t="e">
            <v>#DIV/0!</v>
          </cell>
        </row>
        <row r="28">
          <cell r="T28">
            <v>22339</v>
          </cell>
          <cell r="U28" t="e">
            <v>#DIV/0!</v>
          </cell>
          <cell r="V28">
            <v>0</v>
          </cell>
          <cell r="W28">
            <v>27267</v>
          </cell>
          <cell r="X28" t="e">
            <v>#DIV/0!</v>
          </cell>
        </row>
        <row r="28">
          <cell r="AA28" t="e">
            <v>#DIV/0!</v>
          </cell>
          <cell r="AB28">
            <v>0</v>
          </cell>
          <cell r="AC28">
            <v>27267</v>
          </cell>
          <cell r="AD28" t="e">
            <v>#DIV/0!</v>
          </cell>
        </row>
        <row r="29">
          <cell r="C29" t="str">
            <v>金华一启家电有限公司</v>
          </cell>
          <cell r="D29" t="str">
            <v>经销</v>
          </cell>
          <cell r="E29" t="str">
            <v>经销</v>
          </cell>
          <cell r="F29" t="str">
            <v>金华市区</v>
          </cell>
        </row>
        <row r="29">
          <cell r="H29" t="str">
            <v>潘杏</v>
          </cell>
          <cell r="I29">
            <v>54</v>
          </cell>
        </row>
        <row r="29">
          <cell r="Z29">
            <v>150000</v>
          </cell>
          <cell r="AA29" t="e">
            <v>#DIV/0!</v>
          </cell>
          <cell r="AB29">
            <v>0</v>
          </cell>
          <cell r="AC29">
            <v>150000</v>
          </cell>
          <cell r="AD29" t="e">
            <v>#DIV/0!</v>
          </cell>
        </row>
        <row r="30">
          <cell r="C30" t="str">
            <v>合计</v>
          </cell>
        </row>
        <row r="30">
          <cell r="I30">
            <v>869</v>
          </cell>
          <cell r="J30">
            <v>1110866.71</v>
          </cell>
          <cell r="K30">
            <v>802311.19</v>
          </cell>
          <cell r="L30">
            <v>-0.277761064601531</v>
          </cell>
          <cell r="M30">
            <v>225264</v>
          </cell>
          <cell r="N30">
            <v>353390.48</v>
          </cell>
          <cell r="O30">
            <v>0.568783649406918</v>
          </cell>
          <cell r="P30">
            <v>1336130.71</v>
          </cell>
          <cell r="Q30">
            <v>1155701.67</v>
          </cell>
          <cell r="R30">
            <v>-0.135038464911865</v>
          </cell>
          <cell r="S30">
            <v>365888</v>
          </cell>
          <cell r="T30">
            <v>969353.65</v>
          </cell>
          <cell r="U30">
            <v>1.64931796068742</v>
          </cell>
          <cell r="V30">
            <v>1702018.71</v>
          </cell>
          <cell r="W30">
            <v>2125055.32</v>
          </cell>
          <cell r="X30">
            <v>0.248549917527052</v>
          </cell>
          <cell r="Y30">
            <v>648379.45</v>
          </cell>
          <cell r="Z30">
            <v>857787.1</v>
          </cell>
          <cell r="AA30">
            <v>0.322970831355004</v>
          </cell>
          <cell r="AB30">
            <v>2350398.16</v>
          </cell>
          <cell r="AC30">
            <v>2982842.42</v>
          </cell>
          <cell r="AD30">
            <v>0.269079626917339</v>
          </cell>
          <cell r="AE30">
            <v>639095.81</v>
          </cell>
          <cell r="AF30">
            <v>661714.03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汇总1"/>
      <sheetName val="Sheet3"/>
      <sheetName val="杭州"/>
      <sheetName val="湖州"/>
      <sheetName val="嘉兴"/>
      <sheetName val="金衢"/>
      <sheetName val="绍兴"/>
      <sheetName val="台州"/>
      <sheetName val="温丽 "/>
      <sheetName val="电商 以旧换新"/>
      <sheetName val="Sheet2"/>
      <sheetName val="汇总"/>
      <sheetName val="汇总单位"/>
      <sheetName val="Sheet4"/>
      <sheetName val="客户汇总"/>
      <sheetName val="汇总2"/>
      <sheetName val="23年人口数据"/>
      <sheetName val="Sheet1"/>
    </sheetNames>
    <sheetDataSet>
      <sheetData sheetId="0"/>
      <sheetData sheetId="1"/>
      <sheetData sheetId="2">
        <row r="3">
          <cell r="C3" t="str">
            <v>汇德隆</v>
          </cell>
          <cell r="D3" t="str">
            <v>TOP渠道</v>
          </cell>
          <cell r="E3" t="str">
            <v>TOP渠道</v>
          </cell>
          <cell r="F3" t="str">
            <v>萧山区</v>
          </cell>
          <cell r="G3" t="str">
            <v>萧山区</v>
          </cell>
          <cell r="H3" t="str">
            <v>董培培</v>
          </cell>
          <cell r="I3">
            <v>800</v>
          </cell>
          <cell r="J3">
            <v>100000</v>
          </cell>
          <cell r="K3">
            <v>180000</v>
          </cell>
          <cell r="L3">
            <v>0.8</v>
          </cell>
        </row>
        <row r="3">
          <cell r="N3">
            <v>90000</v>
          </cell>
          <cell r="O3" t="e">
            <v>#DIV/0!</v>
          </cell>
          <cell r="P3">
            <v>100000</v>
          </cell>
          <cell r="Q3">
            <v>270000</v>
          </cell>
          <cell r="R3">
            <v>1.7</v>
          </cell>
          <cell r="S3">
            <v>540000</v>
          </cell>
          <cell r="T3">
            <v>200000</v>
          </cell>
          <cell r="U3">
            <v>-0.62962962962963</v>
          </cell>
          <cell r="V3">
            <v>640000</v>
          </cell>
          <cell r="W3">
            <v>470000</v>
          </cell>
          <cell r="X3">
            <v>-0.265625</v>
          </cell>
          <cell r="Y3">
            <v>550000</v>
          </cell>
          <cell r="Z3">
            <v>692800</v>
          </cell>
          <cell r="AA3">
            <v>0.259636363636364</v>
          </cell>
          <cell r="AB3">
            <v>1190000</v>
          </cell>
          <cell r="AC3">
            <v>1162800</v>
          </cell>
          <cell r="AD3">
            <v>-0.0228571428571429</v>
          </cell>
          <cell r="AE3">
            <v>513000</v>
          </cell>
          <cell r="AF3">
            <v>480000</v>
          </cell>
          <cell r="AG3">
            <v>-0.064327485380117</v>
          </cell>
          <cell r="AH3">
            <v>1703000</v>
          </cell>
          <cell r="AI3">
            <v>1642800</v>
          </cell>
          <cell r="AJ3">
            <v>-0.0353493834409865</v>
          </cell>
          <cell r="AK3">
            <v>350000</v>
          </cell>
          <cell r="AL3">
            <v>180000</v>
          </cell>
        </row>
        <row r="4">
          <cell r="C4" t="str">
            <v>萧山汇德隆净水</v>
          </cell>
          <cell r="D4" t="str">
            <v>TOP渠道</v>
          </cell>
          <cell r="E4" t="str">
            <v>TOP渠道</v>
          </cell>
          <cell r="F4" t="str">
            <v>萧山区</v>
          </cell>
          <cell r="G4" t="str">
            <v>萧山区</v>
          </cell>
          <cell r="H4" t="str">
            <v>董培培</v>
          </cell>
        </row>
        <row r="4">
          <cell r="J4">
            <v>109082.35</v>
          </cell>
          <cell r="K4">
            <v>85017.95</v>
          </cell>
          <cell r="L4">
            <v>-0.220607641841233</v>
          </cell>
        </row>
        <row r="4">
          <cell r="N4">
            <v>124698.5</v>
          </cell>
          <cell r="O4" t="e">
            <v>#DIV/0!</v>
          </cell>
          <cell r="P4">
            <v>109082.35</v>
          </cell>
          <cell r="Q4">
            <v>209716.45</v>
          </cell>
          <cell r="R4">
            <v>0.92255163186345</v>
          </cell>
          <cell r="S4">
            <v>98942.87</v>
          </cell>
        </row>
        <row r="4">
          <cell r="U4">
            <v>-1</v>
          </cell>
          <cell r="V4">
            <v>208025.22</v>
          </cell>
          <cell r="W4">
            <v>209716.45</v>
          </cell>
          <cell r="X4">
            <v>0.00812992770780396</v>
          </cell>
          <cell r="Y4">
            <v>96183.1</v>
          </cell>
          <cell r="Z4">
            <v>277266.5</v>
          </cell>
          <cell r="AA4">
            <v>1.88269456900433</v>
          </cell>
          <cell r="AB4">
            <v>304208.32</v>
          </cell>
          <cell r="AC4">
            <v>486982.95</v>
          </cell>
          <cell r="AD4">
            <v>0.600820615294151</v>
          </cell>
          <cell r="AE4">
            <v>108234.5</v>
          </cell>
          <cell r="AF4">
            <v>108269.25</v>
          </cell>
          <cell r="AG4">
            <v>0.00032106213822769</v>
          </cell>
          <cell r="AH4">
            <v>412442.82</v>
          </cell>
          <cell r="AI4">
            <v>595252.2</v>
          </cell>
          <cell r="AJ4">
            <v>0.443235695071622</v>
          </cell>
          <cell r="AK4">
            <v>329415.3</v>
          </cell>
          <cell r="AL4">
            <v>173565</v>
          </cell>
        </row>
        <row r="5">
          <cell r="C5" t="str">
            <v>杭州兴达京昀电器有限公司</v>
          </cell>
          <cell r="D5" t="str">
            <v>经销</v>
          </cell>
          <cell r="E5" t="str">
            <v>TOP渠道</v>
          </cell>
          <cell r="F5" t="str">
            <v>临平区</v>
          </cell>
          <cell r="G5" t="str">
            <v>临平区</v>
          </cell>
          <cell r="H5" t="str">
            <v>吴海林</v>
          </cell>
          <cell r="I5">
            <v>130</v>
          </cell>
        </row>
        <row r="5">
          <cell r="K5">
            <v>100000</v>
          </cell>
          <cell r="L5" t="e">
            <v>#DIV/0!</v>
          </cell>
        </row>
        <row r="5">
          <cell r="O5" t="e">
            <v>#DIV/0!</v>
          </cell>
          <cell r="P5">
            <v>0</v>
          </cell>
          <cell r="Q5">
            <v>100000</v>
          </cell>
          <cell r="R5" t="e">
            <v>#DIV/0!</v>
          </cell>
        </row>
        <row r="5">
          <cell r="T5">
            <v>60000</v>
          </cell>
          <cell r="U5" t="e">
            <v>#DIV/0!</v>
          </cell>
          <cell r="V5">
            <v>0</v>
          </cell>
          <cell r="W5">
            <v>160000</v>
          </cell>
          <cell r="X5" t="e">
            <v>#DIV/0!</v>
          </cell>
          <cell r="Y5">
            <v>100000</v>
          </cell>
          <cell r="Z5">
            <v>50000</v>
          </cell>
          <cell r="AA5">
            <v>-0.5</v>
          </cell>
          <cell r="AB5">
            <v>100000</v>
          </cell>
          <cell r="AC5">
            <v>210000</v>
          </cell>
          <cell r="AD5">
            <v>1.1</v>
          </cell>
          <cell r="AE5">
            <v>100000</v>
          </cell>
          <cell r="AF5">
            <v>60000</v>
          </cell>
          <cell r="AG5">
            <v>-0.4</v>
          </cell>
          <cell r="AH5">
            <v>200000</v>
          </cell>
          <cell r="AI5">
            <v>270000</v>
          </cell>
          <cell r="AJ5">
            <v>0.35</v>
          </cell>
          <cell r="AK5">
            <v>100000</v>
          </cell>
          <cell r="AL5">
            <v>120000</v>
          </cell>
        </row>
        <row r="6">
          <cell r="C6" t="str">
            <v>杭州临安一栋电器有限公司</v>
          </cell>
          <cell r="D6" t="str">
            <v>加盟</v>
          </cell>
          <cell r="E6" t="str">
            <v>加盟</v>
          </cell>
          <cell r="F6" t="str">
            <v>临安区</v>
          </cell>
          <cell r="G6" t="str">
            <v>临安区</v>
          </cell>
          <cell r="H6" t="str">
            <v>吴海林</v>
          </cell>
          <cell r="I6">
            <v>190</v>
          </cell>
          <cell r="J6">
            <v>140000</v>
          </cell>
          <cell r="K6">
            <v>41700</v>
          </cell>
          <cell r="L6">
            <v>-0.702142857142857</v>
          </cell>
          <cell r="M6">
            <v>60000</v>
          </cell>
          <cell r="N6">
            <v>27875</v>
          </cell>
          <cell r="O6">
            <v>-0.535416666666667</v>
          </cell>
          <cell r="P6">
            <v>200000</v>
          </cell>
          <cell r="Q6">
            <v>69575</v>
          </cell>
          <cell r="R6">
            <v>-0.652125</v>
          </cell>
          <cell r="S6">
            <v>60000</v>
          </cell>
          <cell r="T6">
            <v>94786</v>
          </cell>
          <cell r="U6">
            <v>0.579766666666667</v>
          </cell>
          <cell r="V6">
            <v>260000</v>
          </cell>
          <cell r="W6">
            <v>164361</v>
          </cell>
          <cell r="X6">
            <v>-0.367842307692308</v>
          </cell>
          <cell r="Y6">
            <v>270219</v>
          </cell>
          <cell r="Z6">
            <v>67000</v>
          </cell>
          <cell r="AA6">
            <v>-0.752052964447356</v>
          </cell>
          <cell r="AB6">
            <v>530219</v>
          </cell>
          <cell r="AC6">
            <v>231361</v>
          </cell>
          <cell r="AD6">
            <v>-0.563650114386697</v>
          </cell>
          <cell r="AE6">
            <v>61019</v>
          </cell>
        </row>
        <row r="6">
          <cell r="AG6">
            <v>-1</v>
          </cell>
          <cell r="AH6">
            <v>591238</v>
          </cell>
          <cell r="AI6">
            <v>231361</v>
          </cell>
          <cell r="AJ6">
            <v>-0.60868381261015</v>
          </cell>
          <cell r="AK6">
            <v>501898</v>
          </cell>
          <cell r="AL6">
            <v>30253.74</v>
          </cell>
        </row>
        <row r="7">
          <cell r="C7" t="str">
            <v>杭州宏信机电有限公司</v>
          </cell>
          <cell r="D7" t="str">
            <v>加盟</v>
          </cell>
          <cell r="E7" t="str">
            <v>加盟</v>
          </cell>
          <cell r="F7" t="str">
            <v>富阳区</v>
          </cell>
          <cell r="G7" t="str">
            <v>富阳区</v>
          </cell>
          <cell r="H7" t="str">
            <v>吴海林</v>
          </cell>
          <cell r="I7">
            <v>270</v>
          </cell>
          <cell r="J7">
            <v>215180.88</v>
          </cell>
          <cell r="K7">
            <v>10000</v>
          </cell>
          <cell r="L7">
            <v>-0.953527469540974</v>
          </cell>
          <cell r="M7">
            <v>146500</v>
          </cell>
          <cell r="N7">
            <v>83000</v>
          </cell>
          <cell r="O7">
            <v>-0.433447098976109</v>
          </cell>
          <cell r="P7">
            <v>361680.88</v>
          </cell>
          <cell r="Q7">
            <v>93000</v>
          </cell>
          <cell r="R7">
            <v>-0.7428672480558</v>
          </cell>
          <cell r="S7">
            <v>280836</v>
          </cell>
          <cell r="T7">
            <v>71000</v>
          </cell>
          <cell r="U7">
            <v>-0.74718340953439</v>
          </cell>
          <cell r="V7">
            <v>642516.88</v>
          </cell>
          <cell r="W7">
            <v>164000</v>
          </cell>
          <cell r="X7">
            <v>-0.744753787635898</v>
          </cell>
          <cell r="Y7">
            <v>201000</v>
          </cell>
          <cell r="Z7">
            <v>140000</v>
          </cell>
          <cell r="AA7">
            <v>-0.303482587064677</v>
          </cell>
          <cell r="AB7">
            <v>843516.88</v>
          </cell>
          <cell r="AC7">
            <v>304000</v>
          </cell>
          <cell r="AD7">
            <v>-0.639604129795245</v>
          </cell>
          <cell r="AE7">
            <v>182933</v>
          </cell>
          <cell r="AF7">
            <v>70000</v>
          </cell>
          <cell r="AG7">
            <v>-0.617346241520119</v>
          </cell>
          <cell r="AH7">
            <v>1026449.88</v>
          </cell>
          <cell r="AI7">
            <v>374000</v>
          </cell>
          <cell r="AJ7">
            <v>-0.635637348411011</v>
          </cell>
          <cell r="AK7">
            <v>205000</v>
          </cell>
          <cell r="AL7">
            <v>65840</v>
          </cell>
        </row>
        <row r="8">
          <cell r="C8" t="str">
            <v>桐庐佳尼特水处理设备有限公司</v>
          </cell>
          <cell r="D8" t="str">
            <v>加盟</v>
          </cell>
          <cell r="E8" t="str">
            <v>加盟</v>
          </cell>
          <cell r="F8" t="str">
            <v>桐庐县</v>
          </cell>
          <cell r="G8" t="str">
            <v>桐庐县</v>
          </cell>
          <cell r="H8" t="str">
            <v>吴海林</v>
          </cell>
          <cell r="I8">
            <v>190</v>
          </cell>
          <cell r="J8">
            <v>100000</v>
          </cell>
          <cell r="K8">
            <v>149040</v>
          </cell>
          <cell r="L8">
            <v>0.4904</v>
          </cell>
          <cell r="M8">
            <v>30000</v>
          </cell>
          <cell r="N8">
            <v>72140</v>
          </cell>
          <cell r="O8">
            <v>1.40466666666667</v>
          </cell>
          <cell r="P8">
            <v>130000</v>
          </cell>
          <cell r="Q8">
            <v>221180</v>
          </cell>
          <cell r="R8">
            <v>0.701384615384615</v>
          </cell>
          <cell r="S8">
            <v>70000</v>
          </cell>
          <cell r="T8">
            <v>160000</v>
          </cell>
          <cell r="U8">
            <v>1.28571428571429</v>
          </cell>
          <cell r="V8">
            <v>200000</v>
          </cell>
          <cell r="W8">
            <v>381180</v>
          </cell>
          <cell r="X8">
            <v>0.9059</v>
          </cell>
          <cell r="Y8">
            <v>90000</v>
          </cell>
          <cell r="Z8">
            <v>100000</v>
          </cell>
          <cell r="AA8">
            <v>0.111111111111111</v>
          </cell>
          <cell r="AB8">
            <v>290000</v>
          </cell>
          <cell r="AC8">
            <v>481180</v>
          </cell>
          <cell r="AD8">
            <v>0.659241379310345</v>
          </cell>
          <cell r="AE8">
            <v>65253</v>
          </cell>
          <cell r="AF8">
            <v>90000</v>
          </cell>
          <cell r="AG8">
            <v>0.379246931175578</v>
          </cell>
          <cell r="AH8">
            <v>355253</v>
          </cell>
          <cell r="AI8">
            <v>571180</v>
          </cell>
          <cell r="AJ8">
            <v>0.607811897436475</v>
          </cell>
          <cell r="AK8">
            <v>555000</v>
          </cell>
          <cell r="AL8">
            <v>275000</v>
          </cell>
        </row>
        <row r="9">
          <cell r="C9" t="str">
            <v>杭州佳威信息科技有限公司</v>
          </cell>
          <cell r="D9" t="str">
            <v>经销</v>
          </cell>
          <cell r="E9" t="str">
            <v>经销</v>
          </cell>
          <cell r="F9" t="str">
            <v>建德市</v>
          </cell>
          <cell r="G9" t="str">
            <v>建德市</v>
          </cell>
          <cell r="H9" t="str">
            <v>吴海林</v>
          </cell>
        </row>
        <row r="9">
          <cell r="J9">
            <v>10000</v>
          </cell>
        </row>
        <row r="9">
          <cell r="L9">
            <v>-1</v>
          </cell>
        </row>
        <row r="9">
          <cell r="O9" t="e">
            <v>#DIV/0!</v>
          </cell>
          <cell r="P9">
            <v>10000</v>
          </cell>
          <cell r="Q9">
            <v>0</v>
          </cell>
          <cell r="R9">
            <v>-1</v>
          </cell>
          <cell r="S9">
            <v>10000</v>
          </cell>
        </row>
        <row r="9">
          <cell r="U9">
            <v>-1</v>
          </cell>
          <cell r="V9">
            <v>20000</v>
          </cell>
          <cell r="W9">
            <v>0</v>
          </cell>
          <cell r="X9">
            <v>-1</v>
          </cell>
          <cell r="Y9">
            <v>10000</v>
          </cell>
        </row>
        <row r="9">
          <cell r="AA9">
            <v>-1</v>
          </cell>
          <cell r="AB9">
            <v>30000</v>
          </cell>
          <cell r="AC9">
            <v>0</v>
          </cell>
          <cell r="AD9">
            <v>-1</v>
          </cell>
        </row>
        <row r="9">
          <cell r="AG9" t="e">
            <v>#DIV/0!</v>
          </cell>
          <cell r="AH9">
            <v>30000</v>
          </cell>
          <cell r="AI9">
            <v>0</v>
          </cell>
          <cell r="AJ9">
            <v>-1</v>
          </cell>
        </row>
        <row r="10">
          <cell r="C10" t="str">
            <v>杭州京品满屋家电有限公司</v>
          </cell>
          <cell r="D10" t="str">
            <v>经销</v>
          </cell>
          <cell r="E10" t="str">
            <v>经销</v>
          </cell>
          <cell r="F10" t="str">
            <v>淳安县</v>
          </cell>
          <cell r="G10" t="str">
            <v>淳安县</v>
          </cell>
          <cell r="H10" t="str">
            <v>吴海林</v>
          </cell>
          <cell r="I10">
            <v>60</v>
          </cell>
          <cell r="J10">
            <v>10980</v>
          </cell>
          <cell r="K10">
            <v>1887</v>
          </cell>
          <cell r="L10">
            <v>-0.828142076502732</v>
          </cell>
          <cell r="M10">
            <v>10390</v>
          </cell>
        </row>
        <row r="10">
          <cell r="O10">
            <v>-1</v>
          </cell>
          <cell r="P10">
            <v>21370</v>
          </cell>
          <cell r="Q10">
            <v>1887</v>
          </cell>
          <cell r="R10">
            <v>-0.911698642957417</v>
          </cell>
          <cell r="S10">
            <v>20613</v>
          </cell>
          <cell r="T10">
            <v>21472</v>
          </cell>
          <cell r="U10">
            <v>0.0416727308009508</v>
          </cell>
          <cell r="V10">
            <v>41983</v>
          </cell>
          <cell r="W10">
            <v>23359</v>
          </cell>
          <cell r="X10">
            <v>-0.443608127099064</v>
          </cell>
          <cell r="Y10">
            <v>14343</v>
          </cell>
          <cell r="Z10">
            <v>24592</v>
          </cell>
          <cell r="AA10">
            <v>0.71456459597016</v>
          </cell>
          <cell r="AB10">
            <v>56326</v>
          </cell>
          <cell r="AC10">
            <v>47951</v>
          </cell>
          <cell r="AD10">
            <v>-0.148687994886908</v>
          </cell>
          <cell r="AE10">
            <v>10168</v>
          </cell>
          <cell r="AF10">
            <v>35823</v>
          </cell>
          <cell r="AG10">
            <v>2.52311172305271</v>
          </cell>
          <cell r="AH10">
            <v>66494</v>
          </cell>
          <cell r="AI10">
            <v>83774</v>
          </cell>
          <cell r="AJ10">
            <v>0.259873071254549</v>
          </cell>
          <cell r="AK10">
            <v>6124</v>
          </cell>
          <cell r="AL10">
            <v>40090</v>
          </cell>
        </row>
        <row r="11">
          <cell r="C11" t="str">
            <v>杭州司亿博环境设备有限公司</v>
          </cell>
          <cell r="D11" t="str">
            <v>经销</v>
          </cell>
          <cell r="E11" t="str">
            <v>经销</v>
          </cell>
          <cell r="F11" t="str">
            <v>杭州市区</v>
          </cell>
          <cell r="G11" t="str">
            <v>钱塘区</v>
          </cell>
          <cell r="H11" t="str">
            <v>董培培</v>
          </cell>
          <cell r="I11">
            <v>0</v>
          </cell>
          <cell r="J11">
            <v>11748</v>
          </cell>
        </row>
        <row r="11">
          <cell r="L11">
            <v>-1</v>
          </cell>
          <cell r="M11">
            <v>16445</v>
          </cell>
          <cell r="N11">
            <v>2274</v>
          </cell>
          <cell r="O11">
            <v>-0.861720887807844</v>
          </cell>
          <cell r="P11">
            <v>28193</v>
          </cell>
          <cell r="Q11">
            <v>2274</v>
          </cell>
          <cell r="R11">
            <v>-0.919341680559004</v>
          </cell>
          <cell r="S11">
            <v>800</v>
          </cell>
        </row>
        <row r="11">
          <cell r="U11">
            <v>-1</v>
          </cell>
          <cell r="V11">
            <v>28993</v>
          </cell>
          <cell r="W11">
            <v>2274</v>
          </cell>
          <cell r="X11">
            <v>-0.921567274859449</v>
          </cell>
        </row>
        <row r="11">
          <cell r="Z11">
            <v>2217</v>
          </cell>
          <cell r="AA11" t="e">
            <v>#DIV/0!</v>
          </cell>
          <cell r="AB11">
            <v>28993</v>
          </cell>
          <cell r="AC11">
            <v>4491</v>
          </cell>
          <cell r="AD11">
            <v>-0.84510054151002</v>
          </cell>
          <cell r="AE11">
            <v>19214</v>
          </cell>
          <cell r="AF11">
            <v>13140</v>
          </cell>
          <cell r="AG11">
            <v>-0.316123659831373</v>
          </cell>
          <cell r="AH11">
            <v>48207</v>
          </cell>
          <cell r="AI11">
            <v>17631</v>
          </cell>
          <cell r="AJ11">
            <v>-0.634264733337482</v>
          </cell>
        </row>
        <row r="12">
          <cell r="C12" t="str">
            <v>杭州五星</v>
          </cell>
          <cell r="D12" t="str">
            <v>五星</v>
          </cell>
          <cell r="E12" t="str">
            <v>五星</v>
          </cell>
          <cell r="F12" t="str">
            <v>杭州市区</v>
          </cell>
          <cell r="G12" t="str">
            <v>市区</v>
          </cell>
          <cell r="H12" t="str">
            <v>李燕霞</v>
          </cell>
          <cell r="I12">
            <v>560</v>
          </cell>
          <cell r="J12">
            <v>-55370.32</v>
          </cell>
          <cell r="K12">
            <v>513987.69</v>
          </cell>
          <cell r="L12">
            <v>-10.282729267232</v>
          </cell>
        </row>
        <row r="12">
          <cell r="N12">
            <v>456944.83</v>
          </cell>
          <cell r="O12" t="e">
            <v>#DIV/0!</v>
          </cell>
          <cell r="P12">
            <v>-55370.32</v>
          </cell>
          <cell r="Q12">
            <v>970932.52</v>
          </cell>
          <cell r="R12">
            <v>-18.5352520989584</v>
          </cell>
        </row>
        <row r="12">
          <cell r="T12">
            <v>639327.2</v>
          </cell>
          <cell r="U12" t="e">
            <v>#DIV/0!</v>
          </cell>
          <cell r="V12">
            <v>-55370.32</v>
          </cell>
          <cell r="W12">
            <v>1610259.72</v>
          </cell>
          <cell r="X12">
            <v>-30.0816401277796</v>
          </cell>
          <cell r="Y12">
            <v>442229.3</v>
          </cell>
          <cell r="Z12">
            <v>380375.22</v>
          </cell>
          <cell r="AA12">
            <v>-0.139868796572276</v>
          </cell>
          <cell r="AB12">
            <v>386858.98</v>
          </cell>
          <cell r="AC12">
            <v>1990634.94</v>
          </cell>
          <cell r="AD12">
            <v>4.1456345668905</v>
          </cell>
          <cell r="AE12">
            <v>309190.52</v>
          </cell>
          <cell r="AF12">
            <v>403454.03</v>
          </cell>
          <cell r="AG12">
            <v>0.304871928156141</v>
          </cell>
          <cell r="AH12">
            <v>696049.5</v>
          </cell>
          <cell r="AI12">
            <v>2394088.97</v>
          </cell>
          <cell r="AJ12">
            <v>2.43953838053184</v>
          </cell>
          <cell r="AK12">
            <v>319675.55</v>
          </cell>
          <cell r="AL12">
            <v>521128.98</v>
          </cell>
        </row>
        <row r="13">
          <cell r="C13" t="str">
            <v>杭州临平江南家居专卖店</v>
          </cell>
          <cell r="D13" t="str">
            <v>直营</v>
          </cell>
          <cell r="E13" t="str">
            <v>直营</v>
          </cell>
          <cell r="F13" t="str">
            <v>临平区</v>
          </cell>
          <cell r="G13" t="str">
            <v>临平区</v>
          </cell>
          <cell r="H13" t="str">
            <v>专卖店</v>
          </cell>
          <cell r="I13">
            <v>180</v>
          </cell>
          <cell r="J13">
            <v>103977</v>
          </cell>
          <cell r="K13">
            <v>22066</v>
          </cell>
          <cell r="L13">
            <v>-0.787779989805438</v>
          </cell>
          <cell r="M13">
            <v>19500</v>
          </cell>
          <cell r="N13">
            <v>49149</v>
          </cell>
          <cell r="O13">
            <v>1.52046153846154</v>
          </cell>
          <cell r="P13">
            <v>123477</v>
          </cell>
          <cell r="Q13">
            <v>71215</v>
          </cell>
          <cell r="R13">
            <v>-0.42325291349806</v>
          </cell>
          <cell r="S13">
            <v>113494</v>
          </cell>
          <cell r="T13">
            <v>91366</v>
          </cell>
          <cell r="U13">
            <v>-0.194970659241898</v>
          </cell>
          <cell r="V13">
            <v>236971</v>
          </cell>
          <cell r="W13">
            <v>162581</v>
          </cell>
          <cell r="X13">
            <v>-0.313920268724865</v>
          </cell>
          <cell r="Y13">
            <v>109059</v>
          </cell>
          <cell r="Z13">
            <v>67817</v>
          </cell>
          <cell r="AA13">
            <v>-0.378162279133313</v>
          </cell>
          <cell r="AB13">
            <v>346030</v>
          </cell>
          <cell r="AC13">
            <v>230398</v>
          </cell>
          <cell r="AD13">
            <v>-0.334167557726209</v>
          </cell>
          <cell r="AE13">
            <v>111723</v>
          </cell>
          <cell r="AF13">
            <v>71689</v>
          </cell>
          <cell r="AG13">
            <v>-0.3583326620302</v>
          </cell>
          <cell r="AH13">
            <v>457753</v>
          </cell>
          <cell r="AI13">
            <v>302087</v>
          </cell>
          <cell r="AJ13">
            <v>-0.340065493836196</v>
          </cell>
          <cell r="AK13">
            <v>173284</v>
          </cell>
          <cell r="AL13">
            <v>123804</v>
          </cell>
        </row>
        <row r="14">
          <cell r="C14" t="str">
            <v>杭州华泓电器有限公司</v>
          </cell>
          <cell r="D14" t="str">
            <v>经销</v>
          </cell>
          <cell r="E14" t="str">
            <v>经销</v>
          </cell>
          <cell r="F14" t="str">
            <v>萧山区</v>
          </cell>
          <cell r="G14" t="str">
            <v>萧山区</v>
          </cell>
          <cell r="H14" t="str">
            <v>董培培</v>
          </cell>
        </row>
        <row r="14">
          <cell r="J14">
            <v>800</v>
          </cell>
        </row>
        <row r="14">
          <cell r="L14">
            <v>-1</v>
          </cell>
        </row>
        <row r="14">
          <cell r="O14" t="e">
            <v>#DIV/0!</v>
          </cell>
          <cell r="P14">
            <v>800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800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800</v>
          </cell>
          <cell r="AC14">
            <v>0</v>
          </cell>
          <cell r="AD14">
            <v>-1</v>
          </cell>
        </row>
        <row r="14">
          <cell r="AG14" t="e">
            <v>#DIV/0!</v>
          </cell>
          <cell r="AH14">
            <v>800</v>
          </cell>
          <cell r="AI14">
            <v>0</v>
          </cell>
          <cell r="AJ14">
            <v>-1</v>
          </cell>
          <cell r="AK14">
            <v>6071</v>
          </cell>
        </row>
        <row r="15">
          <cell r="C15" t="str">
            <v>杭州金蝶零售</v>
          </cell>
          <cell r="D15" t="str">
            <v>零售</v>
          </cell>
          <cell r="E15" t="str">
            <v>零售</v>
          </cell>
          <cell r="F15" t="str">
            <v>杭州市区</v>
          </cell>
          <cell r="G15" t="str">
            <v>市区</v>
          </cell>
          <cell r="H15" t="str">
            <v>杭州零售</v>
          </cell>
        </row>
        <row r="15">
          <cell r="J15">
            <v>111956.28</v>
          </cell>
          <cell r="K15">
            <v>76873.34</v>
          </cell>
          <cell r="L15">
            <v>-0.313362859144659</v>
          </cell>
          <cell r="M15">
            <v>43919</v>
          </cell>
          <cell r="N15">
            <v>43284.9</v>
          </cell>
          <cell r="O15">
            <v>-0.014437942576106</v>
          </cell>
          <cell r="P15">
            <v>155875.28</v>
          </cell>
          <cell r="Q15">
            <v>120158.24</v>
          </cell>
          <cell r="R15">
            <v>-0.229138577970798</v>
          </cell>
          <cell r="S15">
            <v>80405.08</v>
          </cell>
          <cell r="T15">
            <v>119148.66</v>
          </cell>
          <cell r="U15">
            <v>0.481854877826127</v>
          </cell>
          <cell r="V15">
            <v>236280.36</v>
          </cell>
          <cell r="W15">
            <v>239306.9</v>
          </cell>
          <cell r="X15">
            <v>0.012809105251067</v>
          </cell>
          <cell r="Y15">
            <v>82108.64</v>
          </cell>
          <cell r="Z15">
            <v>310195.38</v>
          </cell>
          <cell r="AA15">
            <v>2.77786527702809</v>
          </cell>
          <cell r="AB15">
            <v>318389</v>
          </cell>
          <cell r="AC15">
            <v>549502.28</v>
          </cell>
          <cell r="AD15">
            <v>0.725883369086244</v>
          </cell>
          <cell r="AE15">
            <v>209042.8</v>
          </cell>
          <cell r="AF15">
            <v>36281.12</v>
          </cell>
          <cell r="AG15">
            <v>-0.826441666491264</v>
          </cell>
          <cell r="AH15">
            <v>527431.8</v>
          </cell>
          <cell r="AI15">
            <v>585783.4</v>
          </cell>
          <cell r="AJ15">
            <v>0.110633450618639</v>
          </cell>
          <cell r="AK15">
            <v>78620.76</v>
          </cell>
          <cell r="AL15">
            <v>30684.4</v>
          </cell>
        </row>
        <row r="16">
          <cell r="C16" t="str">
            <v>杭州金蝶零售（李燕霞）</v>
          </cell>
          <cell r="D16" t="str">
            <v>零售</v>
          </cell>
          <cell r="E16" t="str">
            <v>零售</v>
          </cell>
          <cell r="F16" t="str">
            <v>杭州市区</v>
          </cell>
          <cell r="G16" t="str">
            <v>市区</v>
          </cell>
          <cell r="H16" t="str">
            <v>李燕霞</v>
          </cell>
        </row>
        <row r="16">
          <cell r="L16" t="e">
            <v>#DIV/0!</v>
          </cell>
        </row>
        <row r="16">
          <cell r="N16">
            <v>6125</v>
          </cell>
          <cell r="O16" t="e">
            <v>#DIV/0!</v>
          </cell>
          <cell r="P16">
            <v>0</v>
          </cell>
          <cell r="Q16">
            <v>6125</v>
          </cell>
          <cell r="R16" t="e">
            <v>#DIV/0!</v>
          </cell>
        </row>
        <row r="16">
          <cell r="U16" t="e">
            <v>#DIV/0!</v>
          </cell>
          <cell r="V16">
            <v>0</v>
          </cell>
          <cell r="W16">
            <v>6125</v>
          </cell>
          <cell r="X16" t="e">
            <v>#DIV/0!</v>
          </cell>
        </row>
        <row r="16">
          <cell r="AA16" t="e">
            <v>#DIV/0!</v>
          </cell>
          <cell r="AB16">
            <v>0</v>
          </cell>
          <cell r="AC16">
            <v>6125</v>
          </cell>
          <cell r="AD16" t="e">
            <v>#DIV/0!</v>
          </cell>
          <cell r="AE16">
            <v>3636</v>
          </cell>
        </row>
        <row r="16">
          <cell r="AG16">
            <v>-1</v>
          </cell>
          <cell r="AH16">
            <v>3636</v>
          </cell>
          <cell r="AI16">
            <v>6125</v>
          </cell>
          <cell r="AJ16">
            <v>0.684543454345435</v>
          </cell>
          <cell r="AK16">
            <v>25759</v>
          </cell>
        </row>
        <row r="17">
          <cell r="C17" t="str">
            <v>萧山世纪龙建材专卖店</v>
          </cell>
          <cell r="D17" t="str">
            <v>直营</v>
          </cell>
          <cell r="E17" t="str">
            <v>直营</v>
          </cell>
          <cell r="F17" t="str">
            <v>萧山区</v>
          </cell>
          <cell r="G17" t="str">
            <v>萧山区</v>
          </cell>
          <cell r="H17" t="str">
            <v>专卖店</v>
          </cell>
        </row>
        <row r="17">
          <cell r="J17">
            <v>52801</v>
          </cell>
        </row>
        <row r="17">
          <cell r="L17">
            <v>-1</v>
          </cell>
        </row>
        <row r="17">
          <cell r="O17" t="e">
            <v>#DIV/0!</v>
          </cell>
          <cell r="P17">
            <v>52801</v>
          </cell>
          <cell r="Q17">
            <v>0</v>
          </cell>
          <cell r="R17">
            <v>-1</v>
          </cell>
        </row>
        <row r="17">
          <cell r="U17" t="e">
            <v>#DIV/0!</v>
          </cell>
          <cell r="V17">
            <v>52801</v>
          </cell>
          <cell r="W17">
            <v>0</v>
          </cell>
          <cell r="X17">
            <v>-1</v>
          </cell>
        </row>
        <row r="17">
          <cell r="AA17" t="e">
            <v>#DIV/0!</v>
          </cell>
          <cell r="AB17">
            <v>52801</v>
          </cell>
          <cell r="AC17">
            <v>0</v>
          </cell>
          <cell r="AD17">
            <v>-1</v>
          </cell>
        </row>
        <row r="17">
          <cell r="AG17" t="e">
            <v>#DIV/0!</v>
          </cell>
          <cell r="AH17">
            <v>52801</v>
          </cell>
          <cell r="AI17">
            <v>0</v>
          </cell>
          <cell r="AJ17">
            <v>-1</v>
          </cell>
        </row>
        <row r="18">
          <cell r="C18" t="str">
            <v>（新）古墩新时代专卖店</v>
          </cell>
          <cell r="D18" t="str">
            <v>直营</v>
          </cell>
          <cell r="E18" t="str">
            <v>直营</v>
          </cell>
          <cell r="F18" t="str">
            <v>杭州市区</v>
          </cell>
          <cell r="G18" t="str">
            <v>西湖风景名胜区</v>
          </cell>
          <cell r="H18" t="str">
            <v>专卖店</v>
          </cell>
        </row>
        <row r="18">
          <cell r="J18">
            <v>-16596</v>
          </cell>
        </row>
        <row r="18">
          <cell r="L18">
            <v>-1</v>
          </cell>
        </row>
        <row r="18">
          <cell r="O18" t="e">
            <v>#DIV/0!</v>
          </cell>
          <cell r="P18">
            <v>-16596</v>
          </cell>
          <cell r="Q18">
            <v>0</v>
          </cell>
          <cell r="R18">
            <v>-1</v>
          </cell>
        </row>
        <row r="18">
          <cell r="U18" t="e">
            <v>#DIV/0!</v>
          </cell>
          <cell r="V18">
            <v>-16596</v>
          </cell>
          <cell r="W18">
            <v>0</v>
          </cell>
          <cell r="X18">
            <v>-1</v>
          </cell>
        </row>
        <row r="18">
          <cell r="AA18" t="e">
            <v>#DIV/0!</v>
          </cell>
          <cell r="AB18">
            <v>-16596</v>
          </cell>
          <cell r="AC18">
            <v>0</v>
          </cell>
          <cell r="AD18">
            <v>-1</v>
          </cell>
        </row>
        <row r="18">
          <cell r="AG18" t="e">
            <v>#DIV/0!</v>
          </cell>
          <cell r="AH18">
            <v>-16596</v>
          </cell>
          <cell r="AI18">
            <v>0</v>
          </cell>
          <cell r="AJ18">
            <v>-1</v>
          </cell>
        </row>
        <row r="19">
          <cell r="C19" t="str">
            <v>（新）宏丰专卖店</v>
          </cell>
          <cell r="D19" t="str">
            <v>直营</v>
          </cell>
          <cell r="E19" t="str">
            <v>直营</v>
          </cell>
          <cell r="F19" t="str">
            <v>杭州市区</v>
          </cell>
          <cell r="G19" t="str">
            <v>市区</v>
          </cell>
          <cell r="H19" t="str">
            <v>专卖店</v>
          </cell>
        </row>
        <row r="19">
          <cell r="L19" t="e">
            <v>#DIV/0!</v>
          </cell>
          <cell r="M19">
            <v>-3358</v>
          </cell>
        </row>
        <row r="19">
          <cell r="O19">
            <v>-1</v>
          </cell>
          <cell r="P19">
            <v>-3358</v>
          </cell>
          <cell r="Q19">
            <v>0</v>
          </cell>
          <cell r="R19">
            <v>-1</v>
          </cell>
        </row>
        <row r="19">
          <cell r="U19" t="e">
            <v>#DIV/0!</v>
          </cell>
          <cell r="V19">
            <v>-3358</v>
          </cell>
          <cell r="W19">
            <v>0</v>
          </cell>
          <cell r="X19">
            <v>-1</v>
          </cell>
        </row>
        <row r="19">
          <cell r="AA19" t="e">
            <v>#DIV/0!</v>
          </cell>
          <cell r="AB19">
            <v>-3358</v>
          </cell>
          <cell r="AC19">
            <v>0</v>
          </cell>
          <cell r="AD19">
            <v>-1</v>
          </cell>
        </row>
        <row r="19">
          <cell r="AG19" t="e">
            <v>#DIV/0!</v>
          </cell>
          <cell r="AH19">
            <v>-3358</v>
          </cell>
          <cell r="AI19">
            <v>0</v>
          </cell>
          <cell r="AJ19">
            <v>-1</v>
          </cell>
        </row>
        <row r="20">
          <cell r="C20" t="str">
            <v>杭州月星家居超级旗舰店</v>
          </cell>
          <cell r="D20" t="str">
            <v>直营</v>
          </cell>
          <cell r="E20" t="str">
            <v>直营</v>
          </cell>
          <cell r="F20" t="str">
            <v>杭州市区</v>
          </cell>
          <cell r="G20" t="str">
            <v>拱墅区</v>
          </cell>
          <cell r="H20" t="str">
            <v>专卖店</v>
          </cell>
        </row>
        <row r="20">
          <cell r="L20" t="e">
            <v>#DIV/0!</v>
          </cell>
        </row>
        <row r="20">
          <cell r="O20" t="e">
            <v>#DIV/0!</v>
          </cell>
          <cell r="P20">
            <v>0</v>
          </cell>
          <cell r="Q20">
            <v>0</v>
          </cell>
          <cell r="R20" t="e">
            <v>#DIV/0!</v>
          </cell>
        </row>
        <row r="20">
          <cell r="U20" t="e">
            <v>#DIV/0!</v>
          </cell>
          <cell r="V20">
            <v>0</v>
          </cell>
          <cell r="W20">
            <v>0</v>
          </cell>
          <cell r="X20" t="e">
            <v>#DIV/0!</v>
          </cell>
        </row>
        <row r="20">
          <cell r="AA20" t="e">
            <v>#DIV/0!</v>
          </cell>
          <cell r="AB20">
            <v>0</v>
          </cell>
          <cell r="AC20">
            <v>0</v>
          </cell>
          <cell r="AD20" t="e">
            <v>#DIV/0!</v>
          </cell>
        </row>
        <row r="20">
          <cell r="AG20" t="e">
            <v>#DIV/0!</v>
          </cell>
          <cell r="AH20">
            <v>0</v>
          </cell>
          <cell r="AI20">
            <v>0</v>
          </cell>
          <cell r="AJ20" t="e">
            <v>#DIV/0!</v>
          </cell>
        </row>
        <row r="21">
          <cell r="C21" t="str">
            <v>杭州恒大建材超级旗舰店</v>
          </cell>
          <cell r="D21" t="str">
            <v>直营</v>
          </cell>
          <cell r="E21" t="str">
            <v>直营</v>
          </cell>
          <cell r="F21" t="str">
            <v>杭州市区</v>
          </cell>
          <cell r="G21" t="str">
            <v>钱塘区</v>
          </cell>
          <cell r="H21" t="str">
            <v>专卖店</v>
          </cell>
          <cell r="I21">
            <v>230</v>
          </cell>
          <cell r="J21">
            <v>164507</v>
          </cell>
          <cell r="K21">
            <v>108230.5</v>
          </cell>
          <cell r="L21">
            <v>-0.34209182587975</v>
          </cell>
          <cell r="M21">
            <v>107411</v>
          </cell>
          <cell r="N21">
            <v>59256.4</v>
          </cell>
          <cell r="O21">
            <v>-0.448320935472158</v>
          </cell>
          <cell r="P21">
            <v>271918</v>
          </cell>
          <cell r="Q21">
            <v>167486.9</v>
          </cell>
          <cell r="R21">
            <v>-0.384053648526394</v>
          </cell>
          <cell r="S21">
            <v>318901</v>
          </cell>
          <cell r="T21">
            <v>109309.1</v>
          </cell>
          <cell r="U21">
            <v>-0.65723186819734</v>
          </cell>
          <cell r="V21">
            <v>590819</v>
          </cell>
          <cell r="W21">
            <v>276796</v>
          </cell>
          <cell r="X21">
            <v>-0.531504572466356</v>
          </cell>
          <cell r="Y21">
            <v>286782</v>
          </cell>
          <cell r="Z21">
            <v>130231</v>
          </cell>
          <cell r="AA21">
            <v>-0.545888514620862</v>
          </cell>
          <cell r="AB21">
            <v>877601</v>
          </cell>
          <cell r="AC21">
            <v>407027</v>
          </cell>
          <cell r="AD21">
            <v>-0.536204949629729</v>
          </cell>
          <cell r="AE21">
            <v>277032</v>
          </cell>
          <cell r="AF21">
            <v>123067.1</v>
          </cell>
          <cell r="AG21">
            <v>-0.555765759912212</v>
          </cell>
          <cell r="AH21">
            <v>1154633</v>
          </cell>
          <cell r="AI21">
            <v>530094.1</v>
          </cell>
          <cell r="AJ21">
            <v>-0.540898190160856</v>
          </cell>
          <cell r="AK21">
            <v>219679</v>
          </cell>
          <cell r="AL21">
            <v>158341.8</v>
          </cell>
        </row>
        <row r="22">
          <cell r="C22" t="str">
            <v>二轻爱威专卖店</v>
          </cell>
          <cell r="D22" t="str">
            <v>加盟</v>
          </cell>
          <cell r="E22" t="str">
            <v>加盟</v>
          </cell>
          <cell r="F22" t="str">
            <v>杭州市区</v>
          </cell>
          <cell r="G22" t="str">
            <v>拱墅区</v>
          </cell>
          <cell r="H22" t="str">
            <v>专卖店</v>
          </cell>
        </row>
        <row r="22">
          <cell r="J22">
            <v>78855</v>
          </cell>
          <cell r="K22">
            <v>24931</v>
          </cell>
          <cell r="L22">
            <v>-0.683837423118382</v>
          </cell>
          <cell r="M22">
            <v>39609</v>
          </cell>
          <cell r="N22">
            <v>30583</v>
          </cell>
          <cell r="O22">
            <v>-0.227877502587796</v>
          </cell>
          <cell r="P22">
            <v>118464</v>
          </cell>
          <cell r="Q22">
            <v>55514</v>
          </cell>
          <cell r="R22">
            <v>-0.531385062128579</v>
          </cell>
          <cell r="S22">
            <v>40486</v>
          </cell>
          <cell r="T22">
            <v>10700</v>
          </cell>
          <cell r="U22">
            <v>-0.735711110013338</v>
          </cell>
          <cell r="V22">
            <v>158950</v>
          </cell>
          <cell r="W22">
            <v>66214</v>
          </cell>
          <cell r="X22">
            <v>-0.583428751179616</v>
          </cell>
          <cell r="Y22">
            <v>45990</v>
          </cell>
        </row>
        <row r="22">
          <cell r="AA22">
            <v>-1</v>
          </cell>
          <cell r="AB22">
            <v>204940</v>
          </cell>
          <cell r="AC22">
            <v>66214</v>
          </cell>
          <cell r="AD22">
            <v>-0.676910315214209</v>
          </cell>
          <cell r="AE22">
            <v>26265</v>
          </cell>
          <cell r="AF22">
            <v>-3281.96</v>
          </cell>
          <cell r="AG22">
            <v>-1.12495564439368</v>
          </cell>
          <cell r="AH22">
            <v>231205</v>
          </cell>
          <cell r="AI22">
            <v>62932.04</v>
          </cell>
          <cell r="AJ22">
            <v>-0.727808481650483</v>
          </cell>
          <cell r="AK22">
            <v>67133</v>
          </cell>
        </row>
        <row r="23">
          <cell r="C23" t="str">
            <v>（新）滨江第六空间专卖店</v>
          </cell>
          <cell r="D23" t="str">
            <v>直营</v>
          </cell>
          <cell r="E23" t="str">
            <v>直营</v>
          </cell>
          <cell r="F23" t="str">
            <v>杭州市区</v>
          </cell>
          <cell r="G23" t="str">
            <v>滨江区</v>
          </cell>
          <cell r="H23" t="str">
            <v>专卖店</v>
          </cell>
          <cell r="I23">
            <v>280</v>
          </cell>
          <cell r="J23">
            <v>155330</v>
          </cell>
          <cell r="K23">
            <v>156262</v>
          </cell>
          <cell r="L23">
            <v>0.00600012875812794</v>
          </cell>
          <cell r="M23">
            <v>84728</v>
          </cell>
          <cell r="N23">
            <v>143497</v>
          </cell>
          <cell r="O23">
            <v>0.693619582664526</v>
          </cell>
          <cell r="P23">
            <v>240058</v>
          </cell>
          <cell r="Q23">
            <v>299759</v>
          </cell>
          <cell r="R23">
            <v>0.248694065600813</v>
          </cell>
          <cell r="S23">
            <v>296842</v>
          </cell>
          <cell r="T23">
            <v>199854.6</v>
          </cell>
          <cell r="U23">
            <v>-0.326730718698836</v>
          </cell>
          <cell r="V23">
            <v>536900</v>
          </cell>
          <cell r="W23">
            <v>499613.6</v>
          </cell>
          <cell r="X23">
            <v>-0.0694475693797728</v>
          </cell>
          <cell r="Y23">
            <v>180500</v>
          </cell>
          <cell r="Z23">
            <v>131199.7</v>
          </cell>
          <cell r="AA23">
            <v>-0.273131855955679</v>
          </cell>
          <cell r="AB23">
            <v>717400</v>
          </cell>
          <cell r="AC23">
            <v>630813.3</v>
          </cell>
          <cell r="AD23">
            <v>-0.120695149149707</v>
          </cell>
          <cell r="AE23">
            <v>190972</v>
          </cell>
          <cell r="AF23">
            <v>160705</v>
          </cell>
          <cell r="AG23">
            <v>-0.158489202605618</v>
          </cell>
          <cell r="AH23">
            <v>908372</v>
          </cell>
          <cell r="AI23">
            <v>791518.3</v>
          </cell>
          <cell r="AJ23">
            <v>-0.128640799143963</v>
          </cell>
          <cell r="AK23">
            <v>207825</v>
          </cell>
          <cell r="AL23">
            <v>164883</v>
          </cell>
        </row>
        <row r="24">
          <cell r="C24" t="str">
            <v>杭州日新人工环境工程有限公司</v>
          </cell>
          <cell r="D24" t="str">
            <v>暖通</v>
          </cell>
          <cell r="E24" t="str">
            <v>暖通</v>
          </cell>
          <cell r="F24" t="str">
            <v>杭州市区</v>
          </cell>
          <cell r="G24" t="str">
            <v>西湖风景名胜区</v>
          </cell>
          <cell r="H24" t="str">
            <v>陈雪君</v>
          </cell>
        </row>
        <row r="24">
          <cell r="L24" t="e">
            <v>#DIV/0!</v>
          </cell>
        </row>
        <row r="24">
          <cell r="O24" t="e">
            <v>#DIV/0!</v>
          </cell>
          <cell r="P24">
            <v>0</v>
          </cell>
          <cell r="Q24">
            <v>0</v>
          </cell>
          <cell r="R24" t="e">
            <v>#DIV/0!</v>
          </cell>
          <cell r="S24">
            <v>790</v>
          </cell>
        </row>
        <row r="24">
          <cell r="U24">
            <v>-1</v>
          </cell>
          <cell r="V24">
            <v>790</v>
          </cell>
          <cell r="W24">
            <v>0</v>
          </cell>
          <cell r="X24">
            <v>-1</v>
          </cell>
        </row>
        <row r="24">
          <cell r="AA24" t="e">
            <v>#DIV/0!</v>
          </cell>
          <cell r="AB24">
            <v>790</v>
          </cell>
          <cell r="AC24">
            <v>0</v>
          </cell>
          <cell r="AD24">
            <v>-1</v>
          </cell>
        </row>
        <row r="24">
          <cell r="AG24" t="e">
            <v>#DIV/0!</v>
          </cell>
          <cell r="AH24">
            <v>790</v>
          </cell>
          <cell r="AI24">
            <v>0</v>
          </cell>
          <cell r="AJ24">
            <v>-1</v>
          </cell>
        </row>
        <row r="25">
          <cell r="C25" t="str">
            <v>杭州汇意商贸有限公司</v>
          </cell>
          <cell r="D25" t="str">
            <v>暖通</v>
          </cell>
          <cell r="E25" t="str">
            <v>暖通</v>
          </cell>
          <cell r="F25" t="str">
            <v>杭州市区</v>
          </cell>
          <cell r="G25" t="str">
            <v>拱墅区</v>
          </cell>
          <cell r="H25" t="str">
            <v>陈雪君</v>
          </cell>
        </row>
        <row r="25">
          <cell r="L25" t="e">
            <v>#DIV/0!</v>
          </cell>
        </row>
        <row r="25"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</row>
        <row r="25"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</row>
        <row r="25">
          <cell r="AA25" t="e">
            <v>#DIV/0!</v>
          </cell>
          <cell r="AB25">
            <v>0</v>
          </cell>
          <cell r="AC25">
            <v>0</v>
          </cell>
          <cell r="AD25" t="e">
            <v>#DIV/0!</v>
          </cell>
        </row>
        <row r="25">
          <cell r="AG25" t="e">
            <v>#DIV/0!</v>
          </cell>
          <cell r="AH25">
            <v>0</v>
          </cell>
          <cell r="AI25">
            <v>0</v>
          </cell>
          <cell r="AJ25" t="e">
            <v>#DIV/0!</v>
          </cell>
        </row>
        <row r="26">
          <cell r="C26" t="str">
            <v>浙江初韵供应链管理有限公司</v>
          </cell>
          <cell r="D26" t="str">
            <v>经销</v>
          </cell>
          <cell r="E26" t="str">
            <v>经销</v>
          </cell>
          <cell r="F26" t="str">
            <v>杭州市区</v>
          </cell>
          <cell r="G26" t="str">
            <v>上城区</v>
          </cell>
          <cell r="H26" t="str">
            <v>董培培</v>
          </cell>
          <cell r="I26">
            <v>24</v>
          </cell>
          <cell r="J26">
            <v>20000</v>
          </cell>
          <cell r="K26">
            <v>10000</v>
          </cell>
          <cell r="L26">
            <v>-0.5</v>
          </cell>
        </row>
        <row r="26">
          <cell r="O26" t="e">
            <v>#DIV/0!</v>
          </cell>
          <cell r="P26">
            <v>20000</v>
          </cell>
          <cell r="Q26">
            <v>10000</v>
          </cell>
          <cell r="R26">
            <v>-0.5</v>
          </cell>
          <cell r="S26">
            <v>40000</v>
          </cell>
          <cell r="T26">
            <v>24752.5</v>
          </cell>
          <cell r="U26">
            <v>-0.3811875</v>
          </cell>
          <cell r="V26">
            <v>60000</v>
          </cell>
          <cell r="W26">
            <v>34752.5</v>
          </cell>
          <cell r="X26">
            <v>-0.420791666666667</v>
          </cell>
          <cell r="Y26">
            <v>30000</v>
          </cell>
        </row>
        <row r="26">
          <cell r="AA26">
            <v>-1</v>
          </cell>
          <cell r="AB26">
            <v>90000</v>
          </cell>
          <cell r="AC26">
            <v>34752.5</v>
          </cell>
          <cell r="AD26">
            <v>-0.613861111111111</v>
          </cell>
          <cell r="AE26">
            <v>40100</v>
          </cell>
        </row>
        <row r="26">
          <cell r="AG26">
            <v>-1</v>
          </cell>
          <cell r="AH26">
            <v>130100</v>
          </cell>
          <cell r="AI26">
            <v>34752.5</v>
          </cell>
          <cell r="AJ26">
            <v>-0.732878554957725</v>
          </cell>
        </row>
        <row r="27">
          <cell r="C27" t="str">
            <v>杭州红星美凯龙一号店</v>
          </cell>
          <cell r="D27" t="str">
            <v>直营</v>
          </cell>
          <cell r="E27" t="str">
            <v>直营</v>
          </cell>
          <cell r="F27" t="str">
            <v>杭州市区</v>
          </cell>
          <cell r="G27" t="str">
            <v>西湖风景名胜区</v>
          </cell>
          <cell r="H27" t="str">
            <v>专卖店</v>
          </cell>
          <cell r="I27">
            <v>400</v>
          </cell>
          <cell r="J27">
            <v>304654</v>
          </cell>
          <cell r="K27">
            <v>248878.5</v>
          </cell>
          <cell r="L27">
            <v>-0.183078180493281</v>
          </cell>
          <cell r="M27">
            <v>67549</v>
          </cell>
          <cell r="N27">
            <v>359062</v>
          </cell>
          <cell r="O27">
            <v>4.31557832092259</v>
          </cell>
          <cell r="P27">
            <v>372203</v>
          </cell>
          <cell r="Q27">
            <v>607940.5</v>
          </cell>
          <cell r="R27">
            <v>0.6333573345728</v>
          </cell>
          <cell r="S27">
            <v>191851</v>
          </cell>
          <cell r="T27">
            <v>586860</v>
          </cell>
          <cell r="U27">
            <v>2.05893636207265</v>
          </cell>
          <cell r="V27">
            <v>564054</v>
          </cell>
          <cell r="W27">
            <v>1194800.5</v>
          </cell>
          <cell r="X27">
            <v>1.11823779283544</v>
          </cell>
          <cell r="Y27">
            <v>73138</v>
          </cell>
          <cell r="Z27">
            <v>381502</v>
          </cell>
          <cell r="AA27">
            <v>4.21619404413574</v>
          </cell>
          <cell r="AB27">
            <v>637192</v>
          </cell>
          <cell r="AC27">
            <v>1576302.5</v>
          </cell>
          <cell r="AD27">
            <v>1.47382657032731</v>
          </cell>
          <cell r="AE27">
            <v>208668</v>
          </cell>
          <cell r="AF27">
            <v>418566</v>
          </cell>
          <cell r="AG27">
            <v>1.00589453102536</v>
          </cell>
          <cell r="AH27">
            <v>845860</v>
          </cell>
          <cell r="AI27">
            <v>1994868.5</v>
          </cell>
          <cell r="AJ27">
            <v>1.35839086846523</v>
          </cell>
          <cell r="AK27">
            <v>296204</v>
          </cell>
          <cell r="AL27">
            <v>579201</v>
          </cell>
        </row>
        <row r="28">
          <cell r="C28" t="str">
            <v>杭州德业电器有限公司</v>
          </cell>
          <cell r="D28" t="str">
            <v>经销</v>
          </cell>
          <cell r="E28" t="str">
            <v>经销</v>
          </cell>
          <cell r="F28" t="str">
            <v>杭州市区</v>
          </cell>
          <cell r="G28" t="str">
            <v>上城区</v>
          </cell>
          <cell r="H28" t="str">
            <v>吴海林</v>
          </cell>
          <cell r="I28">
            <v>0</v>
          </cell>
          <cell r="J28">
            <v>4124</v>
          </cell>
        </row>
        <row r="28">
          <cell r="L28">
            <v>-1</v>
          </cell>
        </row>
        <row r="28">
          <cell r="O28" t="e">
            <v>#DIV/0!</v>
          </cell>
          <cell r="P28">
            <v>4124</v>
          </cell>
          <cell r="Q28">
            <v>0</v>
          </cell>
          <cell r="R28">
            <v>-1</v>
          </cell>
          <cell r="S28">
            <v>4124</v>
          </cell>
        </row>
        <row r="28">
          <cell r="U28">
            <v>-1</v>
          </cell>
          <cell r="V28">
            <v>8248</v>
          </cell>
          <cell r="W28">
            <v>0</v>
          </cell>
          <cell r="X28">
            <v>-1</v>
          </cell>
        </row>
        <row r="28">
          <cell r="AA28" t="e">
            <v>#DIV/0!</v>
          </cell>
          <cell r="AB28">
            <v>8248</v>
          </cell>
          <cell r="AC28">
            <v>0</v>
          </cell>
          <cell r="AD28">
            <v>-1</v>
          </cell>
        </row>
        <row r="28">
          <cell r="AG28" t="e">
            <v>#DIV/0!</v>
          </cell>
          <cell r="AH28">
            <v>8248</v>
          </cell>
          <cell r="AI28">
            <v>0</v>
          </cell>
          <cell r="AJ28">
            <v>-1</v>
          </cell>
        </row>
        <row r="29">
          <cell r="C29" t="str">
            <v>杭州市余杭区临平街道泽晨材料商行</v>
          </cell>
          <cell r="D29" t="str">
            <v>经销</v>
          </cell>
          <cell r="E29" t="str">
            <v>经销</v>
          </cell>
          <cell r="F29" t="str">
            <v>临平区</v>
          </cell>
          <cell r="G29" t="str">
            <v>临平区</v>
          </cell>
          <cell r="H29" t="str">
            <v>吴海林</v>
          </cell>
        </row>
        <row r="29">
          <cell r="J29">
            <v>10000</v>
          </cell>
        </row>
        <row r="29">
          <cell r="L29">
            <v>-1</v>
          </cell>
        </row>
        <row r="29">
          <cell r="O29" t="e">
            <v>#DIV/0!</v>
          </cell>
          <cell r="P29">
            <v>10000</v>
          </cell>
          <cell r="Q29">
            <v>0</v>
          </cell>
          <cell r="R29">
            <v>-1</v>
          </cell>
        </row>
        <row r="29">
          <cell r="U29" t="e">
            <v>#DIV/0!</v>
          </cell>
          <cell r="V29">
            <v>10000</v>
          </cell>
          <cell r="W29">
            <v>0</v>
          </cell>
          <cell r="X29">
            <v>-1</v>
          </cell>
        </row>
        <row r="29">
          <cell r="AA29" t="e">
            <v>#DIV/0!</v>
          </cell>
          <cell r="AB29">
            <v>10000</v>
          </cell>
          <cell r="AC29">
            <v>0</v>
          </cell>
          <cell r="AD29">
            <v>-1</v>
          </cell>
        </row>
        <row r="29">
          <cell r="AG29" t="e">
            <v>#DIV/0!</v>
          </cell>
          <cell r="AH29">
            <v>10000</v>
          </cell>
          <cell r="AI29">
            <v>0</v>
          </cell>
          <cell r="AJ29">
            <v>-1</v>
          </cell>
        </row>
        <row r="30">
          <cell r="C30" t="str">
            <v>浙江顶戴环境设备有限公司</v>
          </cell>
          <cell r="D30" t="str">
            <v>暖通</v>
          </cell>
          <cell r="E30" t="str">
            <v>暖通</v>
          </cell>
          <cell r="F30" t="str">
            <v>杭州市区</v>
          </cell>
          <cell r="G30" t="str">
            <v>钱塘区</v>
          </cell>
          <cell r="H30" t="str">
            <v>陈雪君</v>
          </cell>
        </row>
        <row r="30">
          <cell r="J30">
            <v>2591</v>
          </cell>
        </row>
        <row r="30">
          <cell r="L30">
            <v>-1</v>
          </cell>
        </row>
        <row r="30">
          <cell r="O30" t="e">
            <v>#DIV/0!</v>
          </cell>
          <cell r="P30">
            <v>2591</v>
          </cell>
          <cell r="Q30">
            <v>0</v>
          </cell>
          <cell r="R30">
            <v>-1</v>
          </cell>
        </row>
        <row r="30">
          <cell r="U30" t="e">
            <v>#DIV/0!</v>
          </cell>
          <cell r="V30">
            <v>2591</v>
          </cell>
          <cell r="W30">
            <v>0</v>
          </cell>
          <cell r="X30">
            <v>-1</v>
          </cell>
        </row>
        <row r="30">
          <cell r="AA30" t="e">
            <v>#DIV/0!</v>
          </cell>
          <cell r="AB30">
            <v>2591</v>
          </cell>
          <cell r="AC30">
            <v>0</v>
          </cell>
          <cell r="AD30">
            <v>-1</v>
          </cell>
        </row>
        <row r="30">
          <cell r="AG30" t="e">
            <v>#DIV/0!</v>
          </cell>
          <cell r="AH30">
            <v>2591</v>
          </cell>
          <cell r="AI30">
            <v>0</v>
          </cell>
          <cell r="AJ30">
            <v>-1</v>
          </cell>
        </row>
        <row r="31">
          <cell r="C31" t="str">
            <v>浙江元天电子商务有限公司</v>
          </cell>
          <cell r="D31" t="str">
            <v>经销</v>
          </cell>
          <cell r="E31" t="str">
            <v>经销</v>
          </cell>
          <cell r="F31" t="str">
            <v>杭州市区</v>
          </cell>
          <cell r="G31" t="str">
            <v>滨江区</v>
          </cell>
          <cell r="H31" t="str">
            <v>黄颖</v>
          </cell>
          <cell r="I31">
            <v>20</v>
          </cell>
          <cell r="J31">
            <v>20582</v>
          </cell>
          <cell r="K31">
            <v>14679</v>
          </cell>
          <cell r="L31">
            <v>-0.286804003498202</v>
          </cell>
          <cell r="M31">
            <v>3939</v>
          </cell>
        </row>
        <row r="31">
          <cell r="O31">
            <v>-1</v>
          </cell>
          <cell r="P31">
            <v>24521</v>
          </cell>
          <cell r="Q31">
            <v>14679</v>
          </cell>
          <cell r="R31">
            <v>-0.401370254067942</v>
          </cell>
        </row>
        <row r="31">
          <cell r="T31">
            <v>3148</v>
          </cell>
          <cell r="U31" t="e">
            <v>#DIV/0!</v>
          </cell>
          <cell r="V31">
            <v>24521</v>
          </cell>
          <cell r="W31">
            <v>17827</v>
          </cell>
          <cell r="X31">
            <v>-0.272990497940541</v>
          </cell>
          <cell r="Y31">
            <v>23069</v>
          </cell>
          <cell r="Z31">
            <v>13909</v>
          </cell>
          <cell r="AA31">
            <v>-0.397069660583467</v>
          </cell>
          <cell r="AB31">
            <v>47590</v>
          </cell>
          <cell r="AC31">
            <v>31736</v>
          </cell>
          <cell r="AD31">
            <v>-0.333137213700357</v>
          </cell>
          <cell r="AE31">
            <v>27908</v>
          </cell>
          <cell r="AF31">
            <v>8765</v>
          </cell>
          <cell r="AG31">
            <v>-0.685932349147198</v>
          </cell>
          <cell r="AH31">
            <v>75498</v>
          </cell>
          <cell r="AI31">
            <v>40501</v>
          </cell>
          <cell r="AJ31">
            <v>-0.463548703276908</v>
          </cell>
          <cell r="AK31">
            <v>25192</v>
          </cell>
          <cell r="AL31">
            <v>9307</v>
          </cell>
        </row>
        <row r="32">
          <cell r="C32" t="str">
            <v>杭州澎湃电器有限公司</v>
          </cell>
          <cell r="D32" t="str">
            <v>家装</v>
          </cell>
          <cell r="E32" t="str">
            <v>家装</v>
          </cell>
          <cell r="F32" t="str">
            <v>杭州市区</v>
          </cell>
          <cell r="G32" t="str">
            <v>上城区</v>
          </cell>
          <cell r="H32" t="str">
            <v>黄颖</v>
          </cell>
        </row>
        <row r="32">
          <cell r="J32">
            <v>7088</v>
          </cell>
        </row>
        <row r="32">
          <cell r="L32">
            <v>-1</v>
          </cell>
        </row>
        <row r="32">
          <cell r="O32" t="e">
            <v>#DIV/0!</v>
          </cell>
          <cell r="P32">
            <v>7088</v>
          </cell>
          <cell r="Q32">
            <v>0</v>
          </cell>
          <cell r="R32">
            <v>-1</v>
          </cell>
        </row>
        <row r="32">
          <cell r="U32" t="e">
            <v>#DIV/0!</v>
          </cell>
          <cell r="V32">
            <v>7088</v>
          </cell>
          <cell r="W32">
            <v>0</v>
          </cell>
          <cell r="X32">
            <v>-1</v>
          </cell>
        </row>
        <row r="32">
          <cell r="AA32" t="e">
            <v>#DIV/0!</v>
          </cell>
          <cell r="AB32">
            <v>7088</v>
          </cell>
          <cell r="AC32">
            <v>0</v>
          </cell>
          <cell r="AD32">
            <v>-1</v>
          </cell>
        </row>
        <row r="32">
          <cell r="AG32" t="e">
            <v>#DIV/0!</v>
          </cell>
          <cell r="AH32">
            <v>7088</v>
          </cell>
          <cell r="AI32">
            <v>0</v>
          </cell>
          <cell r="AJ32">
            <v>-1</v>
          </cell>
        </row>
        <row r="33">
          <cell r="C33" t="str">
            <v>杭州中博智能电器有限公司</v>
          </cell>
          <cell r="D33" t="str">
            <v>家装</v>
          </cell>
          <cell r="E33" t="str">
            <v>家装</v>
          </cell>
          <cell r="F33" t="str">
            <v>杭州市区</v>
          </cell>
          <cell r="G33" t="str">
            <v>上城区</v>
          </cell>
          <cell r="H33" t="str">
            <v>黄颖</v>
          </cell>
          <cell r="I33">
            <v>200</v>
          </cell>
          <cell r="J33">
            <v>91657.28</v>
          </cell>
          <cell r="K33">
            <v>218873.82</v>
          </cell>
          <cell r="L33">
            <v>1.38795892699412</v>
          </cell>
        </row>
        <row r="33">
          <cell r="N33">
            <v>131893.4</v>
          </cell>
          <cell r="O33" t="e">
            <v>#DIV/0!</v>
          </cell>
          <cell r="P33">
            <v>91657.28</v>
          </cell>
          <cell r="Q33">
            <v>350767.22</v>
          </cell>
          <cell r="R33">
            <v>2.82694336991017</v>
          </cell>
          <cell r="S33">
            <v>98407.6</v>
          </cell>
          <cell r="T33">
            <v>143496.71</v>
          </cell>
          <cell r="U33">
            <v>0.458187274153622</v>
          </cell>
          <cell r="V33">
            <v>190064.88</v>
          </cell>
          <cell r="W33">
            <v>494263.93</v>
          </cell>
          <cell r="X33">
            <v>1.60050110257087</v>
          </cell>
          <cell r="Y33">
            <v>88389.8</v>
          </cell>
          <cell r="Z33">
            <v>34200.39</v>
          </cell>
          <cell r="AA33">
            <v>-0.613073114771161</v>
          </cell>
          <cell r="AB33">
            <v>278454.68</v>
          </cell>
          <cell r="AC33">
            <v>528464.32</v>
          </cell>
          <cell r="AD33">
            <v>0.897846787850719</v>
          </cell>
          <cell r="AE33">
            <v>181882.45</v>
          </cell>
          <cell r="AF33">
            <v>134290.18</v>
          </cell>
          <cell r="AG33">
            <v>-0.261664992966611</v>
          </cell>
          <cell r="AH33">
            <v>460337.13</v>
          </cell>
          <cell r="AI33">
            <v>662754.5</v>
          </cell>
          <cell r="AJ33">
            <v>0.439715497205277</v>
          </cell>
          <cell r="AK33">
            <v>187566.88</v>
          </cell>
          <cell r="AL33">
            <v>128859.37</v>
          </cell>
        </row>
        <row r="34">
          <cell r="C34" t="str">
            <v>浙江都都装饰有限公司</v>
          </cell>
          <cell r="D34" t="str">
            <v>家装</v>
          </cell>
          <cell r="E34" t="str">
            <v>家装</v>
          </cell>
          <cell r="F34" t="str">
            <v>杭州市区</v>
          </cell>
          <cell r="G34" t="str">
            <v>拱墅区</v>
          </cell>
          <cell r="H34" t="str">
            <v>黄颖</v>
          </cell>
          <cell r="I34">
            <v>60</v>
          </cell>
          <cell r="J34">
            <v>16779</v>
          </cell>
          <cell r="K34">
            <v>37387</v>
          </cell>
          <cell r="L34">
            <v>1.2282019190655</v>
          </cell>
        </row>
        <row r="34">
          <cell r="O34" t="e">
            <v>#DIV/0!</v>
          </cell>
          <cell r="P34">
            <v>16779</v>
          </cell>
          <cell r="Q34">
            <v>37387</v>
          </cell>
          <cell r="R34">
            <v>1.2282019190655</v>
          </cell>
          <cell r="S34">
            <v>7332</v>
          </cell>
        </row>
        <row r="34">
          <cell r="U34">
            <v>-1</v>
          </cell>
          <cell r="V34">
            <v>24111</v>
          </cell>
          <cell r="W34">
            <v>37387</v>
          </cell>
          <cell r="X34">
            <v>0.550620048940318</v>
          </cell>
          <cell r="Y34">
            <v>49926</v>
          </cell>
          <cell r="Z34">
            <v>71744</v>
          </cell>
          <cell r="AA34">
            <v>0.437006770019629</v>
          </cell>
          <cell r="AB34">
            <v>74037</v>
          </cell>
          <cell r="AC34">
            <v>109131</v>
          </cell>
          <cell r="AD34">
            <v>0.474006240123182</v>
          </cell>
          <cell r="AE34">
            <v>57887</v>
          </cell>
          <cell r="AF34">
            <v>84847</v>
          </cell>
          <cell r="AG34">
            <v>0.465734966400055</v>
          </cell>
          <cell r="AH34">
            <v>131924</v>
          </cell>
          <cell r="AI34">
            <v>193978</v>
          </cell>
          <cell r="AJ34">
            <v>0.470376883660289</v>
          </cell>
          <cell r="AK34">
            <v>40556</v>
          </cell>
          <cell r="AL34">
            <v>161547</v>
          </cell>
        </row>
        <row r="35">
          <cell r="C35" t="str">
            <v>桐庐县城南街道正亿家电经营部</v>
          </cell>
          <cell r="D35" t="str">
            <v>经销</v>
          </cell>
          <cell r="E35" t="str">
            <v>经销</v>
          </cell>
          <cell r="F35" t="str">
            <v>桐庐县</v>
          </cell>
          <cell r="G35" t="str">
            <v>桐庐县</v>
          </cell>
          <cell r="H35" t="str">
            <v>吴海林</v>
          </cell>
          <cell r="I35">
            <v>0</v>
          </cell>
        </row>
        <row r="35">
          <cell r="L35" t="e">
            <v>#DIV/0!</v>
          </cell>
        </row>
        <row r="35">
          <cell r="O35" t="e">
            <v>#DIV/0!</v>
          </cell>
          <cell r="P35">
            <v>0</v>
          </cell>
          <cell r="Q35">
            <v>0</v>
          </cell>
          <cell r="R35" t="e">
            <v>#DIV/0!</v>
          </cell>
          <cell r="S35">
            <v>26405</v>
          </cell>
        </row>
        <row r="35">
          <cell r="U35">
            <v>-1</v>
          </cell>
          <cell r="V35">
            <v>26405</v>
          </cell>
          <cell r="W35">
            <v>0</v>
          </cell>
          <cell r="X35">
            <v>-1</v>
          </cell>
        </row>
        <row r="35">
          <cell r="AA35" t="e">
            <v>#DIV/0!</v>
          </cell>
          <cell r="AB35">
            <v>26405</v>
          </cell>
          <cell r="AC35">
            <v>0</v>
          </cell>
          <cell r="AD35">
            <v>-1</v>
          </cell>
        </row>
        <row r="35">
          <cell r="AG35" t="e">
            <v>#DIV/0!</v>
          </cell>
          <cell r="AH35">
            <v>26405</v>
          </cell>
          <cell r="AI35">
            <v>0</v>
          </cell>
          <cell r="AJ35">
            <v>-1</v>
          </cell>
        </row>
        <row r="36">
          <cell r="C36" t="str">
            <v>杭州中瑞工程技术有限公司</v>
          </cell>
          <cell r="D36" t="str">
            <v>经销</v>
          </cell>
          <cell r="E36" t="str">
            <v>经销</v>
          </cell>
          <cell r="F36" t="str">
            <v>杭州市区</v>
          </cell>
          <cell r="G36" t="str">
            <v>市区</v>
          </cell>
          <cell r="H36" t="str">
            <v>陈雪君</v>
          </cell>
        </row>
        <row r="36">
          <cell r="J36">
            <v>50000</v>
          </cell>
        </row>
        <row r="36">
          <cell r="L36">
            <v>-1</v>
          </cell>
          <cell r="M36">
            <v>39000</v>
          </cell>
          <cell r="N36">
            <v>20000</v>
          </cell>
          <cell r="O36">
            <v>-0.487179487179487</v>
          </cell>
          <cell r="P36">
            <v>89000</v>
          </cell>
          <cell r="Q36">
            <v>20000</v>
          </cell>
          <cell r="R36">
            <v>-0.775280898876405</v>
          </cell>
          <cell r="S36">
            <v>35000</v>
          </cell>
        </row>
        <row r="36">
          <cell r="U36">
            <v>-1</v>
          </cell>
          <cell r="V36">
            <v>124000</v>
          </cell>
          <cell r="W36">
            <v>20000</v>
          </cell>
          <cell r="X36">
            <v>-0.838709677419355</v>
          </cell>
          <cell r="Y36">
            <v>190000</v>
          </cell>
        </row>
        <row r="36">
          <cell r="AA36">
            <v>-1</v>
          </cell>
          <cell r="AB36">
            <v>314000</v>
          </cell>
          <cell r="AC36">
            <v>20000</v>
          </cell>
          <cell r="AD36">
            <v>-0.936305732484076</v>
          </cell>
          <cell r="AE36">
            <v>50000</v>
          </cell>
        </row>
        <row r="36">
          <cell r="AG36">
            <v>-1</v>
          </cell>
          <cell r="AH36">
            <v>364000</v>
          </cell>
          <cell r="AI36">
            <v>20000</v>
          </cell>
          <cell r="AJ36">
            <v>-0.945054945054945</v>
          </cell>
          <cell r="AK36">
            <v>139500</v>
          </cell>
          <cell r="AL36">
            <v>10000</v>
          </cell>
        </row>
        <row r="37">
          <cell r="C37" t="str">
            <v>苏宁易购集团股份有限公司苏宁采购中心</v>
          </cell>
          <cell r="D37" t="str">
            <v>经销</v>
          </cell>
          <cell r="E37" t="str">
            <v>经销</v>
          </cell>
          <cell r="F37" t="str">
            <v>杭州市区</v>
          </cell>
          <cell r="G37" t="str">
            <v>市区</v>
          </cell>
          <cell r="H37" t="str">
            <v>陈雪君</v>
          </cell>
        </row>
        <row r="37">
          <cell r="K37">
            <v>5208.12</v>
          </cell>
          <cell r="L37" t="e">
            <v>#DIV/0!</v>
          </cell>
        </row>
        <row r="37">
          <cell r="N37">
            <v>713</v>
          </cell>
          <cell r="O37" t="e">
            <v>#DIV/0!</v>
          </cell>
          <cell r="P37">
            <v>0</v>
          </cell>
          <cell r="Q37">
            <v>5921.12</v>
          </cell>
          <cell r="R37" t="e">
            <v>#DIV/0!</v>
          </cell>
        </row>
        <row r="37">
          <cell r="U37" t="e">
            <v>#DIV/0!</v>
          </cell>
          <cell r="V37">
            <v>0</v>
          </cell>
          <cell r="W37">
            <v>5921.12</v>
          </cell>
          <cell r="X37" t="e">
            <v>#DIV/0!</v>
          </cell>
        </row>
        <row r="37">
          <cell r="AA37" t="e">
            <v>#DIV/0!</v>
          </cell>
          <cell r="AB37">
            <v>0</v>
          </cell>
          <cell r="AC37">
            <v>5921.12</v>
          </cell>
          <cell r="AD37" t="e">
            <v>#DIV/0!</v>
          </cell>
        </row>
        <row r="37">
          <cell r="AG37" t="e">
            <v>#DIV/0!</v>
          </cell>
          <cell r="AH37">
            <v>0</v>
          </cell>
          <cell r="AI37">
            <v>5921.12</v>
          </cell>
          <cell r="AJ37" t="e">
            <v>#DIV/0!</v>
          </cell>
        </row>
        <row r="38">
          <cell r="C38" t="str">
            <v>杭州华东家电市场铁人电器商行</v>
          </cell>
          <cell r="D38" t="str">
            <v>经销</v>
          </cell>
          <cell r="E38" t="str">
            <v>经销</v>
          </cell>
          <cell r="F38" t="str">
            <v>杭州市区</v>
          </cell>
          <cell r="G38" t="str">
            <v>市区</v>
          </cell>
          <cell r="H38" t="str">
            <v>李燕霞</v>
          </cell>
          <cell r="I38">
            <v>20</v>
          </cell>
        </row>
        <row r="38">
          <cell r="L38" t="e">
            <v>#DIV/0!</v>
          </cell>
        </row>
        <row r="38">
          <cell r="O38" t="e">
            <v>#DIV/0!</v>
          </cell>
          <cell r="P38">
            <v>0</v>
          </cell>
          <cell r="Q38">
            <v>0</v>
          </cell>
          <cell r="R38" t="e">
            <v>#DIV/0!</v>
          </cell>
        </row>
        <row r="38">
          <cell r="U38" t="e">
            <v>#DIV/0!</v>
          </cell>
          <cell r="V38">
            <v>0</v>
          </cell>
          <cell r="W38">
            <v>0</v>
          </cell>
          <cell r="X38" t="e">
            <v>#DIV/0!</v>
          </cell>
        </row>
        <row r="38">
          <cell r="AA38" t="e">
            <v>#DIV/0!</v>
          </cell>
          <cell r="AB38">
            <v>0</v>
          </cell>
          <cell r="AC38">
            <v>0</v>
          </cell>
          <cell r="AD38" t="e">
            <v>#DIV/0!</v>
          </cell>
        </row>
        <row r="38">
          <cell r="AG38" t="e">
            <v>#DIV/0!</v>
          </cell>
          <cell r="AH38">
            <v>0</v>
          </cell>
          <cell r="AI38">
            <v>0</v>
          </cell>
          <cell r="AJ38" t="e">
            <v>#DIV/0!</v>
          </cell>
        </row>
        <row r="39">
          <cell r="C39" t="str">
            <v>杭州殊晟机电设备有限公司</v>
          </cell>
          <cell r="D39" t="str">
            <v>经销</v>
          </cell>
          <cell r="E39" t="str">
            <v>经销</v>
          </cell>
          <cell r="F39" t="str">
            <v>杭州市区</v>
          </cell>
          <cell r="G39" t="str">
            <v>市区</v>
          </cell>
          <cell r="H39" t="str">
            <v>李燕霞</v>
          </cell>
        </row>
        <row r="39">
          <cell r="L39" t="e">
            <v>#DIV/0!</v>
          </cell>
        </row>
        <row r="39">
          <cell r="O39" t="e">
            <v>#DIV/0!</v>
          </cell>
          <cell r="P39">
            <v>0</v>
          </cell>
          <cell r="Q39">
            <v>0</v>
          </cell>
          <cell r="R39" t="e">
            <v>#DIV/0!</v>
          </cell>
        </row>
        <row r="39">
          <cell r="U39" t="e">
            <v>#DIV/0!</v>
          </cell>
          <cell r="V39">
            <v>0</v>
          </cell>
          <cell r="W39">
            <v>0</v>
          </cell>
          <cell r="X39" t="e">
            <v>#DIV/0!</v>
          </cell>
        </row>
        <row r="39">
          <cell r="AA39" t="e">
            <v>#DIV/0!</v>
          </cell>
          <cell r="AB39">
            <v>0</v>
          </cell>
          <cell r="AC39">
            <v>0</v>
          </cell>
          <cell r="AD39" t="e">
            <v>#DIV/0!</v>
          </cell>
        </row>
        <row r="39">
          <cell r="AG39" t="e">
            <v>#DIV/0!</v>
          </cell>
          <cell r="AH39">
            <v>0</v>
          </cell>
          <cell r="AI39">
            <v>0</v>
          </cell>
          <cell r="AJ39" t="e">
            <v>#DIV/0!</v>
          </cell>
        </row>
        <row r="40">
          <cell r="C40" t="str">
            <v>滨江六空8090店</v>
          </cell>
          <cell r="D40" t="str">
            <v>直营</v>
          </cell>
          <cell r="E40" t="str">
            <v>直营</v>
          </cell>
          <cell r="F40" t="str">
            <v>杭州市区</v>
          </cell>
          <cell r="G40" t="str">
            <v>滨江区</v>
          </cell>
          <cell r="H40" t="str">
            <v>专卖店</v>
          </cell>
          <cell r="I40">
            <v>370</v>
          </cell>
        </row>
        <row r="40">
          <cell r="K40">
            <v>128272</v>
          </cell>
          <cell r="L40" t="e">
            <v>#DIV/0!</v>
          </cell>
        </row>
        <row r="40">
          <cell r="N40">
            <v>300432</v>
          </cell>
          <cell r="O40" t="e">
            <v>#DIV/0!</v>
          </cell>
          <cell r="P40">
            <v>0</v>
          </cell>
          <cell r="Q40">
            <v>428704</v>
          </cell>
          <cell r="R40" t="e">
            <v>#DIV/0!</v>
          </cell>
        </row>
        <row r="40">
          <cell r="T40">
            <v>378127</v>
          </cell>
          <cell r="U40" t="e">
            <v>#DIV/0!</v>
          </cell>
          <cell r="V40">
            <v>0</v>
          </cell>
          <cell r="W40">
            <v>806831</v>
          </cell>
          <cell r="X40" t="e">
            <v>#DIV/0!</v>
          </cell>
        </row>
        <row r="40">
          <cell r="Z40">
            <v>418240</v>
          </cell>
          <cell r="AA40" t="e">
            <v>#DIV/0!</v>
          </cell>
          <cell r="AB40">
            <v>0</v>
          </cell>
          <cell r="AC40">
            <v>1225071</v>
          </cell>
          <cell r="AD40" t="e">
            <v>#DIV/0!</v>
          </cell>
        </row>
        <row r="40">
          <cell r="AF40">
            <v>306225</v>
          </cell>
          <cell r="AG40" t="e">
            <v>#DIV/0!</v>
          </cell>
          <cell r="AH40">
            <v>0</v>
          </cell>
          <cell r="AI40">
            <v>1531296</v>
          </cell>
          <cell r="AJ40" t="e">
            <v>#DIV/0!</v>
          </cell>
        </row>
        <row r="40">
          <cell r="AL40">
            <v>574778</v>
          </cell>
        </row>
        <row r="41">
          <cell r="C41" t="str">
            <v>萧山第六空间专卖店</v>
          </cell>
          <cell r="D41" t="str">
            <v>直营</v>
          </cell>
          <cell r="E41" t="str">
            <v>直营</v>
          </cell>
          <cell r="F41" t="str">
            <v>萧山区</v>
          </cell>
          <cell r="G41" t="str">
            <v>市区</v>
          </cell>
          <cell r="H41" t="str">
            <v>专卖店</v>
          </cell>
          <cell r="I41">
            <v>170</v>
          </cell>
        </row>
        <row r="41">
          <cell r="K41">
            <v>840</v>
          </cell>
          <cell r="L41" t="e">
            <v>#DIV/0!</v>
          </cell>
        </row>
        <row r="41">
          <cell r="N41">
            <v>30008</v>
          </cell>
          <cell r="O41" t="e">
            <v>#DIV/0!</v>
          </cell>
          <cell r="P41">
            <v>0</v>
          </cell>
          <cell r="Q41">
            <v>30848</v>
          </cell>
          <cell r="R41" t="e">
            <v>#DIV/0!</v>
          </cell>
        </row>
        <row r="41">
          <cell r="T41">
            <v>250109.6</v>
          </cell>
          <cell r="U41" t="e">
            <v>#DIV/0!</v>
          </cell>
          <cell r="V41">
            <v>0</v>
          </cell>
          <cell r="W41">
            <v>280957.6</v>
          </cell>
          <cell r="X41" t="e">
            <v>#DIV/0!</v>
          </cell>
        </row>
        <row r="41">
          <cell r="Z41">
            <v>296574</v>
          </cell>
          <cell r="AA41" t="e">
            <v>#DIV/0!</v>
          </cell>
          <cell r="AB41">
            <v>0</v>
          </cell>
          <cell r="AC41">
            <v>577531.6</v>
          </cell>
          <cell r="AD41" t="e">
            <v>#DIV/0!</v>
          </cell>
        </row>
        <row r="41">
          <cell r="AF41">
            <v>255533</v>
          </cell>
          <cell r="AG41" t="e">
            <v>#DIV/0!</v>
          </cell>
          <cell r="AH41">
            <v>0</v>
          </cell>
          <cell r="AI41">
            <v>833064.6</v>
          </cell>
          <cell r="AJ41" t="e">
            <v>#DIV/0!</v>
          </cell>
        </row>
        <row r="41">
          <cell r="AL41">
            <v>386476</v>
          </cell>
        </row>
        <row r="42">
          <cell r="C42" t="str">
            <v>政采云</v>
          </cell>
          <cell r="D42" t="str">
            <v>经销</v>
          </cell>
          <cell r="E42" t="str">
            <v>经销</v>
          </cell>
          <cell r="F42" t="str">
            <v>杭州市区</v>
          </cell>
        </row>
        <row r="42">
          <cell r="H42" t="str">
            <v>陈雪君</v>
          </cell>
        </row>
        <row r="42">
          <cell r="L42" t="e">
            <v>#DIV/0!</v>
          </cell>
        </row>
        <row r="42">
          <cell r="O42" t="e">
            <v>#DIV/0!</v>
          </cell>
          <cell r="P42">
            <v>0</v>
          </cell>
          <cell r="Q42">
            <v>0</v>
          </cell>
          <cell r="R42" t="e">
            <v>#DIV/0!</v>
          </cell>
        </row>
        <row r="42">
          <cell r="U42" t="e">
            <v>#DIV/0!</v>
          </cell>
          <cell r="V42">
            <v>0</v>
          </cell>
          <cell r="W42">
            <v>0</v>
          </cell>
          <cell r="X42" t="e">
            <v>#DIV/0!</v>
          </cell>
        </row>
        <row r="42">
          <cell r="AA42" t="e">
            <v>#DIV/0!</v>
          </cell>
          <cell r="AB42">
            <v>0</v>
          </cell>
          <cell r="AC42">
            <v>0</v>
          </cell>
          <cell r="AD42" t="e">
            <v>#DIV/0!</v>
          </cell>
        </row>
        <row r="42">
          <cell r="AG42" t="e">
            <v>#DIV/0!</v>
          </cell>
          <cell r="AH42">
            <v>0</v>
          </cell>
          <cell r="AI42">
            <v>0</v>
          </cell>
          <cell r="AJ42" t="e">
            <v>#DIV/0!</v>
          </cell>
        </row>
        <row r="43">
          <cell r="C43" t="str">
            <v>杭州装家百科电器有限公司</v>
          </cell>
          <cell r="D43" t="str">
            <v>家装</v>
          </cell>
          <cell r="E43" t="str">
            <v>家装</v>
          </cell>
          <cell r="F43" t="str">
            <v>杭州市区</v>
          </cell>
          <cell r="G43" t="str">
            <v>西湖区</v>
          </cell>
          <cell r="H43" t="str">
            <v>黄颖</v>
          </cell>
          <cell r="I43">
            <v>80</v>
          </cell>
        </row>
        <row r="43">
          <cell r="T43">
            <v>10661</v>
          </cell>
          <cell r="U43" t="e">
            <v>#DIV/0!</v>
          </cell>
          <cell r="V43">
            <v>0</v>
          </cell>
          <cell r="W43">
            <v>10661</v>
          </cell>
          <cell r="X43" t="e">
            <v>#DIV/0!</v>
          </cell>
        </row>
        <row r="43">
          <cell r="Z43">
            <v>15411</v>
          </cell>
          <cell r="AA43" t="e">
            <v>#DIV/0!</v>
          </cell>
          <cell r="AB43">
            <v>0</v>
          </cell>
          <cell r="AC43">
            <v>26072</v>
          </cell>
          <cell r="AD43" t="e">
            <v>#DIV/0!</v>
          </cell>
        </row>
        <row r="43">
          <cell r="AF43">
            <v>3348</v>
          </cell>
          <cell r="AG43" t="e">
            <v>#DIV/0!</v>
          </cell>
          <cell r="AH43">
            <v>0</v>
          </cell>
          <cell r="AI43">
            <v>29420</v>
          </cell>
          <cell r="AJ43" t="e">
            <v>#DIV/0!</v>
          </cell>
        </row>
        <row r="44">
          <cell r="C44" t="str">
            <v>贝壳美家供应链管理（浙江）有限责任公司</v>
          </cell>
          <cell r="D44" t="str">
            <v>家装</v>
          </cell>
          <cell r="E44" t="str">
            <v>家装</v>
          </cell>
          <cell r="F44" t="str">
            <v>杭州市区</v>
          </cell>
          <cell r="G44" t="str">
            <v>拱墅区</v>
          </cell>
          <cell r="H44" t="str">
            <v>黄颖</v>
          </cell>
        </row>
        <row r="44">
          <cell r="T44">
            <v>7250</v>
          </cell>
          <cell r="U44" t="e">
            <v>#DIV/0!</v>
          </cell>
          <cell r="V44">
            <v>0</v>
          </cell>
          <cell r="W44">
            <v>7250</v>
          </cell>
          <cell r="X44" t="e">
            <v>#DIV/0!</v>
          </cell>
        </row>
        <row r="44">
          <cell r="AA44" t="e">
            <v>#DIV/0!</v>
          </cell>
          <cell r="AB44">
            <v>0</v>
          </cell>
          <cell r="AC44">
            <v>7250</v>
          </cell>
          <cell r="AD44" t="e">
            <v>#DIV/0!</v>
          </cell>
        </row>
        <row r="44">
          <cell r="AG44" t="e">
            <v>#DIV/0!</v>
          </cell>
          <cell r="AH44">
            <v>0</v>
          </cell>
          <cell r="AI44">
            <v>7250</v>
          </cell>
          <cell r="AJ44" t="e">
            <v>#DIV/0!</v>
          </cell>
        </row>
        <row r="45">
          <cell r="C45" t="str">
            <v>杭州平野实业有限公司</v>
          </cell>
          <cell r="D45" t="str">
            <v>家装</v>
          </cell>
          <cell r="E45" t="str">
            <v>家装</v>
          </cell>
          <cell r="F45" t="str">
            <v>杭州市区</v>
          </cell>
          <cell r="G45" t="str">
            <v>拱墅区</v>
          </cell>
          <cell r="H45" t="str">
            <v>黄颖</v>
          </cell>
          <cell r="I45">
            <v>20</v>
          </cell>
        </row>
        <row r="45">
          <cell r="AB45">
            <v>0</v>
          </cell>
        </row>
        <row r="45">
          <cell r="AG45" t="e">
            <v>#DIV/0!</v>
          </cell>
          <cell r="AH45">
            <v>0</v>
          </cell>
          <cell r="AI45">
            <v>0</v>
          </cell>
          <cell r="AJ45" t="e">
            <v>#DIV/0!</v>
          </cell>
        </row>
        <row r="46">
          <cell r="C46" t="str">
            <v>杭州速简优装饰工程有限公司</v>
          </cell>
          <cell r="D46" t="str">
            <v>家装</v>
          </cell>
          <cell r="E46" t="str">
            <v>家装</v>
          </cell>
          <cell r="F46" t="str">
            <v>杭州市区</v>
          </cell>
          <cell r="G46" t="str">
            <v>拱墅区</v>
          </cell>
          <cell r="H46" t="str">
            <v>黄颖</v>
          </cell>
          <cell r="I46">
            <v>20</v>
          </cell>
        </row>
        <row r="46">
          <cell r="AG46" t="e">
            <v>#DIV/0!</v>
          </cell>
          <cell r="AH46">
            <v>0</v>
          </cell>
          <cell r="AI46">
            <v>0</v>
          </cell>
          <cell r="AJ46" t="e">
            <v>#DIV/0!</v>
          </cell>
        </row>
        <row r="47">
          <cell r="C47" t="str">
            <v>杭州恒大建材超级旗舰店（浙江云顶贸易有限公司）</v>
          </cell>
          <cell r="D47" t="str">
            <v>家装</v>
          </cell>
          <cell r="E47" t="str">
            <v>家装</v>
          </cell>
          <cell r="F47" t="str">
            <v>杭州市区</v>
          </cell>
          <cell r="G47" t="str">
            <v>拱墅区</v>
          </cell>
          <cell r="H47" t="str">
            <v>黄颖</v>
          </cell>
        </row>
        <row r="47">
          <cell r="AF47">
            <v>13000</v>
          </cell>
          <cell r="AG47" t="e">
            <v>#DIV/0!</v>
          </cell>
          <cell r="AH47">
            <v>0</v>
          </cell>
          <cell r="AI47">
            <v>13000</v>
          </cell>
          <cell r="AJ47" t="e">
            <v>#DIV/0!</v>
          </cell>
        </row>
        <row r="48">
          <cell r="C48" t="str">
            <v>杭州允选科技有限公司</v>
          </cell>
          <cell r="D48" t="str">
            <v>经销</v>
          </cell>
          <cell r="E48" t="str">
            <v>经销</v>
          </cell>
          <cell r="F48" t="str">
            <v>杭州市区</v>
          </cell>
        </row>
        <row r="48">
          <cell r="H48" t="str">
            <v>陈雪君</v>
          </cell>
        </row>
        <row r="48">
          <cell r="AF48">
            <v>66234</v>
          </cell>
          <cell r="AG48" t="e">
            <v>#DIV/0!</v>
          </cell>
          <cell r="AH48">
            <v>0</v>
          </cell>
          <cell r="AI48">
            <v>66234</v>
          </cell>
          <cell r="AJ48" t="e">
            <v>#DIV/0!</v>
          </cell>
        </row>
        <row r="48">
          <cell r="AL48">
            <v>10341.7</v>
          </cell>
        </row>
        <row r="49">
          <cell r="C49" t="str">
            <v>北京天坛装饰工程有限责任公司杭州分公司</v>
          </cell>
          <cell r="D49" t="str">
            <v>家装</v>
          </cell>
          <cell r="E49" t="str">
            <v>家装</v>
          </cell>
          <cell r="F49" t="str">
            <v>杭州市区</v>
          </cell>
          <cell r="G49" t="str">
            <v>拱墅区</v>
          </cell>
          <cell r="H49" t="str">
            <v>黄颖</v>
          </cell>
          <cell r="I49">
            <v>60</v>
          </cell>
        </row>
        <row r="49">
          <cell r="T49">
            <v>35400</v>
          </cell>
          <cell r="U49" t="e">
            <v>#DIV/0!</v>
          </cell>
          <cell r="V49">
            <v>0</v>
          </cell>
          <cell r="W49">
            <v>35400</v>
          </cell>
          <cell r="X49" t="e">
            <v>#DIV/0!</v>
          </cell>
        </row>
        <row r="49">
          <cell r="AA49" t="e">
            <v>#DIV/0!</v>
          </cell>
          <cell r="AB49">
            <v>0</v>
          </cell>
          <cell r="AC49">
            <v>35400</v>
          </cell>
          <cell r="AD49" t="e">
            <v>#DIV/0!</v>
          </cell>
        </row>
        <row r="49">
          <cell r="AF49">
            <v>27200</v>
          </cell>
          <cell r="AG49" t="e">
            <v>#DIV/0!</v>
          </cell>
          <cell r="AH49">
            <v>0</v>
          </cell>
          <cell r="AI49">
            <v>62600</v>
          </cell>
          <cell r="AJ49" t="e">
            <v>#DIV/0!</v>
          </cell>
        </row>
      </sheetData>
      <sheetData sheetId="3">
        <row r="1">
          <cell r="C1" t="str">
            <v>系统门店</v>
          </cell>
          <cell r="D1" t="str">
            <v>渠道</v>
          </cell>
          <cell r="E1" t="str">
            <v>渠道细分</v>
          </cell>
          <cell r="F1" t="str">
            <v>大区</v>
          </cell>
          <cell r="G1" t="str">
            <v>市/区/县</v>
          </cell>
          <cell r="H1" t="str">
            <v>业务员</v>
          </cell>
          <cell r="I1" t="str">
            <v>合同任务</v>
          </cell>
          <cell r="J1" t="str">
            <v>1月</v>
          </cell>
        </row>
        <row r="1">
          <cell r="L1" t="str">
            <v>同比</v>
          </cell>
          <cell r="M1" t="str">
            <v>2月</v>
          </cell>
        </row>
        <row r="1">
          <cell r="O1" t="str">
            <v>同比</v>
          </cell>
          <cell r="P1" t="str">
            <v>1-2月</v>
          </cell>
        </row>
        <row r="1">
          <cell r="R1" t="str">
            <v>同比</v>
          </cell>
          <cell r="S1" t="str">
            <v>3月</v>
          </cell>
        </row>
        <row r="1">
          <cell r="U1" t="str">
            <v>同比</v>
          </cell>
          <cell r="V1" t="str">
            <v>1-3月</v>
          </cell>
        </row>
        <row r="1">
          <cell r="X1" t="str">
            <v>同比</v>
          </cell>
          <cell r="Y1" t="str">
            <v>4月</v>
          </cell>
        </row>
        <row r="1">
          <cell r="AA1" t="str">
            <v>同比</v>
          </cell>
          <cell r="AB1" t="str">
            <v>1-4月</v>
          </cell>
        </row>
        <row r="1">
          <cell r="AD1" t="str">
            <v>同比</v>
          </cell>
          <cell r="AE1" t="str">
            <v>5月</v>
          </cell>
        </row>
        <row r="1">
          <cell r="AG1" t="str">
            <v>同比</v>
          </cell>
          <cell r="AH1" t="str">
            <v>1-5月</v>
          </cell>
        </row>
        <row r="1">
          <cell r="AJ1" t="str">
            <v>同比</v>
          </cell>
          <cell r="AK1" t="str">
            <v>6月</v>
          </cell>
        </row>
        <row r="2">
          <cell r="J2" t="str">
            <v>2024年</v>
          </cell>
          <cell r="K2" t="str">
            <v>2025年</v>
          </cell>
        </row>
        <row r="2">
          <cell r="M2" t="str">
            <v>2024年</v>
          </cell>
          <cell r="N2" t="str">
            <v>2025年</v>
          </cell>
        </row>
        <row r="2">
          <cell r="P2" t="str">
            <v>2024年</v>
          </cell>
          <cell r="Q2" t="str">
            <v>2025年</v>
          </cell>
        </row>
        <row r="2">
          <cell r="S2" t="str">
            <v>2024年</v>
          </cell>
          <cell r="T2" t="str">
            <v>2025年</v>
          </cell>
        </row>
        <row r="2">
          <cell r="V2" t="str">
            <v>2024年</v>
          </cell>
          <cell r="W2" t="str">
            <v>2025年</v>
          </cell>
        </row>
        <row r="2">
          <cell r="Y2" t="str">
            <v>2024年</v>
          </cell>
          <cell r="Z2" t="str">
            <v>2025年</v>
          </cell>
        </row>
        <row r="2">
          <cell r="AB2" t="str">
            <v>2024年</v>
          </cell>
          <cell r="AC2" t="str">
            <v>2025年</v>
          </cell>
        </row>
        <row r="2">
          <cell r="AE2" t="str">
            <v>2024年</v>
          </cell>
          <cell r="AF2" t="str">
            <v>2025年</v>
          </cell>
        </row>
        <row r="2">
          <cell r="AH2" t="str">
            <v>2024年</v>
          </cell>
          <cell r="AI2" t="str">
            <v>2025年</v>
          </cell>
        </row>
        <row r="2">
          <cell r="AK2" t="str">
            <v>2024年</v>
          </cell>
          <cell r="AL2" t="str">
            <v>2025年</v>
          </cell>
        </row>
        <row r="3">
          <cell r="C3" t="str">
            <v>长兴百诚天龙电器有限公司</v>
          </cell>
          <cell r="D3" t="str">
            <v>经销</v>
          </cell>
          <cell r="E3" t="str">
            <v>经销</v>
          </cell>
          <cell r="F3" t="str">
            <v>长兴县</v>
          </cell>
          <cell r="G3" t="str">
            <v>长兴县</v>
          </cell>
          <cell r="H3" t="str">
            <v>张正芳</v>
          </cell>
          <cell r="I3">
            <v>15</v>
          </cell>
        </row>
        <row r="3">
          <cell r="L3" t="e">
            <v>#DIV/0!</v>
          </cell>
        </row>
        <row r="3">
          <cell r="N3">
            <v>4405</v>
          </cell>
          <cell r="O3" t="e">
            <v>#DIV/0!</v>
          </cell>
          <cell r="P3">
            <v>0</v>
          </cell>
          <cell r="Q3">
            <v>4405</v>
          </cell>
          <cell r="R3" t="e">
            <v>#DIV/0!</v>
          </cell>
          <cell r="S3">
            <v>10579</v>
          </cell>
          <cell r="T3">
            <v>30000</v>
          </cell>
          <cell r="U3">
            <v>1.83580678703091</v>
          </cell>
          <cell r="V3">
            <v>10579</v>
          </cell>
          <cell r="W3">
            <v>34405</v>
          </cell>
          <cell r="X3">
            <v>2.25219775025995</v>
          </cell>
        </row>
        <row r="3">
          <cell r="AA3" t="e">
            <v>#DIV/0!</v>
          </cell>
          <cell r="AB3">
            <v>10579</v>
          </cell>
          <cell r="AC3">
            <v>34405</v>
          </cell>
          <cell r="AD3">
            <v>2.25219775025995</v>
          </cell>
        </row>
        <row r="3">
          <cell r="AG3" t="e">
            <v>#DIV/0!</v>
          </cell>
          <cell r="AH3">
            <v>10579</v>
          </cell>
          <cell r="AI3">
            <v>34405</v>
          </cell>
          <cell r="AJ3">
            <v>2.25219775025995</v>
          </cell>
          <cell r="AK3">
            <v>6097</v>
          </cell>
        </row>
        <row r="4">
          <cell r="C4" t="str">
            <v>南浔力恒电器商行</v>
          </cell>
          <cell r="D4" t="str">
            <v>加盟</v>
          </cell>
          <cell r="E4" t="str">
            <v>加盟</v>
          </cell>
          <cell r="F4" t="str">
            <v>南浔区</v>
          </cell>
          <cell r="G4" t="str">
            <v>南浔区</v>
          </cell>
          <cell r="H4" t="str">
            <v>陈中元</v>
          </cell>
        </row>
        <row r="4">
          <cell r="J4">
            <v>2000</v>
          </cell>
          <cell r="K4">
            <v>3500</v>
          </cell>
          <cell r="L4">
            <v>0.75</v>
          </cell>
        </row>
        <row r="4">
          <cell r="N4">
            <v>10000</v>
          </cell>
          <cell r="O4" t="e">
            <v>#DIV/0!</v>
          </cell>
          <cell r="P4">
            <v>2000</v>
          </cell>
          <cell r="Q4">
            <v>13500</v>
          </cell>
          <cell r="R4">
            <v>5.75</v>
          </cell>
        </row>
        <row r="4">
          <cell r="T4">
            <v>13017.06</v>
          </cell>
          <cell r="U4" t="e">
            <v>#DIV/0!</v>
          </cell>
          <cell r="V4">
            <v>2000</v>
          </cell>
          <cell r="W4">
            <v>26517.06</v>
          </cell>
          <cell r="X4">
            <v>12.25853</v>
          </cell>
          <cell r="Y4">
            <v>58500</v>
          </cell>
        </row>
        <row r="4">
          <cell r="AA4">
            <v>-1</v>
          </cell>
          <cell r="AB4">
            <v>60500</v>
          </cell>
          <cell r="AC4">
            <v>26517.06</v>
          </cell>
          <cell r="AD4">
            <v>-0.561701487603306</v>
          </cell>
          <cell r="AE4">
            <v>47100</v>
          </cell>
        </row>
        <row r="4">
          <cell r="AG4">
            <v>-1</v>
          </cell>
          <cell r="AH4">
            <v>107600</v>
          </cell>
          <cell r="AI4">
            <v>26517.06</v>
          </cell>
          <cell r="AJ4">
            <v>-0.753558921933085</v>
          </cell>
          <cell r="AK4">
            <v>104700</v>
          </cell>
        </row>
        <row r="5">
          <cell r="C5" t="str">
            <v>湖州浙北大厦家电有限公司</v>
          </cell>
          <cell r="D5" t="str">
            <v>TOP渠道</v>
          </cell>
          <cell r="E5" t="str">
            <v>TOP渠道</v>
          </cell>
          <cell r="F5" t="str">
            <v>湖州市区</v>
          </cell>
          <cell r="G5" t="str">
            <v>市区</v>
          </cell>
          <cell r="H5" t="str">
            <v>翁昕</v>
          </cell>
          <cell r="I5">
            <v>600</v>
          </cell>
          <cell r="J5">
            <v>200000</v>
          </cell>
          <cell r="K5">
            <v>400000</v>
          </cell>
          <cell r="L5">
            <v>1</v>
          </cell>
          <cell r="M5">
            <v>300000</v>
          </cell>
          <cell r="N5">
            <v>300000</v>
          </cell>
          <cell r="O5">
            <v>0</v>
          </cell>
          <cell r="P5">
            <v>500000</v>
          </cell>
          <cell r="Q5">
            <v>700000</v>
          </cell>
          <cell r="R5">
            <v>0.4</v>
          </cell>
        </row>
        <row r="5">
          <cell r="T5">
            <v>210000</v>
          </cell>
          <cell r="U5" t="e">
            <v>#DIV/0!</v>
          </cell>
          <cell r="V5">
            <v>500000</v>
          </cell>
          <cell r="W5">
            <v>910000</v>
          </cell>
          <cell r="X5">
            <v>0.82</v>
          </cell>
          <cell r="Y5">
            <v>250000</v>
          </cell>
          <cell r="Z5">
            <v>400000</v>
          </cell>
          <cell r="AA5">
            <v>0.6</v>
          </cell>
          <cell r="AB5">
            <v>750000</v>
          </cell>
          <cell r="AC5">
            <v>1310000</v>
          </cell>
          <cell r="AD5">
            <v>0.746666666666667</v>
          </cell>
          <cell r="AE5">
            <v>420000</v>
          </cell>
          <cell r="AF5">
            <v>180000</v>
          </cell>
          <cell r="AG5">
            <v>-0.571428571428571</v>
          </cell>
          <cell r="AH5">
            <v>1170000</v>
          </cell>
          <cell r="AI5">
            <v>1490000</v>
          </cell>
          <cell r="AJ5">
            <v>0.273504273504273</v>
          </cell>
          <cell r="AK5">
            <v>150000</v>
          </cell>
          <cell r="AL5">
            <v>200000</v>
          </cell>
        </row>
        <row r="6">
          <cell r="C6" t="str">
            <v>德清县武康镇佳通制冷设备商行</v>
          </cell>
          <cell r="D6" t="str">
            <v>经销</v>
          </cell>
          <cell r="E6" t="str">
            <v>经销</v>
          </cell>
          <cell r="F6" t="str">
            <v>德清县</v>
          </cell>
          <cell r="G6" t="str">
            <v>德清县</v>
          </cell>
          <cell r="H6" t="str">
            <v>陈中元</v>
          </cell>
        </row>
        <row r="6">
          <cell r="K6">
            <v>23268</v>
          </cell>
          <cell r="L6" t="e">
            <v>#DIV/0!</v>
          </cell>
        </row>
        <row r="6">
          <cell r="N6">
            <v>20000</v>
          </cell>
          <cell r="O6" t="e">
            <v>#DIV/0!</v>
          </cell>
          <cell r="P6">
            <v>0</v>
          </cell>
          <cell r="Q6">
            <v>43268</v>
          </cell>
          <cell r="R6" t="e">
            <v>#DIV/0!</v>
          </cell>
          <cell r="S6">
            <v>150040</v>
          </cell>
          <cell r="T6">
            <v>110886</v>
          </cell>
          <cell r="U6">
            <v>-0.260957078112503</v>
          </cell>
          <cell r="V6">
            <v>150040</v>
          </cell>
          <cell r="W6">
            <v>154154</v>
          </cell>
          <cell r="X6">
            <v>0.0274193548387096</v>
          </cell>
        </row>
        <row r="6">
          <cell r="AA6" t="e">
            <v>#DIV/0!</v>
          </cell>
          <cell r="AB6">
            <v>150040</v>
          </cell>
          <cell r="AC6">
            <v>154154</v>
          </cell>
          <cell r="AD6">
            <v>0.0274193548387096</v>
          </cell>
          <cell r="AE6">
            <v>39000</v>
          </cell>
          <cell r="AF6">
            <v>31123</v>
          </cell>
          <cell r="AG6">
            <v>-0.201974358974359</v>
          </cell>
          <cell r="AH6">
            <v>189040</v>
          </cell>
          <cell r="AI6">
            <v>185277</v>
          </cell>
          <cell r="AJ6">
            <v>-0.0199058400338553</v>
          </cell>
          <cell r="AK6">
            <v>141000</v>
          </cell>
          <cell r="AL6">
            <v>25000</v>
          </cell>
        </row>
        <row r="7">
          <cell r="C7" t="str">
            <v>湖州长兴之窗专卖店</v>
          </cell>
          <cell r="D7" t="str">
            <v>直营</v>
          </cell>
          <cell r="E7" t="str">
            <v>直营</v>
          </cell>
          <cell r="F7" t="str">
            <v>长兴县</v>
          </cell>
          <cell r="G7" t="str">
            <v>长兴县</v>
          </cell>
          <cell r="H7" t="str">
            <v>张正芳</v>
          </cell>
          <cell r="I7">
            <v>75</v>
          </cell>
          <cell r="J7">
            <v>68740</v>
          </cell>
          <cell r="K7">
            <v>41556</v>
          </cell>
          <cell r="L7">
            <v>-0.395461157986616</v>
          </cell>
          <cell r="M7">
            <v>17488</v>
          </cell>
          <cell r="N7">
            <v>23930</v>
          </cell>
          <cell r="O7">
            <v>0.368366880146386</v>
          </cell>
          <cell r="P7">
            <v>86228</v>
          </cell>
          <cell r="Q7">
            <v>65486</v>
          </cell>
          <cell r="R7">
            <v>-0.240548313772788</v>
          </cell>
          <cell r="S7">
            <v>42550</v>
          </cell>
          <cell r="T7">
            <v>28616</v>
          </cell>
          <cell r="U7">
            <v>-0.327473560517039</v>
          </cell>
          <cell r="V7">
            <v>128778</v>
          </cell>
          <cell r="W7">
            <v>94102</v>
          </cell>
          <cell r="X7">
            <v>-0.269269595738402</v>
          </cell>
          <cell r="Y7">
            <v>48590</v>
          </cell>
          <cell r="Z7">
            <v>5936</v>
          </cell>
          <cell r="AA7">
            <v>-0.877834945462029</v>
          </cell>
          <cell r="AB7">
            <v>177368</v>
          </cell>
          <cell r="AC7">
            <v>100038</v>
          </cell>
          <cell r="AD7">
            <v>-0.435986198186821</v>
          </cell>
          <cell r="AE7">
            <v>76270</v>
          </cell>
          <cell r="AF7">
            <v>33015</v>
          </cell>
          <cell r="AG7">
            <v>-0.567129933132293</v>
          </cell>
          <cell r="AH7">
            <v>253638</v>
          </cell>
          <cell r="AI7">
            <v>133053</v>
          </cell>
          <cell r="AJ7">
            <v>-0.475421663946254</v>
          </cell>
          <cell r="AK7">
            <v>39070</v>
          </cell>
          <cell r="AL7">
            <v>4599</v>
          </cell>
        </row>
        <row r="8">
          <cell r="C8" t="str">
            <v>湖州金蝶零售</v>
          </cell>
          <cell r="D8" t="str">
            <v>零售</v>
          </cell>
          <cell r="E8" t="str">
            <v>零售</v>
          </cell>
          <cell r="F8" t="str">
            <v>湖州市区</v>
          </cell>
          <cell r="G8" t="str">
            <v>市区</v>
          </cell>
          <cell r="H8" t="str">
            <v>陈中元</v>
          </cell>
        </row>
        <row r="8">
          <cell r="J8">
            <v>216965.28</v>
          </cell>
          <cell r="K8">
            <v>4938</v>
          </cell>
          <cell r="L8">
            <v>-0.977240598127037</v>
          </cell>
          <cell r="M8">
            <v>59548</v>
          </cell>
        </row>
        <row r="8">
          <cell r="O8">
            <v>-1</v>
          </cell>
          <cell r="P8">
            <v>276513.28</v>
          </cell>
          <cell r="Q8">
            <v>4938</v>
          </cell>
          <cell r="R8">
            <v>-0.98214190652977</v>
          </cell>
          <cell r="S8">
            <v>97829.46</v>
          </cell>
          <cell r="T8">
            <v>2998</v>
          </cell>
          <cell r="U8">
            <v>-0.969354834423087</v>
          </cell>
          <cell r="V8">
            <v>374342.74</v>
          </cell>
          <cell r="W8">
            <v>7936</v>
          </cell>
          <cell r="X8">
            <v>-0.978800176544094</v>
          </cell>
          <cell r="Y8">
            <v>14652</v>
          </cell>
          <cell r="Z8">
            <v>2400</v>
          </cell>
          <cell r="AA8">
            <v>-0.836199836199836</v>
          </cell>
          <cell r="AB8">
            <v>388994.74</v>
          </cell>
          <cell r="AC8">
            <v>10336</v>
          </cell>
          <cell r="AD8">
            <v>-0.973428946622774</v>
          </cell>
          <cell r="AE8">
            <v>2100</v>
          </cell>
          <cell r="AF8">
            <v>11730</v>
          </cell>
          <cell r="AG8">
            <v>4.58571428571429</v>
          </cell>
          <cell r="AH8">
            <v>391094.74</v>
          </cell>
          <cell r="AI8">
            <v>22066</v>
          </cell>
          <cell r="AJ8">
            <v>-0.943578888327672</v>
          </cell>
        </row>
        <row r="8">
          <cell r="AL8">
            <v>10598</v>
          </cell>
        </row>
        <row r="9">
          <cell r="C9" t="str">
            <v>吴兴新丰豪厨卫热水器商店</v>
          </cell>
          <cell r="D9" t="str">
            <v>经销</v>
          </cell>
          <cell r="E9" t="str">
            <v>经销</v>
          </cell>
          <cell r="F9" t="str">
            <v>湖州市区</v>
          </cell>
          <cell r="G9" t="str">
            <v>吴兴区</v>
          </cell>
          <cell r="H9" t="str">
            <v>陈中元</v>
          </cell>
        </row>
        <row r="9">
          <cell r="J9">
            <v>4521</v>
          </cell>
        </row>
        <row r="9">
          <cell r="L9">
            <v>-1</v>
          </cell>
        </row>
        <row r="9">
          <cell r="O9" t="e">
            <v>#DIV/0!</v>
          </cell>
          <cell r="P9">
            <v>4521</v>
          </cell>
          <cell r="Q9">
            <v>0</v>
          </cell>
          <cell r="R9">
            <v>-1</v>
          </cell>
        </row>
        <row r="9">
          <cell r="U9" t="e">
            <v>#DIV/0!</v>
          </cell>
          <cell r="V9">
            <v>4521</v>
          </cell>
          <cell r="W9">
            <v>0</v>
          </cell>
          <cell r="X9">
            <v>-1</v>
          </cell>
          <cell r="Y9">
            <v>3305</v>
          </cell>
        </row>
        <row r="9">
          <cell r="AA9">
            <v>-1</v>
          </cell>
          <cell r="AB9">
            <v>7826</v>
          </cell>
          <cell r="AC9">
            <v>0</v>
          </cell>
          <cell r="AD9">
            <v>-1</v>
          </cell>
        </row>
        <row r="9">
          <cell r="AG9" t="e">
            <v>#DIV/0!</v>
          </cell>
          <cell r="AH9">
            <v>7826</v>
          </cell>
          <cell r="AI9">
            <v>0</v>
          </cell>
          <cell r="AJ9">
            <v>-1</v>
          </cell>
        </row>
        <row r="10">
          <cell r="C10" t="str">
            <v>湖州晓宇冷暖设备工程有限公司</v>
          </cell>
          <cell r="D10" t="str">
            <v>暖通</v>
          </cell>
          <cell r="E10" t="str">
            <v>暖通</v>
          </cell>
          <cell r="F10" t="str">
            <v>湖州市区</v>
          </cell>
          <cell r="G10" t="str">
            <v>吴兴区</v>
          </cell>
          <cell r="H10" t="str">
            <v>陈中元</v>
          </cell>
        </row>
        <row r="10">
          <cell r="J10">
            <v>18336</v>
          </cell>
          <cell r="K10">
            <v>790</v>
          </cell>
          <cell r="L10">
            <v>-0.956915357766143</v>
          </cell>
          <cell r="M10">
            <v>5885</v>
          </cell>
        </row>
        <row r="10">
          <cell r="O10">
            <v>-1</v>
          </cell>
          <cell r="P10">
            <v>24221</v>
          </cell>
          <cell r="Q10">
            <v>790</v>
          </cell>
          <cell r="R10">
            <v>-0.967383675323067</v>
          </cell>
          <cell r="S10">
            <v>9785</v>
          </cell>
          <cell r="T10">
            <v>9575</v>
          </cell>
          <cell r="U10">
            <v>-0.0214614205416453</v>
          </cell>
          <cell r="V10">
            <v>34006</v>
          </cell>
          <cell r="W10">
            <v>10365</v>
          </cell>
          <cell r="X10">
            <v>-0.695200846909369</v>
          </cell>
          <cell r="Y10">
            <v>20567</v>
          </cell>
        </row>
        <row r="10">
          <cell r="AA10">
            <v>-1</v>
          </cell>
          <cell r="AB10">
            <v>54573</v>
          </cell>
          <cell r="AC10">
            <v>10365</v>
          </cell>
          <cell r="AD10">
            <v>-0.810070914188335</v>
          </cell>
        </row>
        <row r="10">
          <cell r="AG10" t="e">
            <v>#DIV/0!</v>
          </cell>
          <cell r="AH10">
            <v>54573</v>
          </cell>
          <cell r="AI10">
            <v>10365</v>
          </cell>
          <cell r="AJ10">
            <v>-0.810070914188335</v>
          </cell>
          <cell r="AK10">
            <v>1580</v>
          </cell>
        </row>
        <row r="11">
          <cell r="C11" t="str">
            <v>长兴银海电器有限公司</v>
          </cell>
          <cell r="D11" t="str">
            <v>经销</v>
          </cell>
          <cell r="E11" t="str">
            <v>经销</v>
          </cell>
          <cell r="F11" t="str">
            <v>长兴县</v>
          </cell>
          <cell r="G11" t="str">
            <v>长兴县</v>
          </cell>
          <cell r="H11" t="str">
            <v>张正芳</v>
          </cell>
        </row>
        <row r="11">
          <cell r="L11" t="e">
            <v>#DIV/0!</v>
          </cell>
        </row>
        <row r="11">
          <cell r="O11" t="e">
            <v>#DIV/0!</v>
          </cell>
          <cell r="P11">
            <v>0</v>
          </cell>
          <cell r="Q11">
            <v>0</v>
          </cell>
          <cell r="R11" t="e">
            <v>#DIV/0!</v>
          </cell>
          <cell r="S11">
            <v>2896.82</v>
          </cell>
        </row>
        <row r="11">
          <cell r="U11">
            <v>-1</v>
          </cell>
          <cell r="V11">
            <v>2896.82</v>
          </cell>
          <cell r="W11">
            <v>0</v>
          </cell>
          <cell r="X11">
            <v>-1</v>
          </cell>
        </row>
        <row r="11">
          <cell r="AA11" t="e">
            <v>#DIV/0!</v>
          </cell>
          <cell r="AB11">
            <v>2896.82</v>
          </cell>
          <cell r="AC11">
            <v>0</v>
          </cell>
          <cell r="AD11">
            <v>-1</v>
          </cell>
        </row>
        <row r="11">
          <cell r="AG11" t="e">
            <v>#DIV/0!</v>
          </cell>
          <cell r="AH11">
            <v>2896.82</v>
          </cell>
          <cell r="AI11">
            <v>0</v>
          </cell>
          <cell r="AJ11">
            <v>-1</v>
          </cell>
        </row>
        <row r="12">
          <cell r="C12" t="str">
            <v>长兴小浙北家电</v>
          </cell>
          <cell r="D12" t="str">
            <v>经销</v>
          </cell>
          <cell r="E12" t="str">
            <v>经销</v>
          </cell>
          <cell r="F12" t="str">
            <v>长兴县</v>
          </cell>
          <cell r="G12" t="str">
            <v>长兴县</v>
          </cell>
          <cell r="H12" t="str">
            <v>张正芳</v>
          </cell>
          <cell r="I12">
            <v>15</v>
          </cell>
          <cell r="J12">
            <v>20000</v>
          </cell>
        </row>
        <row r="12">
          <cell r="L12">
            <v>-1</v>
          </cell>
        </row>
        <row r="12">
          <cell r="O12" t="e">
            <v>#DIV/0!</v>
          </cell>
          <cell r="P12">
            <v>20000</v>
          </cell>
          <cell r="Q12">
            <v>0</v>
          </cell>
          <cell r="R12">
            <v>-1</v>
          </cell>
          <cell r="S12">
            <v>30000</v>
          </cell>
        </row>
        <row r="12">
          <cell r="U12">
            <v>-1</v>
          </cell>
          <cell r="V12">
            <v>50000</v>
          </cell>
          <cell r="W12">
            <v>0</v>
          </cell>
          <cell r="X12">
            <v>-1</v>
          </cell>
        </row>
        <row r="12">
          <cell r="AA12" t="e">
            <v>#DIV/0!</v>
          </cell>
          <cell r="AB12">
            <v>50000</v>
          </cell>
          <cell r="AC12">
            <v>0</v>
          </cell>
          <cell r="AD12">
            <v>-1</v>
          </cell>
        </row>
        <row r="12">
          <cell r="AG12" t="e">
            <v>#DIV/0!</v>
          </cell>
          <cell r="AH12">
            <v>50000</v>
          </cell>
          <cell r="AI12">
            <v>0</v>
          </cell>
          <cell r="AJ12">
            <v>-1</v>
          </cell>
        </row>
        <row r="13">
          <cell r="C13" t="str">
            <v>湖州东邦商贸有限公司</v>
          </cell>
          <cell r="D13" t="str">
            <v>经销</v>
          </cell>
          <cell r="E13" t="str">
            <v>经销</v>
          </cell>
          <cell r="F13" t="str">
            <v>长兴县</v>
          </cell>
          <cell r="G13" t="str">
            <v>长兴县</v>
          </cell>
          <cell r="H13" t="str">
            <v>张正芳</v>
          </cell>
          <cell r="I13">
            <v>30</v>
          </cell>
          <cell r="J13">
            <v>26400</v>
          </cell>
        </row>
        <row r="13">
          <cell r="L13">
            <v>-1</v>
          </cell>
        </row>
        <row r="13">
          <cell r="O13" t="e">
            <v>#DIV/0!</v>
          </cell>
          <cell r="P13">
            <v>26400</v>
          </cell>
          <cell r="Q13">
            <v>0</v>
          </cell>
          <cell r="R13">
            <v>-1</v>
          </cell>
          <cell r="S13">
            <v>72600</v>
          </cell>
        </row>
        <row r="13">
          <cell r="U13">
            <v>-1</v>
          </cell>
          <cell r="V13">
            <v>99000</v>
          </cell>
          <cell r="W13">
            <v>0</v>
          </cell>
          <cell r="X13">
            <v>-1</v>
          </cell>
        </row>
        <row r="13">
          <cell r="AA13" t="e">
            <v>#DIV/0!</v>
          </cell>
          <cell r="AB13">
            <v>99000</v>
          </cell>
          <cell r="AC13">
            <v>0</v>
          </cell>
          <cell r="AD13">
            <v>-1</v>
          </cell>
        </row>
        <row r="13">
          <cell r="AG13" t="e">
            <v>#DIV/0!</v>
          </cell>
          <cell r="AH13">
            <v>99000</v>
          </cell>
          <cell r="AI13">
            <v>0</v>
          </cell>
          <cell r="AJ13">
            <v>-1</v>
          </cell>
        </row>
        <row r="14">
          <cell r="C14" t="str">
            <v>安吉方润家电有限公司</v>
          </cell>
          <cell r="D14" t="str">
            <v>经销</v>
          </cell>
          <cell r="E14" t="str">
            <v>经销</v>
          </cell>
          <cell r="F14" t="str">
            <v>安吉县</v>
          </cell>
          <cell r="G14" t="str">
            <v>安吉县</v>
          </cell>
          <cell r="H14" t="str">
            <v>陈中元</v>
          </cell>
        </row>
        <row r="14">
          <cell r="J14">
            <v>3600</v>
          </cell>
        </row>
        <row r="14">
          <cell r="L14">
            <v>-1</v>
          </cell>
        </row>
        <row r="14">
          <cell r="O14" t="e">
            <v>#DIV/0!</v>
          </cell>
          <cell r="P14">
            <v>3600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3600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3600</v>
          </cell>
          <cell r="AC14">
            <v>0</v>
          </cell>
          <cell r="AD14">
            <v>-1</v>
          </cell>
          <cell r="AE14">
            <v>13074</v>
          </cell>
        </row>
        <row r="14">
          <cell r="AG14">
            <v>-1</v>
          </cell>
          <cell r="AH14">
            <v>16674</v>
          </cell>
          <cell r="AI14">
            <v>0</v>
          </cell>
          <cell r="AJ14">
            <v>-1</v>
          </cell>
        </row>
        <row r="15">
          <cell r="C15" t="str">
            <v>湖州魁联电器有限公司</v>
          </cell>
          <cell r="D15" t="str">
            <v>经销</v>
          </cell>
          <cell r="E15" t="str">
            <v>经销</v>
          </cell>
          <cell r="F15" t="str">
            <v>长兴县</v>
          </cell>
          <cell r="G15" t="str">
            <v>长兴县</v>
          </cell>
          <cell r="H15" t="str">
            <v>张正芳</v>
          </cell>
        </row>
        <row r="15">
          <cell r="L15" t="e">
            <v>#DIV/0!</v>
          </cell>
        </row>
        <row r="15">
          <cell r="O15" t="e">
            <v>#DIV/0!</v>
          </cell>
          <cell r="P15">
            <v>0</v>
          </cell>
          <cell r="Q15">
            <v>0</v>
          </cell>
          <cell r="R15" t="e">
            <v>#DIV/0!</v>
          </cell>
        </row>
        <row r="15">
          <cell r="U15" t="e">
            <v>#DIV/0!</v>
          </cell>
          <cell r="V15">
            <v>0</v>
          </cell>
          <cell r="W15">
            <v>0</v>
          </cell>
          <cell r="X15" t="e">
            <v>#DIV/0!</v>
          </cell>
        </row>
        <row r="15">
          <cell r="AA15" t="e">
            <v>#DIV/0!</v>
          </cell>
          <cell r="AB15">
            <v>0</v>
          </cell>
          <cell r="AC15">
            <v>0</v>
          </cell>
          <cell r="AD15" t="e">
            <v>#DIV/0!</v>
          </cell>
        </row>
        <row r="15">
          <cell r="AG15" t="e">
            <v>#DIV/0!</v>
          </cell>
          <cell r="AH15">
            <v>0</v>
          </cell>
          <cell r="AI15">
            <v>0</v>
          </cell>
          <cell r="AJ15" t="e">
            <v>#DIV/0!</v>
          </cell>
        </row>
        <row r="16">
          <cell r="C16" t="str">
            <v>湖州菱通冷暖设备有限公司</v>
          </cell>
          <cell r="D16" t="str">
            <v>暖通</v>
          </cell>
          <cell r="E16" t="str">
            <v>暖通</v>
          </cell>
          <cell r="F16" t="str">
            <v>湖州市区</v>
          </cell>
          <cell r="G16" t="str">
            <v>吴兴区</v>
          </cell>
          <cell r="H16" t="str">
            <v>陈中元</v>
          </cell>
        </row>
        <row r="16">
          <cell r="J16">
            <v>3107</v>
          </cell>
        </row>
        <row r="16">
          <cell r="L16">
            <v>-1</v>
          </cell>
        </row>
        <row r="16">
          <cell r="O16" t="e">
            <v>#DIV/0!</v>
          </cell>
          <cell r="P16">
            <v>3107</v>
          </cell>
          <cell r="Q16">
            <v>0</v>
          </cell>
          <cell r="R16">
            <v>-1</v>
          </cell>
        </row>
        <row r="16">
          <cell r="U16" t="e">
            <v>#DIV/0!</v>
          </cell>
          <cell r="V16">
            <v>3107</v>
          </cell>
          <cell r="W16">
            <v>0</v>
          </cell>
          <cell r="X16">
            <v>-1</v>
          </cell>
          <cell r="Y16">
            <v>4335</v>
          </cell>
        </row>
        <row r="16">
          <cell r="AA16">
            <v>-1</v>
          </cell>
          <cell r="AB16">
            <v>7442</v>
          </cell>
          <cell r="AC16">
            <v>0</v>
          </cell>
          <cell r="AD16">
            <v>-1</v>
          </cell>
        </row>
        <row r="16">
          <cell r="AG16" t="e">
            <v>#DIV/0!</v>
          </cell>
          <cell r="AH16">
            <v>7442</v>
          </cell>
          <cell r="AI16">
            <v>0</v>
          </cell>
          <cell r="AJ16">
            <v>-1</v>
          </cell>
        </row>
        <row r="17">
          <cell r="C17" t="str">
            <v>长兴纵跃机电有限公司</v>
          </cell>
          <cell r="D17" t="str">
            <v>经销</v>
          </cell>
          <cell r="E17" t="str">
            <v>经销</v>
          </cell>
          <cell r="F17" t="str">
            <v>长兴县</v>
          </cell>
          <cell r="G17" t="str">
            <v>长兴县</v>
          </cell>
          <cell r="H17" t="str">
            <v>张正芳</v>
          </cell>
        </row>
        <row r="17">
          <cell r="J17">
            <v>4789</v>
          </cell>
        </row>
        <row r="17">
          <cell r="L17">
            <v>-1</v>
          </cell>
        </row>
        <row r="17">
          <cell r="O17" t="e">
            <v>#DIV/0!</v>
          </cell>
          <cell r="P17">
            <v>4789</v>
          </cell>
          <cell r="Q17">
            <v>0</v>
          </cell>
          <cell r="R17">
            <v>-1</v>
          </cell>
          <cell r="S17">
            <v>7800</v>
          </cell>
        </row>
        <row r="17">
          <cell r="U17">
            <v>-1</v>
          </cell>
          <cell r="V17">
            <v>12589</v>
          </cell>
          <cell r="W17">
            <v>0</v>
          </cell>
          <cell r="X17">
            <v>-1</v>
          </cell>
        </row>
        <row r="17">
          <cell r="AA17" t="e">
            <v>#DIV/0!</v>
          </cell>
          <cell r="AB17">
            <v>12589</v>
          </cell>
          <cell r="AC17">
            <v>0</v>
          </cell>
          <cell r="AD17">
            <v>-1</v>
          </cell>
        </row>
        <row r="17">
          <cell r="AG17" t="e">
            <v>#DIV/0!</v>
          </cell>
          <cell r="AH17">
            <v>12589</v>
          </cell>
          <cell r="AI17">
            <v>0</v>
          </cell>
          <cell r="AJ17">
            <v>-1</v>
          </cell>
        </row>
        <row r="18">
          <cell r="C18" t="str">
            <v>湖州浙北网格家电有限公司</v>
          </cell>
          <cell r="D18" t="str">
            <v>经销</v>
          </cell>
          <cell r="E18" t="str">
            <v>经销</v>
          </cell>
          <cell r="F18" t="str">
            <v>湖州市区</v>
          </cell>
          <cell r="G18" t="str">
            <v>市区</v>
          </cell>
          <cell r="H18" t="str">
            <v>翁昕</v>
          </cell>
        </row>
        <row r="18">
          <cell r="J18">
            <v>10000</v>
          </cell>
        </row>
        <row r="18">
          <cell r="L18">
            <v>-1</v>
          </cell>
        </row>
        <row r="18">
          <cell r="N18">
            <v>30820</v>
          </cell>
          <cell r="O18" t="e">
            <v>#DIV/0!</v>
          </cell>
          <cell r="P18">
            <v>10000</v>
          </cell>
          <cell r="Q18">
            <v>30820</v>
          </cell>
          <cell r="R18">
            <v>2.082</v>
          </cell>
        </row>
        <row r="18">
          <cell r="T18">
            <v>9744</v>
          </cell>
          <cell r="U18" t="e">
            <v>#DIV/0!</v>
          </cell>
          <cell r="V18">
            <v>10000</v>
          </cell>
          <cell r="W18">
            <v>40564</v>
          </cell>
          <cell r="X18">
            <v>3.0564</v>
          </cell>
        </row>
        <row r="18">
          <cell r="AA18" t="e">
            <v>#DIV/0!</v>
          </cell>
          <cell r="AB18">
            <v>10000</v>
          </cell>
          <cell r="AC18">
            <v>40564</v>
          </cell>
          <cell r="AD18">
            <v>3.0564</v>
          </cell>
        </row>
        <row r="18">
          <cell r="AF18">
            <v>32390</v>
          </cell>
          <cell r="AG18" t="e">
            <v>#DIV/0!</v>
          </cell>
          <cell r="AH18">
            <v>10000</v>
          </cell>
          <cell r="AI18">
            <v>72954</v>
          </cell>
          <cell r="AJ18">
            <v>6.2954</v>
          </cell>
        </row>
        <row r="18">
          <cell r="AL18">
            <v>21149</v>
          </cell>
        </row>
        <row r="19">
          <cell r="C19" t="str">
            <v>湖州乐曜贸易有限公司</v>
          </cell>
          <cell r="D19" t="str">
            <v>经销</v>
          </cell>
          <cell r="E19" t="str">
            <v>经销</v>
          </cell>
          <cell r="F19" t="str">
            <v>湖州市区</v>
          </cell>
          <cell r="G19" t="str">
            <v>市区</v>
          </cell>
          <cell r="H19" t="str">
            <v>陈中元</v>
          </cell>
        </row>
        <row r="19">
          <cell r="L19" t="e">
            <v>#DIV/0!</v>
          </cell>
        </row>
        <row r="19">
          <cell r="O19" t="e">
            <v>#DIV/0!</v>
          </cell>
          <cell r="P19">
            <v>0</v>
          </cell>
          <cell r="Q19">
            <v>0</v>
          </cell>
          <cell r="R19" t="e">
            <v>#DIV/0!</v>
          </cell>
          <cell r="S19">
            <v>2962</v>
          </cell>
        </row>
        <row r="19">
          <cell r="U19">
            <v>-1</v>
          </cell>
          <cell r="V19">
            <v>2962</v>
          </cell>
          <cell r="W19">
            <v>0</v>
          </cell>
          <cell r="X19">
            <v>-1</v>
          </cell>
        </row>
        <row r="19">
          <cell r="AA19" t="e">
            <v>#DIV/0!</v>
          </cell>
          <cell r="AB19">
            <v>2962</v>
          </cell>
          <cell r="AC19">
            <v>0</v>
          </cell>
          <cell r="AD19">
            <v>-1</v>
          </cell>
        </row>
        <row r="19">
          <cell r="AG19" t="e">
            <v>#DIV/0!</v>
          </cell>
          <cell r="AH19">
            <v>2962</v>
          </cell>
          <cell r="AI19">
            <v>0</v>
          </cell>
          <cell r="AJ19">
            <v>-1</v>
          </cell>
        </row>
        <row r="20">
          <cell r="C20" t="str">
            <v>苏宁易购集团股份有限公司苏宁采购中心</v>
          </cell>
          <cell r="D20" t="str">
            <v>经销</v>
          </cell>
          <cell r="E20" t="str">
            <v>经销</v>
          </cell>
          <cell r="F20" t="str">
            <v>湖州市区</v>
          </cell>
          <cell r="G20" t="str">
            <v>市区</v>
          </cell>
          <cell r="H20" t="str">
            <v>陈中元</v>
          </cell>
        </row>
        <row r="20">
          <cell r="L20" t="e">
            <v>#DIV/0!</v>
          </cell>
        </row>
        <row r="20">
          <cell r="N20">
            <v>1736.04</v>
          </cell>
          <cell r="O20" t="e">
            <v>#DIV/0!</v>
          </cell>
          <cell r="P20">
            <v>0</v>
          </cell>
          <cell r="Q20">
            <v>1736.04</v>
          </cell>
          <cell r="R20" t="e">
            <v>#DIV/0!</v>
          </cell>
        </row>
        <row r="20">
          <cell r="U20" t="e">
            <v>#DIV/0!</v>
          </cell>
          <cell r="V20">
            <v>0</v>
          </cell>
          <cell r="W20">
            <v>1736.04</v>
          </cell>
          <cell r="X20" t="e">
            <v>#DIV/0!</v>
          </cell>
        </row>
        <row r="20">
          <cell r="Z20">
            <v>3472.08</v>
          </cell>
          <cell r="AA20" t="e">
            <v>#DIV/0!</v>
          </cell>
          <cell r="AB20">
            <v>0</v>
          </cell>
          <cell r="AC20">
            <v>5208.12</v>
          </cell>
          <cell r="AD20" t="e">
            <v>#DIV/0!</v>
          </cell>
        </row>
        <row r="20">
          <cell r="AG20" t="e">
            <v>#DIV/0!</v>
          </cell>
          <cell r="AH20">
            <v>0</v>
          </cell>
          <cell r="AI20">
            <v>5208.12</v>
          </cell>
          <cell r="AJ20" t="e">
            <v>#DIV/0!</v>
          </cell>
        </row>
        <row r="21">
          <cell r="C21" t="str">
            <v>湖州浔海电器销售有限公司</v>
          </cell>
          <cell r="D21" t="str">
            <v>经销</v>
          </cell>
          <cell r="E21" t="str">
            <v>经销</v>
          </cell>
          <cell r="F21" t="str">
            <v>南浔区</v>
          </cell>
          <cell r="G21" t="str">
            <v>市区</v>
          </cell>
          <cell r="H21" t="str">
            <v>陈中元</v>
          </cell>
          <cell r="I21">
            <v>60</v>
          </cell>
        </row>
        <row r="21">
          <cell r="AF21">
            <v>116732</v>
          </cell>
          <cell r="AG21" t="e">
            <v>#DIV/0!</v>
          </cell>
          <cell r="AH21">
            <v>0</v>
          </cell>
          <cell r="AI21">
            <v>116732</v>
          </cell>
          <cell r="AJ21" t="e">
            <v>#DIV/0!</v>
          </cell>
        </row>
        <row r="21">
          <cell r="AL21">
            <v>3088</v>
          </cell>
        </row>
        <row r="22">
          <cell r="C22" t="str">
            <v>杭州中博智能电器有限公司</v>
          </cell>
          <cell r="D22" t="str">
            <v>家装</v>
          </cell>
          <cell r="E22" t="str">
            <v>家装</v>
          </cell>
          <cell r="F22" t="str">
            <v>湖州市区</v>
          </cell>
        </row>
        <row r="22">
          <cell r="H22" t="str">
            <v>陈中元</v>
          </cell>
        </row>
        <row r="22">
          <cell r="AL22">
            <v>3344</v>
          </cell>
        </row>
        <row r="23">
          <cell r="C23" t="str">
            <v>长兴县浙北家用电器有限公司</v>
          </cell>
          <cell r="D23" t="str">
            <v>经销</v>
          </cell>
          <cell r="E23" t="str">
            <v>经销</v>
          </cell>
          <cell r="F23" t="str">
            <v>长兴县</v>
          </cell>
          <cell r="G23" t="str">
            <v>长兴县</v>
          </cell>
          <cell r="H23" t="str">
            <v>张正芳</v>
          </cell>
        </row>
        <row r="23">
          <cell r="L23" t="e">
            <v>#DIV/0!</v>
          </cell>
        </row>
        <row r="23">
          <cell r="O23" t="e">
            <v>#DIV/0!</v>
          </cell>
          <cell r="P23">
            <v>0</v>
          </cell>
          <cell r="Q23">
            <v>0</v>
          </cell>
          <cell r="R23" t="e">
            <v>#DIV/0!</v>
          </cell>
        </row>
        <row r="23">
          <cell r="U23" t="e">
            <v>#DIV/0!</v>
          </cell>
          <cell r="V23">
            <v>0</v>
          </cell>
          <cell r="W23">
            <v>0</v>
          </cell>
          <cell r="X23" t="e">
            <v>#DIV/0!</v>
          </cell>
        </row>
        <row r="23">
          <cell r="AA23" t="e">
            <v>#DIV/0!</v>
          </cell>
          <cell r="AB23">
            <v>0</v>
          </cell>
          <cell r="AC23">
            <v>0</v>
          </cell>
          <cell r="AD23" t="e">
            <v>#DIV/0!</v>
          </cell>
        </row>
        <row r="23">
          <cell r="AG23" t="e">
            <v>#DIV/0!</v>
          </cell>
          <cell r="AH23">
            <v>0</v>
          </cell>
          <cell r="AI23">
            <v>0</v>
          </cell>
          <cell r="AJ23" t="e">
            <v>#DIV/0!</v>
          </cell>
        </row>
        <row r="23">
          <cell r="AL23">
            <v>6167</v>
          </cell>
        </row>
        <row r="24">
          <cell r="C24" t="str">
            <v>汇总</v>
          </cell>
        </row>
        <row r="24">
          <cell r="I24">
            <v>795</v>
          </cell>
          <cell r="J24">
            <v>578458.28</v>
          </cell>
          <cell r="K24">
            <v>474052</v>
          </cell>
          <cell r="L24">
            <v>-0.180490596486924</v>
          </cell>
          <cell r="M24">
            <v>382921</v>
          </cell>
          <cell r="N24">
            <v>390891.04</v>
          </cell>
          <cell r="O24">
            <v>0.0208137971017519</v>
          </cell>
          <cell r="P24">
            <v>961379.28</v>
          </cell>
          <cell r="Q24">
            <v>864943.04</v>
          </cell>
          <cell r="R24">
            <v>-0.100310295849105</v>
          </cell>
          <cell r="S24">
            <v>427042.28</v>
          </cell>
          <cell r="T24">
            <v>414836.06</v>
          </cell>
          <cell r="U24">
            <v>-0.0285831651142365</v>
          </cell>
          <cell r="V24">
            <v>1388421.56</v>
          </cell>
          <cell r="W24">
            <v>1279779.1</v>
          </cell>
          <cell r="X24">
            <v>-0.0782489001395225</v>
          </cell>
          <cell r="Y24">
            <v>399949</v>
          </cell>
          <cell r="Z24">
            <v>411808.08</v>
          </cell>
          <cell r="AA24">
            <v>0.029651480563772</v>
          </cell>
          <cell r="AB24">
            <v>1788370.56</v>
          </cell>
          <cell r="AC24">
            <v>1691587.18</v>
          </cell>
          <cell r="AD24">
            <v>-0.0541181912545015</v>
          </cell>
          <cell r="AE24">
            <v>597544</v>
          </cell>
          <cell r="AF24">
            <v>404990</v>
          </cell>
          <cell r="AG24">
            <v>-0.322242378803904</v>
          </cell>
          <cell r="AH24">
            <v>2385914.56</v>
          </cell>
          <cell r="AI24">
            <v>2096577.18</v>
          </cell>
          <cell r="AJ24">
            <v>-0.121268961114852</v>
          </cell>
          <cell r="AK24">
            <v>442447</v>
          </cell>
          <cell r="AL24">
            <v>273945</v>
          </cell>
        </row>
      </sheetData>
      <sheetData sheetId="4"/>
      <sheetData sheetId="5">
        <row r="1">
          <cell r="C1" t="str">
            <v>系统名称</v>
          </cell>
          <cell r="D1" t="str">
            <v>渠道</v>
          </cell>
          <cell r="E1" t="str">
            <v>渠道细分</v>
          </cell>
          <cell r="F1" t="str">
            <v>大区</v>
          </cell>
          <cell r="G1" t="str">
            <v>市/区/县</v>
          </cell>
          <cell r="H1" t="str">
            <v>业务员</v>
          </cell>
          <cell r="I1" t="str">
            <v>合同任务</v>
          </cell>
          <cell r="J1" t="str">
            <v>1月</v>
          </cell>
        </row>
        <row r="1">
          <cell r="L1" t="str">
            <v>同比</v>
          </cell>
          <cell r="M1" t="str">
            <v>2月</v>
          </cell>
        </row>
        <row r="1">
          <cell r="O1" t="str">
            <v>同比</v>
          </cell>
          <cell r="P1" t="str">
            <v>1-2月</v>
          </cell>
        </row>
        <row r="1">
          <cell r="R1" t="str">
            <v>同比</v>
          </cell>
          <cell r="S1" t="str">
            <v>3月</v>
          </cell>
        </row>
        <row r="1">
          <cell r="U1" t="str">
            <v>同比</v>
          </cell>
          <cell r="V1" t="str">
            <v>1-3月</v>
          </cell>
        </row>
        <row r="1">
          <cell r="X1" t="str">
            <v>同比</v>
          </cell>
          <cell r="Y1" t="str">
            <v>4月</v>
          </cell>
        </row>
        <row r="1">
          <cell r="AA1" t="str">
            <v>同比</v>
          </cell>
          <cell r="AB1" t="str">
            <v>1-4月</v>
          </cell>
        </row>
        <row r="1">
          <cell r="AD1" t="str">
            <v>同比</v>
          </cell>
          <cell r="AE1" t="str">
            <v>5月</v>
          </cell>
        </row>
        <row r="1">
          <cell r="AG1" t="str">
            <v>同比</v>
          </cell>
          <cell r="AH1" t="str">
            <v>1-5月</v>
          </cell>
        </row>
        <row r="1">
          <cell r="AJ1" t="str">
            <v>同比</v>
          </cell>
          <cell r="AK1" t="str">
            <v>6月</v>
          </cell>
        </row>
        <row r="2">
          <cell r="J2" t="str">
            <v>2024年</v>
          </cell>
          <cell r="K2" t="str">
            <v>2025年</v>
          </cell>
        </row>
        <row r="2">
          <cell r="M2" t="str">
            <v>2024年</v>
          </cell>
          <cell r="N2" t="str">
            <v>2025年</v>
          </cell>
        </row>
        <row r="2">
          <cell r="P2" t="str">
            <v>2024年</v>
          </cell>
          <cell r="Q2" t="str">
            <v>2025年</v>
          </cell>
        </row>
        <row r="2">
          <cell r="S2" t="str">
            <v>2024年</v>
          </cell>
          <cell r="T2" t="str">
            <v>2025年</v>
          </cell>
        </row>
        <row r="2">
          <cell r="V2" t="str">
            <v>2024年</v>
          </cell>
          <cell r="W2" t="str">
            <v>2025年</v>
          </cell>
        </row>
        <row r="2">
          <cell r="Y2" t="str">
            <v>2024年</v>
          </cell>
          <cell r="Z2" t="str">
            <v>2025年</v>
          </cell>
        </row>
        <row r="2">
          <cell r="AB2" t="str">
            <v>2024年</v>
          </cell>
          <cell r="AC2" t="str">
            <v>2025年</v>
          </cell>
        </row>
        <row r="2">
          <cell r="AE2" t="str">
            <v>2024年</v>
          </cell>
          <cell r="AF2" t="str">
            <v>2025年</v>
          </cell>
        </row>
        <row r="2">
          <cell r="AH2" t="str">
            <v>2024年</v>
          </cell>
          <cell r="AI2" t="str">
            <v>2025年</v>
          </cell>
        </row>
        <row r="2">
          <cell r="AK2" t="str">
            <v>2024年</v>
          </cell>
          <cell r="AL2" t="str">
            <v>2025年</v>
          </cell>
        </row>
        <row r="3">
          <cell r="C3" t="str">
            <v>义乌市荣昌家电维修部</v>
          </cell>
          <cell r="D3" t="str">
            <v>加盟</v>
          </cell>
          <cell r="E3" t="str">
            <v>加盟</v>
          </cell>
          <cell r="F3" t="str">
            <v>义乌市</v>
          </cell>
          <cell r="G3" t="str">
            <v>义乌市</v>
          </cell>
          <cell r="H3" t="str">
            <v>林青云</v>
          </cell>
          <cell r="I3">
            <v>220</v>
          </cell>
          <cell r="J3">
            <v>365000</v>
          </cell>
          <cell r="K3">
            <v>84500</v>
          </cell>
          <cell r="L3">
            <v>-0.768493150684932</v>
          </cell>
          <cell r="M3">
            <v>30000</v>
          </cell>
          <cell r="N3">
            <v>36876</v>
          </cell>
          <cell r="O3">
            <v>0.2292</v>
          </cell>
          <cell r="P3">
            <v>395000</v>
          </cell>
          <cell r="Q3">
            <v>121376</v>
          </cell>
          <cell r="R3">
            <v>-0.692718987341772</v>
          </cell>
          <cell r="S3">
            <v>148000</v>
          </cell>
          <cell r="T3">
            <v>114573.54</v>
          </cell>
          <cell r="U3">
            <v>-0.225854459459459</v>
          </cell>
          <cell r="V3">
            <v>543000</v>
          </cell>
          <cell r="W3">
            <v>235949.54</v>
          </cell>
          <cell r="X3">
            <v>-0.565470460405157</v>
          </cell>
          <cell r="Y3">
            <v>115000</v>
          </cell>
          <cell r="Z3">
            <v>156103</v>
          </cell>
          <cell r="AA3">
            <v>0.357417391304348</v>
          </cell>
          <cell r="AB3">
            <v>658000</v>
          </cell>
          <cell r="AC3">
            <v>392052.54</v>
          </cell>
          <cell r="AD3">
            <v>-0.40417547112462</v>
          </cell>
          <cell r="AE3">
            <v>171600</v>
          </cell>
          <cell r="AF3">
            <v>51953</v>
          </cell>
          <cell r="AG3">
            <v>-0.69724358974359</v>
          </cell>
          <cell r="AH3">
            <v>829600</v>
          </cell>
          <cell r="AI3">
            <v>444005.54</v>
          </cell>
          <cell r="AJ3">
            <v>-0.464795636451302</v>
          </cell>
          <cell r="AK3">
            <v>165430.3</v>
          </cell>
          <cell r="AL3">
            <v>113309</v>
          </cell>
        </row>
        <row r="4">
          <cell r="C4" t="str">
            <v>浙江普农家电有限公司</v>
          </cell>
          <cell r="D4" t="str">
            <v>TOP渠道</v>
          </cell>
          <cell r="E4" t="str">
            <v>TOP渠道</v>
          </cell>
          <cell r="F4" t="str">
            <v>衢州市区</v>
          </cell>
          <cell r="G4" t="str">
            <v>衢州市</v>
          </cell>
          <cell r="H4" t="str">
            <v>江雯</v>
          </cell>
          <cell r="I4">
            <v>200</v>
          </cell>
          <cell r="J4">
            <v>203140.4</v>
          </cell>
          <cell r="K4">
            <v>211568</v>
          </cell>
          <cell r="L4">
            <v>0.0414865777560742</v>
          </cell>
          <cell r="M4">
            <v>108325</v>
          </cell>
          <cell r="N4">
            <v>126251</v>
          </cell>
          <cell r="O4">
            <v>0.165483498730672</v>
          </cell>
          <cell r="P4">
            <v>311465.4</v>
          </cell>
          <cell r="Q4">
            <v>337819</v>
          </cell>
          <cell r="R4">
            <v>0.0846116454668799</v>
          </cell>
          <cell r="S4">
            <v>64094</v>
          </cell>
          <cell r="T4">
            <v>164562</v>
          </cell>
          <cell r="U4">
            <v>1.56751021936531</v>
          </cell>
          <cell r="V4">
            <v>375559.4</v>
          </cell>
          <cell r="W4">
            <v>502381</v>
          </cell>
          <cell r="X4">
            <v>0.33768719408967</v>
          </cell>
          <cell r="Y4">
            <v>66218</v>
          </cell>
          <cell r="Z4">
            <v>103867</v>
          </cell>
          <cell r="AA4">
            <v>0.568561418345465</v>
          </cell>
          <cell r="AB4">
            <v>441777.4</v>
          </cell>
          <cell r="AC4">
            <v>606248</v>
          </cell>
          <cell r="AD4">
            <v>0.372292923992943</v>
          </cell>
          <cell r="AE4">
            <v>62805</v>
          </cell>
          <cell r="AF4">
            <v>136346</v>
          </cell>
          <cell r="AG4">
            <v>1.1709418039965</v>
          </cell>
          <cell r="AH4">
            <v>504582.4</v>
          </cell>
          <cell r="AI4">
            <v>742594</v>
          </cell>
          <cell r="AJ4">
            <v>0.471700162352076</v>
          </cell>
          <cell r="AK4">
            <v>109740</v>
          </cell>
          <cell r="AL4">
            <v>208633</v>
          </cell>
        </row>
        <row r="5">
          <cell r="C5" t="str">
            <v>金华五星</v>
          </cell>
          <cell r="D5" t="str">
            <v>五星</v>
          </cell>
          <cell r="E5" t="str">
            <v>五星</v>
          </cell>
          <cell r="F5" t="str">
            <v>金华市区</v>
          </cell>
          <cell r="G5" t="str">
            <v>市区</v>
          </cell>
          <cell r="H5" t="str">
            <v>潘杏</v>
          </cell>
        </row>
        <row r="5">
          <cell r="J5">
            <v>97567.31</v>
          </cell>
          <cell r="K5">
            <v>170180.19</v>
          </cell>
          <cell r="L5">
            <v>0.744233698766523</v>
          </cell>
        </row>
        <row r="5">
          <cell r="N5">
            <v>33500.8</v>
          </cell>
          <cell r="O5" t="e">
            <v>#DIV/0!</v>
          </cell>
          <cell r="P5">
            <v>97567.31</v>
          </cell>
          <cell r="Q5">
            <v>203680.99</v>
          </cell>
          <cell r="R5">
            <v>1.08759460520127</v>
          </cell>
        </row>
        <row r="5">
          <cell r="T5">
            <v>337846.67</v>
          </cell>
          <cell r="U5" t="e">
            <v>#DIV/0!</v>
          </cell>
          <cell r="V5">
            <v>97567.31</v>
          </cell>
          <cell r="W5">
            <v>541527.66</v>
          </cell>
          <cell r="X5">
            <v>4.55029814801699</v>
          </cell>
          <cell r="Y5">
            <v>240583.45</v>
          </cell>
          <cell r="Z5">
            <v>244513.1</v>
          </cell>
          <cell r="AA5">
            <v>0.0163338334370049</v>
          </cell>
          <cell r="AB5">
            <v>338150.76</v>
          </cell>
          <cell r="AC5">
            <v>786040.76</v>
          </cell>
          <cell r="AD5">
            <v>1.32452755688025</v>
          </cell>
          <cell r="AE5">
            <v>100835.81</v>
          </cell>
          <cell r="AF5">
            <v>193019.03</v>
          </cell>
          <cell r="AG5">
            <v>0.914191297714572</v>
          </cell>
          <cell r="AH5">
            <v>438986.57</v>
          </cell>
          <cell r="AI5">
            <v>979059.79</v>
          </cell>
          <cell r="AJ5">
            <v>1.23027276210295</v>
          </cell>
          <cell r="AK5">
            <v>64337.91</v>
          </cell>
          <cell r="AL5">
            <v>241756.98</v>
          </cell>
        </row>
        <row r="6">
          <cell r="C6" t="str">
            <v>（新）金华八一南街专卖店</v>
          </cell>
          <cell r="D6" t="str">
            <v>直营</v>
          </cell>
          <cell r="E6" t="str">
            <v>直营</v>
          </cell>
          <cell r="F6" t="str">
            <v>金华市区</v>
          </cell>
          <cell r="G6" t="str">
            <v>婺城区</v>
          </cell>
          <cell r="H6" t="str">
            <v>姜卫</v>
          </cell>
        </row>
        <row r="6">
          <cell r="J6">
            <v>17958</v>
          </cell>
        </row>
        <row r="6">
          <cell r="L6">
            <v>-1</v>
          </cell>
          <cell r="M6">
            <v>3966</v>
          </cell>
        </row>
        <row r="6">
          <cell r="O6">
            <v>-1</v>
          </cell>
          <cell r="P6">
            <v>21924</v>
          </cell>
          <cell r="Q6">
            <v>0</v>
          </cell>
          <cell r="R6">
            <v>-1</v>
          </cell>
          <cell r="S6">
            <v>6800</v>
          </cell>
        </row>
        <row r="6">
          <cell r="U6">
            <v>-1</v>
          </cell>
          <cell r="V6">
            <v>28724</v>
          </cell>
          <cell r="W6">
            <v>0</v>
          </cell>
          <cell r="X6">
            <v>-1</v>
          </cell>
        </row>
        <row r="6">
          <cell r="AA6" t="e">
            <v>#DIV/0!</v>
          </cell>
          <cell r="AB6">
            <v>28724</v>
          </cell>
          <cell r="AC6">
            <v>0</v>
          </cell>
          <cell r="AD6">
            <v>-1</v>
          </cell>
        </row>
        <row r="6">
          <cell r="AG6" t="e">
            <v>#DIV/0!</v>
          </cell>
          <cell r="AH6">
            <v>28724</v>
          </cell>
          <cell r="AI6">
            <v>0</v>
          </cell>
          <cell r="AJ6">
            <v>-1</v>
          </cell>
        </row>
        <row r="7">
          <cell r="C7" t="str">
            <v>衢州市柯城汇鑫家用电器商行</v>
          </cell>
          <cell r="D7" t="str">
            <v>加盟</v>
          </cell>
          <cell r="E7" t="str">
            <v>加盟</v>
          </cell>
          <cell r="F7" t="str">
            <v>衢州市区</v>
          </cell>
          <cell r="G7" t="str">
            <v>柯城区</v>
          </cell>
          <cell r="H7" t="str">
            <v>江雯</v>
          </cell>
          <cell r="I7">
            <v>80</v>
          </cell>
          <cell r="J7">
            <v>25400</v>
          </cell>
          <cell r="K7">
            <v>30730</v>
          </cell>
          <cell r="L7">
            <v>0.209842519685039</v>
          </cell>
          <cell r="M7">
            <v>10400</v>
          </cell>
        </row>
        <row r="7">
          <cell r="O7">
            <v>-1</v>
          </cell>
          <cell r="P7">
            <v>35800</v>
          </cell>
          <cell r="Q7">
            <v>30730</v>
          </cell>
          <cell r="R7">
            <v>-0.141620111731844</v>
          </cell>
          <cell r="S7">
            <v>30900</v>
          </cell>
          <cell r="T7">
            <v>31852</v>
          </cell>
          <cell r="U7">
            <v>0.0308090614886731</v>
          </cell>
          <cell r="V7">
            <v>66700</v>
          </cell>
          <cell r="W7">
            <v>62582</v>
          </cell>
          <cell r="X7">
            <v>-0.0617391304347826</v>
          </cell>
          <cell r="Y7">
            <v>32900</v>
          </cell>
          <cell r="Z7">
            <v>39671</v>
          </cell>
          <cell r="AA7">
            <v>0.20580547112462</v>
          </cell>
          <cell r="AB7">
            <v>99600</v>
          </cell>
          <cell r="AC7">
            <v>102253</v>
          </cell>
          <cell r="AD7">
            <v>0.0266365461847389</v>
          </cell>
          <cell r="AE7">
            <v>65953</v>
          </cell>
          <cell r="AF7">
            <v>48396</v>
          </cell>
          <cell r="AG7">
            <v>-0.26620472154413</v>
          </cell>
          <cell r="AH7">
            <v>165553</v>
          </cell>
          <cell r="AI7">
            <v>150649</v>
          </cell>
          <cell r="AJ7">
            <v>-0.0900255507299778</v>
          </cell>
          <cell r="AK7">
            <v>14600</v>
          </cell>
          <cell r="AL7">
            <v>79258</v>
          </cell>
        </row>
        <row r="8">
          <cell r="C8" t="str">
            <v>东阳市国美电器有限公司</v>
          </cell>
          <cell r="D8" t="str">
            <v>经销</v>
          </cell>
          <cell r="E8" t="str">
            <v>经销</v>
          </cell>
          <cell r="F8" t="str">
            <v>东阳市</v>
          </cell>
          <cell r="G8" t="str">
            <v>东阳市</v>
          </cell>
          <cell r="H8" t="str">
            <v>林青云</v>
          </cell>
          <cell r="I8">
            <v>20</v>
          </cell>
          <cell r="J8">
            <v>25000</v>
          </cell>
          <cell r="K8">
            <v>4298</v>
          </cell>
          <cell r="L8">
            <v>-0.82808</v>
          </cell>
        </row>
        <row r="8">
          <cell r="N8">
            <v>5186</v>
          </cell>
          <cell r="O8" t="e">
            <v>#DIV/0!</v>
          </cell>
          <cell r="P8">
            <v>25000</v>
          </cell>
          <cell r="Q8">
            <v>9484</v>
          </cell>
          <cell r="R8">
            <v>-0.62064</v>
          </cell>
        </row>
        <row r="8">
          <cell r="U8" t="e">
            <v>#DIV/0!</v>
          </cell>
          <cell r="V8">
            <v>25000</v>
          </cell>
          <cell r="W8">
            <v>9484</v>
          </cell>
          <cell r="X8">
            <v>-0.62064</v>
          </cell>
          <cell r="Y8">
            <v>800</v>
          </cell>
          <cell r="Z8">
            <v>2766</v>
          </cell>
          <cell r="AA8">
            <v>2.4575</v>
          </cell>
          <cell r="AB8">
            <v>25800</v>
          </cell>
          <cell r="AC8">
            <v>12250</v>
          </cell>
          <cell r="AD8">
            <v>-0.525193798449612</v>
          </cell>
          <cell r="AE8">
            <v>18078</v>
          </cell>
        </row>
        <row r="8">
          <cell r="AG8">
            <v>-1</v>
          </cell>
          <cell r="AH8">
            <v>43878</v>
          </cell>
          <cell r="AI8">
            <v>12250</v>
          </cell>
          <cell r="AJ8">
            <v>-0.720816810246593</v>
          </cell>
        </row>
        <row r="9">
          <cell r="C9" t="str">
            <v>兰溪市福祥家电经营部</v>
          </cell>
          <cell r="D9" t="str">
            <v>加盟</v>
          </cell>
          <cell r="E9" t="str">
            <v>加盟</v>
          </cell>
          <cell r="F9" t="str">
            <v>兰溪市</v>
          </cell>
          <cell r="G9" t="str">
            <v>兰溪市</v>
          </cell>
          <cell r="H9" t="str">
            <v>潘杏</v>
          </cell>
        </row>
        <row r="9">
          <cell r="J9">
            <v>149023</v>
          </cell>
        </row>
        <row r="9">
          <cell r="L9">
            <v>-1</v>
          </cell>
          <cell r="M9">
            <v>3015</v>
          </cell>
        </row>
        <row r="9">
          <cell r="O9">
            <v>-1</v>
          </cell>
          <cell r="P9">
            <v>152038</v>
          </cell>
          <cell r="Q9">
            <v>0</v>
          </cell>
          <cell r="R9">
            <v>-1</v>
          </cell>
          <cell r="S9">
            <v>19327</v>
          </cell>
        </row>
        <row r="9">
          <cell r="U9">
            <v>-1</v>
          </cell>
          <cell r="V9">
            <v>171365</v>
          </cell>
          <cell r="W9">
            <v>0</v>
          </cell>
          <cell r="X9">
            <v>-1</v>
          </cell>
          <cell r="Y9">
            <v>13493</v>
          </cell>
        </row>
        <row r="9">
          <cell r="AA9">
            <v>-1</v>
          </cell>
          <cell r="AB9">
            <v>184858</v>
          </cell>
          <cell r="AC9">
            <v>0</v>
          </cell>
          <cell r="AD9">
            <v>-1</v>
          </cell>
          <cell r="AE9">
            <v>36809</v>
          </cell>
        </row>
        <row r="9">
          <cell r="AG9">
            <v>-1</v>
          </cell>
          <cell r="AH9">
            <v>221667</v>
          </cell>
          <cell r="AI9">
            <v>0</v>
          </cell>
          <cell r="AJ9">
            <v>-1</v>
          </cell>
          <cell r="AK9">
            <v>34615</v>
          </cell>
        </row>
        <row r="10">
          <cell r="C10" t="str">
            <v>金华龙腾建材市场专卖店</v>
          </cell>
          <cell r="D10" t="str">
            <v>直营</v>
          </cell>
          <cell r="E10" t="str">
            <v>直营</v>
          </cell>
          <cell r="F10" t="str">
            <v>金华市区</v>
          </cell>
          <cell r="G10" t="str">
            <v>婺城区</v>
          </cell>
          <cell r="H10" t="str">
            <v>姜卫</v>
          </cell>
          <cell r="I10">
            <v>200</v>
          </cell>
          <cell r="J10">
            <v>84544</v>
          </cell>
          <cell r="K10">
            <v>270657</v>
          </cell>
          <cell r="L10">
            <v>2.2013744322483</v>
          </cell>
          <cell r="M10">
            <v>15592</v>
          </cell>
          <cell r="N10">
            <v>114255</v>
          </cell>
          <cell r="O10">
            <v>6.32779630579785</v>
          </cell>
          <cell r="P10">
            <v>100136</v>
          </cell>
          <cell r="Q10">
            <v>384912</v>
          </cell>
          <cell r="R10">
            <v>2.84389230646321</v>
          </cell>
          <cell r="S10">
            <v>40421</v>
          </cell>
          <cell r="T10">
            <v>272412</v>
          </cell>
          <cell r="U10">
            <v>5.73936815021895</v>
          </cell>
          <cell r="V10">
            <v>140557</v>
          </cell>
          <cell r="W10">
            <v>657324</v>
          </cell>
          <cell r="X10">
            <v>3.67656537917002</v>
          </cell>
          <cell r="Y10">
            <v>95170</v>
          </cell>
          <cell r="Z10">
            <v>144687</v>
          </cell>
          <cell r="AA10">
            <v>0.520300514868131</v>
          </cell>
          <cell r="AB10">
            <v>235727</v>
          </cell>
          <cell r="AC10">
            <v>802011</v>
          </cell>
          <cell r="AD10">
            <v>2.40228739177099</v>
          </cell>
          <cell r="AE10">
            <v>66978</v>
          </cell>
          <cell r="AF10">
            <v>201219</v>
          </cell>
          <cell r="AG10">
            <v>2.00425512854967</v>
          </cell>
          <cell r="AH10">
            <v>302705</v>
          </cell>
          <cell r="AI10">
            <v>1003230</v>
          </cell>
          <cell r="AJ10">
            <v>2.31421681174741</v>
          </cell>
          <cell r="AK10">
            <v>187833</v>
          </cell>
          <cell r="AL10">
            <v>310376</v>
          </cell>
        </row>
        <row r="11">
          <cell r="C11" t="str">
            <v>兰溪市小严家电经营部</v>
          </cell>
          <cell r="D11" t="str">
            <v>经销</v>
          </cell>
          <cell r="E11" t="str">
            <v>经销</v>
          </cell>
          <cell r="F11" t="str">
            <v>兰溪市</v>
          </cell>
          <cell r="G11" t="str">
            <v>兰溪市</v>
          </cell>
          <cell r="H11" t="str">
            <v>潘杏</v>
          </cell>
          <cell r="I11">
            <v>30</v>
          </cell>
          <cell r="J11">
            <v>30425</v>
          </cell>
          <cell r="K11">
            <v>21359</v>
          </cell>
          <cell r="L11">
            <v>-0.29797863599014</v>
          </cell>
          <cell r="M11">
            <v>10451</v>
          </cell>
          <cell r="N11">
            <v>8805</v>
          </cell>
          <cell r="O11">
            <v>-0.157496890249737</v>
          </cell>
          <cell r="P11">
            <v>40876</v>
          </cell>
          <cell r="Q11">
            <v>30164</v>
          </cell>
          <cell r="R11">
            <v>-0.262060867012428</v>
          </cell>
        </row>
        <row r="11">
          <cell r="T11">
            <v>3203</v>
          </cell>
          <cell r="U11" t="e">
            <v>#DIV/0!</v>
          </cell>
          <cell r="V11">
            <v>40876</v>
          </cell>
          <cell r="W11">
            <v>33367</v>
          </cell>
          <cell r="X11">
            <v>-0.183701927781583</v>
          </cell>
          <cell r="Y11">
            <v>7276</v>
          </cell>
          <cell r="Z11">
            <v>1479</v>
          </cell>
          <cell r="AA11">
            <v>-0.796728971962617</v>
          </cell>
          <cell r="AB11">
            <v>48152</v>
          </cell>
          <cell r="AC11">
            <v>34846</v>
          </cell>
          <cell r="AD11">
            <v>-0.276333277953148</v>
          </cell>
          <cell r="AE11">
            <v>21993</v>
          </cell>
        </row>
        <row r="11">
          <cell r="AG11">
            <v>-1</v>
          </cell>
          <cell r="AH11">
            <v>70145</v>
          </cell>
          <cell r="AI11">
            <v>34846</v>
          </cell>
          <cell r="AJ11">
            <v>-0.50322902558985</v>
          </cell>
        </row>
        <row r="12">
          <cell r="C12" t="str">
            <v>金华金蝶零售</v>
          </cell>
          <cell r="D12" t="str">
            <v>零售</v>
          </cell>
          <cell r="E12" t="str">
            <v>零售</v>
          </cell>
          <cell r="F12" t="str">
            <v>金华市区</v>
          </cell>
          <cell r="G12" t="str">
            <v>市区</v>
          </cell>
          <cell r="H12" t="str">
            <v>姜卫</v>
          </cell>
        </row>
        <row r="12">
          <cell r="J12">
            <v>3850</v>
          </cell>
          <cell r="K12">
            <v>4018</v>
          </cell>
          <cell r="L12">
            <v>0.0436363636363637</v>
          </cell>
        </row>
        <row r="12">
          <cell r="O12" t="e">
            <v>#DIV/0!</v>
          </cell>
          <cell r="P12">
            <v>3850</v>
          </cell>
          <cell r="Q12">
            <v>4018</v>
          </cell>
          <cell r="R12">
            <v>0.0436363636363637</v>
          </cell>
          <cell r="S12">
            <v>8800</v>
          </cell>
          <cell r="T12">
            <v>6295</v>
          </cell>
          <cell r="U12">
            <v>-0.284659090909091</v>
          </cell>
          <cell r="V12">
            <v>12650</v>
          </cell>
          <cell r="W12">
            <v>10313</v>
          </cell>
          <cell r="X12">
            <v>-0.184743083003953</v>
          </cell>
        </row>
        <row r="12">
          <cell r="Z12">
            <v>12000</v>
          </cell>
          <cell r="AA12" t="e">
            <v>#DIV/0!</v>
          </cell>
          <cell r="AB12">
            <v>12650</v>
          </cell>
          <cell r="AC12">
            <v>22313</v>
          </cell>
          <cell r="AD12">
            <v>0.763873517786561</v>
          </cell>
          <cell r="AE12">
            <v>1800</v>
          </cell>
        </row>
        <row r="12">
          <cell r="AG12">
            <v>-1</v>
          </cell>
          <cell r="AH12">
            <v>14450</v>
          </cell>
          <cell r="AI12">
            <v>22313</v>
          </cell>
          <cell r="AJ12">
            <v>0.544152249134948</v>
          </cell>
          <cell r="AK12">
            <v>10093</v>
          </cell>
          <cell r="AL12">
            <v>2502</v>
          </cell>
        </row>
        <row r="13">
          <cell r="C13" t="str">
            <v>磐安县洪昌家电商场</v>
          </cell>
          <cell r="D13" t="str">
            <v>经销</v>
          </cell>
          <cell r="E13" t="str">
            <v>经销</v>
          </cell>
          <cell r="F13" t="str">
            <v>磐安县</v>
          </cell>
          <cell r="G13" t="str">
            <v>磐安县</v>
          </cell>
          <cell r="H13" t="str">
            <v>林青云</v>
          </cell>
        </row>
        <row r="13">
          <cell r="J13">
            <v>6649</v>
          </cell>
        </row>
        <row r="13">
          <cell r="L13">
            <v>-1</v>
          </cell>
        </row>
        <row r="13">
          <cell r="O13" t="e">
            <v>#DIV/0!</v>
          </cell>
          <cell r="P13">
            <v>6649</v>
          </cell>
          <cell r="Q13">
            <v>0</v>
          </cell>
          <cell r="R13">
            <v>-1</v>
          </cell>
        </row>
        <row r="13">
          <cell r="U13" t="e">
            <v>#DIV/0!</v>
          </cell>
          <cell r="V13">
            <v>6649</v>
          </cell>
          <cell r="W13">
            <v>0</v>
          </cell>
          <cell r="X13">
            <v>-1</v>
          </cell>
        </row>
        <row r="13">
          <cell r="AA13" t="e">
            <v>#DIV/0!</v>
          </cell>
          <cell r="AB13">
            <v>6649</v>
          </cell>
          <cell r="AC13">
            <v>0</v>
          </cell>
          <cell r="AD13">
            <v>-1</v>
          </cell>
        </row>
        <row r="13">
          <cell r="AG13" t="e">
            <v>#DIV/0!</v>
          </cell>
          <cell r="AH13">
            <v>6649</v>
          </cell>
          <cell r="AI13">
            <v>0</v>
          </cell>
          <cell r="AJ13">
            <v>-1</v>
          </cell>
        </row>
        <row r="14">
          <cell r="C14" t="str">
            <v>江山硕邦家电有限公司</v>
          </cell>
          <cell r="D14" t="str">
            <v>经销</v>
          </cell>
          <cell r="E14" t="str">
            <v>经销</v>
          </cell>
          <cell r="F14" t="str">
            <v>江山市</v>
          </cell>
          <cell r="G14" t="str">
            <v>江山市</v>
          </cell>
          <cell r="H14" t="str">
            <v>江雯</v>
          </cell>
        </row>
        <row r="14">
          <cell r="L14" t="e">
            <v>#DIV/0!</v>
          </cell>
          <cell r="M14">
            <v>19218</v>
          </cell>
        </row>
        <row r="14">
          <cell r="O14">
            <v>-1</v>
          </cell>
          <cell r="P14">
            <v>19218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19218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19218</v>
          </cell>
          <cell r="AC14">
            <v>0</v>
          </cell>
          <cell r="AD14">
            <v>-1</v>
          </cell>
        </row>
        <row r="14">
          <cell r="AG14" t="e">
            <v>#DIV/0!</v>
          </cell>
          <cell r="AH14">
            <v>19218</v>
          </cell>
          <cell r="AI14">
            <v>0</v>
          </cell>
          <cell r="AJ14">
            <v>-1</v>
          </cell>
        </row>
        <row r="15">
          <cell r="C15" t="str">
            <v>义乌艾欧机电设备有限公司</v>
          </cell>
          <cell r="D15" t="str">
            <v>加盟</v>
          </cell>
          <cell r="E15" t="str">
            <v>加盟</v>
          </cell>
          <cell r="F15" t="str">
            <v>义乌市</v>
          </cell>
          <cell r="G15" t="str">
            <v>义乌市</v>
          </cell>
          <cell r="H15" t="str">
            <v>林青云</v>
          </cell>
        </row>
        <row r="15">
          <cell r="J15">
            <v>95208</v>
          </cell>
        </row>
        <row r="15">
          <cell r="L15">
            <v>-1</v>
          </cell>
          <cell r="M15">
            <v>23568</v>
          </cell>
        </row>
        <row r="15">
          <cell r="O15">
            <v>-1</v>
          </cell>
          <cell r="P15">
            <v>118776</v>
          </cell>
          <cell r="Q15">
            <v>0</v>
          </cell>
          <cell r="R15">
            <v>-1</v>
          </cell>
          <cell r="S15">
            <v>27546</v>
          </cell>
        </row>
        <row r="15">
          <cell r="U15">
            <v>-1</v>
          </cell>
          <cell r="V15">
            <v>146322</v>
          </cell>
          <cell r="W15">
            <v>0</v>
          </cell>
          <cell r="X15">
            <v>-1</v>
          </cell>
          <cell r="Y15">
            <v>48756</v>
          </cell>
        </row>
        <row r="15">
          <cell r="AA15">
            <v>-1</v>
          </cell>
          <cell r="AB15">
            <v>195078</v>
          </cell>
          <cell r="AC15">
            <v>0</v>
          </cell>
          <cell r="AD15">
            <v>-1</v>
          </cell>
          <cell r="AE15">
            <v>57457</v>
          </cell>
        </row>
        <row r="15">
          <cell r="AG15">
            <v>-1</v>
          </cell>
          <cell r="AH15">
            <v>252535</v>
          </cell>
          <cell r="AI15">
            <v>0</v>
          </cell>
          <cell r="AJ15">
            <v>-1</v>
          </cell>
          <cell r="AK15">
            <v>34276</v>
          </cell>
        </row>
        <row r="16">
          <cell r="C16" t="str">
            <v>东阳市大中商贸有限公司</v>
          </cell>
          <cell r="D16" t="str">
            <v>经销</v>
          </cell>
          <cell r="E16" t="str">
            <v>经销</v>
          </cell>
          <cell r="F16" t="str">
            <v>东阳市</v>
          </cell>
          <cell r="G16" t="str">
            <v>东阳市</v>
          </cell>
          <cell r="H16" t="str">
            <v>林青云</v>
          </cell>
        </row>
        <row r="16">
          <cell r="J16">
            <v>1690</v>
          </cell>
        </row>
        <row r="16">
          <cell r="L16">
            <v>-1</v>
          </cell>
        </row>
        <row r="16">
          <cell r="O16" t="e">
            <v>#DIV/0!</v>
          </cell>
          <cell r="P16">
            <v>1690</v>
          </cell>
          <cell r="Q16">
            <v>0</v>
          </cell>
          <cell r="R16">
            <v>-1</v>
          </cell>
        </row>
        <row r="16">
          <cell r="U16" t="e">
            <v>#DIV/0!</v>
          </cell>
          <cell r="V16">
            <v>1690</v>
          </cell>
          <cell r="W16">
            <v>0</v>
          </cell>
          <cell r="X16">
            <v>-1</v>
          </cell>
          <cell r="Y16">
            <v>3375</v>
          </cell>
        </row>
        <row r="16">
          <cell r="AA16">
            <v>-1</v>
          </cell>
          <cell r="AB16">
            <v>5065</v>
          </cell>
          <cell r="AC16">
            <v>0</v>
          </cell>
          <cell r="AD16">
            <v>-1</v>
          </cell>
        </row>
        <row r="16">
          <cell r="AG16" t="e">
            <v>#DIV/0!</v>
          </cell>
          <cell r="AH16">
            <v>5065</v>
          </cell>
          <cell r="AI16">
            <v>0</v>
          </cell>
          <cell r="AJ16">
            <v>-1</v>
          </cell>
        </row>
        <row r="17">
          <cell r="C17" t="str">
            <v>金华市万普电器销售有限公司</v>
          </cell>
          <cell r="D17" t="str">
            <v>经销</v>
          </cell>
          <cell r="E17" t="str">
            <v>经销</v>
          </cell>
          <cell r="F17" t="str">
            <v>金华市区</v>
          </cell>
          <cell r="G17" t="str">
            <v>金东区</v>
          </cell>
          <cell r="H17" t="str">
            <v>潘杏</v>
          </cell>
        </row>
        <row r="17">
          <cell r="J17">
            <v>5412</v>
          </cell>
          <cell r="K17">
            <v>-8765</v>
          </cell>
          <cell r="L17">
            <v>-2.61954915003695</v>
          </cell>
          <cell r="M17">
            <v>729</v>
          </cell>
          <cell r="N17">
            <v>2310</v>
          </cell>
          <cell r="O17">
            <v>2.16872427983539</v>
          </cell>
          <cell r="P17">
            <v>6141</v>
          </cell>
          <cell r="Q17">
            <v>-6455</v>
          </cell>
          <cell r="R17">
            <v>-2.05113173750204</v>
          </cell>
          <cell r="S17">
            <v>20000</v>
          </cell>
          <cell r="T17">
            <v>5229</v>
          </cell>
          <cell r="U17">
            <v>-0.73855</v>
          </cell>
          <cell r="V17">
            <v>26141</v>
          </cell>
          <cell r="W17">
            <v>-1226</v>
          </cell>
          <cell r="X17">
            <v>-1.04689950652232</v>
          </cell>
        </row>
        <row r="17">
          <cell r="AA17" t="e">
            <v>#DIV/0!</v>
          </cell>
          <cell r="AB17">
            <v>26141</v>
          </cell>
          <cell r="AC17">
            <v>-1226</v>
          </cell>
          <cell r="AD17">
            <v>-1.04689950652232</v>
          </cell>
        </row>
        <row r="17">
          <cell r="AG17" t="e">
            <v>#DIV/0!</v>
          </cell>
          <cell r="AH17">
            <v>26141</v>
          </cell>
          <cell r="AI17">
            <v>-1226</v>
          </cell>
          <cell r="AJ17">
            <v>-1.04689950652232</v>
          </cell>
          <cell r="AK17">
            <v>47792</v>
          </cell>
          <cell r="AL17">
            <v>3242</v>
          </cell>
        </row>
        <row r="18">
          <cell r="C18" t="str">
            <v>龙游博美电器有限公司</v>
          </cell>
          <cell r="D18" t="str">
            <v>经销</v>
          </cell>
          <cell r="E18" t="str">
            <v>经销</v>
          </cell>
          <cell r="F18" t="str">
            <v>龙游县</v>
          </cell>
          <cell r="G18" t="str">
            <v>龙游县</v>
          </cell>
          <cell r="H18" t="str">
            <v>江雯</v>
          </cell>
          <cell r="I18">
            <v>5</v>
          </cell>
        </row>
        <row r="18">
          <cell r="K18">
            <v>2310</v>
          </cell>
          <cell r="L18" t="e">
            <v>#DIV/0!</v>
          </cell>
        </row>
        <row r="18">
          <cell r="N18">
            <v>3302</v>
          </cell>
          <cell r="O18" t="e">
            <v>#DIV/0!</v>
          </cell>
          <cell r="P18">
            <v>0</v>
          </cell>
          <cell r="Q18">
            <v>5612</v>
          </cell>
          <cell r="R18" t="e">
            <v>#DIV/0!</v>
          </cell>
        </row>
        <row r="18">
          <cell r="U18" t="e">
            <v>#DIV/0!</v>
          </cell>
          <cell r="V18">
            <v>0</v>
          </cell>
          <cell r="W18">
            <v>5612</v>
          </cell>
          <cell r="X18" t="e">
            <v>#DIV/0!</v>
          </cell>
          <cell r="Y18">
            <v>2998</v>
          </cell>
        </row>
        <row r="18">
          <cell r="AA18">
            <v>-1</v>
          </cell>
          <cell r="AB18">
            <v>2998</v>
          </cell>
          <cell r="AC18">
            <v>5612</v>
          </cell>
          <cell r="AD18">
            <v>0.871914609739826</v>
          </cell>
        </row>
        <row r="18">
          <cell r="AG18" t="e">
            <v>#DIV/0!</v>
          </cell>
          <cell r="AH18">
            <v>2998</v>
          </cell>
          <cell r="AI18">
            <v>5612</v>
          </cell>
          <cell r="AJ18">
            <v>0.871914609739826</v>
          </cell>
        </row>
        <row r="19">
          <cell r="C19" t="str">
            <v>衢州众冠电器有限公司</v>
          </cell>
          <cell r="D19" t="str">
            <v>经销</v>
          </cell>
          <cell r="E19" t="str">
            <v>经销</v>
          </cell>
          <cell r="F19" t="str">
            <v>常山县</v>
          </cell>
          <cell r="G19" t="str">
            <v>常山县</v>
          </cell>
          <cell r="H19" t="str">
            <v>江雯</v>
          </cell>
          <cell r="I19">
            <v>30</v>
          </cell>
        </row>
        <row r="19">
          <cell r="L19" t="e">
            <v>#DIV/0!</v>
          </cell>
        </row>
        <row r="19">
          <cell r="O19" t="e">
            <v>#DIV/0!</v>
          </cell>
          <cell r="P19">
            <v>0</v>
          </cell>
          <cell r="Q19">
            <v>0</v>
          </cell>
          <cell r="R19" t="e">
            <v>#DIV/0!</v>
          </cell>
        </row>
        <row r="19">
          <cell r="U19" t="e">
            <v>#DIV/0!</v>
          </cell>
          <cell r="V19">
            <v>0</v>
          </cell>
          <cell r="W19">
            <v>0</v>
          </cell>
          <cell r="X19" t="e">
            <v>#DIV/0!</v>
          </cell>
          <cell r="Y19">
            <v>20000</v>
          </cell>
        </row>
        <row r="19">
          <cell r="AA19">
            <v>-1</v>
          </cell>
          <cell r="AB19">
            <v>20000</v>
          </cell>
          <cell r="AC19">
            <v>0</v>
          </cell>
          <cell r="AD19">
            <v>-1</v>
          </cell>
        </row>
        <row r="19">
          <cell r="AG19" t="e">
            <v>#DIV/0!</v>
          </cell>
          <cell r="AH19">
            <v>20000</v>
          </cell>
          <cell r="AI19">
            <v>0</v>
          </cell>
          <cell r="AJ19">
            <v>-1</v>
          </cell>
        </row>
        <row r="20">
          <cell r="C20" t="str">
            <v>金华市婺美电器有限公司</v>
          </cell>
          <cell r="D20" t="str">
            <v>经销</v>
          </cell>
          <cell r="E20" t="str">
            <v>经销</v>
          </cell>
          <cell r="F20" t="str">
            <v>金华市区</v>
          </cell>
          <cell r="G20" t="str">
            <v>婺城区</v>
          </cell>
          <cell r="H20" t="str">
            <v>潘杏</v>
          </cell>
          <cell r="I20">
            <v>10</v>
          </cell>
        </row>
        <row r="20">
          <cell r="K20">
            <v>840</v>
          </cell>
          <cell r="L20" t="e">
            <v>#DIV/0!</v>
          </cell>
        </row>
        <row r="20">
          <cell r="N20">
            <v>10504</v>
          </cell>
          <cell r="O20" t="e">
            <v>#DIV/0!</v>
          </cell>
          <cell r="P20">
            <v>0</v>
          </cell>
          <cell r="Q20">
            <v>11344</v>
          </cell>
          <cell r="R20" t="e">
            <v>#DIV/0!</v>
          </cell>
        </row>
        <row r="20">
          <cell r="T20">
            <v>3070</v>
          </cell>
          <cell r="U20" t="e">
            <v>#DIV/0!</v>
          </cell>
          <cell r="V20">
            <v>0</v>
          </cell>
          <cell r="W20">
            <v>14414</v>
          </cell>
          <cell r="X20" t="e">
            <v>#DIV/0!</v>
          </cell>
          <cell r="Y20">
            <v>1810</v>
          </cell>
        </row>
        <row r="20">
          <cell r="AA20">
            <v>-1</v>
          </cell>
          <cell r="AB20">
            <v>1810</v>
          </cell>
          <cell r="AC20">
            <v>14414</v>
          </cell>
          <cell r="AD20">
            <v>6.96353591160221</v>
          </cell>
          <cell r="AE20">
            <v>4787</v>
          </cell>
        </row>
        <row r="20">
          <cell r="AG20">
            <v>-1</v>
          </cell>
          <cell r="AH20">
            <v>6597</v>
          </cell>
          <cell r="AI20">
            <v>14414</v>
          </cell>
          <cell r="AJ20">
            <v>1.18493254509626</v>
          </cell>
          <cell r="AK20">
            <v>8454</v>
          </cell>
        </row>
        <row r="21">
          <cell r="C21" t="str">
            <v>兰溪市升美电器商行</v>
          </cell>
          <cell r="D21" t="str">
            <v>经销</v>
          </cell>
          <cell r="E21" t="str">
            <v>经销</v>
          </cell>
          <cell r="F21" t="str">
            <v>兰溪市</v>
          </cell>
          <cell r="G21" t="str">
            <v>兰溪市</v>
          </cell>
          <cell r="H21" t="str">
            <v>潘杏</v>
          </cell>
        </row>
        <row r="21">
          <cell r="L21" t="e">
            <v>#DIV/0!</v>
          </cell>
        </row>
        <row r="21">
          <cell r="O21" t="e">
            <v>#DIV/0!</v>
          </cell>
          <cell r="P21">
            <v>0</v>
          </cell>
          <cell r="Q21">
            <v>0</v>
          </cell>
          <cell r="R21" t="e">
            <v>#DIV/0!</v>
          </cell>
        </row>
        <row r="21">
          <cell r="U21" t="e">
            <v>#DIV/0!</v>
          </cell>
          <cell r="V21">
            <v>0</v>
          </cell>
          <cell r="W21">
            <v>0</v>
          </cell>
          <cell r="X21" t="e">
            <v>#DIV/0!</v>
          </cell>
        </row>
        <row r="21">
          <cell r="AA21" t="e">
            <v>#DIV/0!</v>
          </cell>
          <cell r="AB21">
            <v>0</v>
          </cell>
          <cell r="AC21">
            <v>0</v>
          </cell>
          <cell r="AD21" t="e">
            <v>#DIV/0!</v>
          </cell>
          <cell r="AE21">
            <v>30000</v>
          </cell>
        </row>
        <row r="21">
          <cell r="AG21">
            <v>-1</v>
          </cell>
          <cell r="AH21">
            <v>30000</v>
          </cell>
          <cell r="AI21">
            <v>0</v>
          </cell>
          <cell r="AJ21">
            <v>-1</v>
          </cell>
        </row>
        <row r="22">
          <cell r="C22" t="str">
            <v>杭州中博智能电器有限公司</v>
          </cell>
          <cell r="D22" t="str">
            <v>家装</v>
          </cell>
          <cell r="E22" t="str">
            <v>家装</v>
          </cell>
          <cell r="F22" t="str">
            <v>金华市区</v>
          </cell>
        </row>
        <row r="22">
          <cell r="H22" t="str">
            <v>潘杏</v>
          </cell>
        </row>
        <row r="22">
          <cell r="L22" t="e">
            <v>#DIV/0!</v>
          </cell>
        </row>
        <row r="22">
          <cell r="O22" t="e">
            <v>#DIV/0!</v>
          </cell>
          <cell r="P22">
            <v>0</v>
          </cell>
          <cell r="Q22">
            <v>0</v>
          </cell>
          <cell r="R22" t="e">
            <v>#DIV/0!</v>
          </cell>
        </row>
        <row r="22">
          <cell r="T22">
            <v>1732</v>
          </cell>
          <cell r="U22" t="e">
            <v>#DIV/0!</v>
          </cell>
          <cell r="V22">
            <v>0</v>
          </cell>
          <cell r="W22">
            <v>1732</v>
          </cell>
          <cell r="X22" t="e">
            <v>#DIV/0!</v>
          </cell>
        </row>
        <row r="22">
          <cell r="Z22">
            <v>2701</v>
          </cell>
          <cell r="AA22" t="e">
            <v>#DIV/0!</v>
          </cell>
          <cell r="AB22">
            <v>0</v>
          </cell>
          <cell r="AC22">
            <v>4433</v>
          </cell>
          <cell r="AD22" t="e">
            <v>#DIV/0!</v>
          </cell>
        </row>
        <row r="22">
          <cell r="AG22" t="e">
            <v>#DIV/0!</v>
          </cell>
          <cell r="AH22">
            <v>0</v>
          </cell>
          <cell r="AI22">
            <v>4433</v>
          </cell>
          <cell r="AJ22" t="e">
            <v>#DIV/0!</v>
          </cell>
        </row>
        <row r="23">
          <cell r="C23" t="str">
            <v>苏宁易购集团股份有限公司苏宁采购中心</v>
          </cell>
          <cell r="D23" t="str">
            <v>经销</v>
          </cell>
          <cell r="E23" t="str">
            <v>经销</v>
          </cell>
          <cell r="F23" t="str">
            <v>金华市区</v>
          </cell>
        </row>
        <row r="23">
          <cell r="H23" t="str">
            <v>潘杏</v>
          </cell>
        </row>
        <row r="23">
          <cell r="L23" t="e">
            <v>#DIV/0!</v>
          </cell>
        </row>
        <row r="23">
          <cell r="N23">
            <v>12400.68</v>
          </cell>
          <cell r="O23" t="e">
            <v>#DIV/0!</v>
          </cell>
          <cell r="P23">
            <v>0</v>
          </cell>
          <cell r="Q23">
            <v>12400.68</v>
          </cell>
          <cell r="R23" t="e">
            <v>#DIV/0!</v>
          </cell>
        </row>
        <row r="23">
          <cell r="T23">
            <v>3939.44</v>
          </cell>
          <cell r="U23" t="e">
            <v>#DIV/0!</v>
          </cell>
          <cell r="V23">
            <v>0</v>
          </cell>
          <cell r="W23">
            <v>16340.12</v>
          </cell>
          <cell r="X23" t="e">
            <v>#DIV/0!</v>
          </cell>
        </row>
        <row r="23">
          <cell r="AA23" t="e">
            <v>#DIV/0!</v>
          </cell>
          <cell r="AB23">
            <v>0</v>
          </cell>
          <cell r="AC23">
            <v>16340.12</v>
          </cell>
          <cell r="AD23" t="e">
            <v>#DIV/0!</v>
          </cell>
        </row>
        <row r="23">
          <cell r="AG23" t="e">
            <v>#DIV/0!</v>
          </cell>
          <cell r="AH23">
            <v>0</v>
          </cell>
          <cell r="AI23">
            <v>16340.12</v>
          </cell>
          <cell r="AJ23" t="e">
            <v>#DIV/0!</v>
          </cell>
        </row>
        <row r="24">
          <cell r="C24" t="str">
            <v>衢州万恒电器有限公司</v>
          </cell>
          <cell r="D24" t="str">
            <v>经销</v>
          </cell>
          <cell r="E24" t="str">
            <v>经销</v>
          </cell>
          <cell r="F24" t="str">
            <v>衢州市区</v>
          </cell>
          <cell r="G24" t="str">
            <v>柯城区</v>
          </cell>
          <cell r="H24" t="str">
            <v>江雯</v>
          </cell>
        </row>
        <row r="24">
          <cell r="K24">
            <v>5688</v>
          </cell>
          <cell r="L24" t="e">
            <v>#DIV/0!</v>
          </cell>
        </row>
        <row r="24">
          <cell r="O24" t="e">
            <v>#DIV/0!</v>
          </cell>
          <cell r="P24">
            <v>0</v>
          </cell>
          <cell r="Q24">
            <v>5688</v>
          </cell>
          <cell r="R24" t="e">
            <v>#DIV/0!</v>
          </cell>
        </row>
        <row r="24">
          <cell r="T24">
            <v>2300</v>
          </cell>
          <cell r="U24" t="e">
            <v>#DIV/0!</v>
          </cell>
          <cell r="V24">
            <v>0</v>
          </cell>
          <cell r="W24">
            <v>7988</v>
          </cell>
          <cell r="X24" t="e">
            <v>#DIV/0!</v>
          </cell>
        </row>
        <row r="24">
          <cell r="AA24" t="e">
            <v>#DIV/0!</v>
          </cell>
          <cell r="AB24">
            <v>0</v>
          </cell>
          <cell r="AC24">
            <v>7988</v>
          </cell>
          <cell r="AD24" t="e">
            <v>#DIV/0!</v>
          </cell>
        </row>
        <row r="24">
          <cell r="AG24" t="e">
            <v>#DIV/0!</v>
          </cell>
          <cell r="AH24">
            <v>0</v>
          </cell>
          <cell r="AI24">
            <v>7988</v>
          </cell>
          <cell r="AJ24" t="e">
            <v>#DIV/0!</v>
          </cell>
        </row>
        <row r="25">
          <cell r="C25" t="str">
            <v>金华市汇诚电器有限公司</v>
          </cell>
          <cell r="D25" t="str">
            <v>经销</v>
          </cell>
          <cell r="E25" t="str">
            <v>经销</v>
          </cell>
          <cell r="F25" t="str">
            <v>金华市区</v>
          </cell>
          <cell r="G25" t="str">
            <v>金东区</v>
          </cell>
          <cell r="H25" t="str">
            <v>潘杏</v>
          </cell>
        </row>
        <row r="25">
          <cell r="L25" t="e">
            <v>#DIV/0!</v>
          </cell>
        </row>
        <row r="25"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</row>
        <row r="25"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</row>
        <row r="25">
          <cell r="AA25" t="e">
            <v>#DIV/0!</v>
          </cell>
          <cell r="AB25">
            <v>0</v>
          </cell>
          <cell r="AC25">
            <v>0</v>
          </cell>
          <cell r="AD25" t="e">
            <v>#DIV/0!</v>
          </cell>
        </row>
        <row r="25">
          <cell r="AG25" t="e">
            <v>#DIV/0!</v>
          </cell>
          <cell r="AH25">
            <v>0</v>
          </cell>
          <cell r="AI25">
            <v>0</v>
          </cell>
          <cell r="AJ25" t="e">
            <v>#DIV/0!</v>
          </cell>
        </row>
        <row r="26">
          <cell r="C26" t="str">
            <v>兰溪市泽胜电器有限公司</v>
          </cell>
          <cell r="D26" t="str">
            <v>经销</v>
          </cell>
          <cell r="E26" t="str">
            <v>经销</v>
          </cell>
          <cell r="F26" t="str">
            <v>金华市区</v>
          </cell>
          <cell r="G26" t="str">
            <v>金东区</v>
          </cell>
          <cell r="H26" t="str">
            <v>潘杏</v>
          </cell>
        </row>
        <row r="26">
          <cell r="AF26">
            <v>10781</v>
          </cell>
          <cell r="AG26" t="e">
            <v>#DIV/0!</v>
          </cell>
          <cell r="AH26">
            <v>0</v>
          </cell>
          <cell r="AI26">
            <v>10781</v>
          </cell>
          <cell r="AJ26" t="e">
            <v>#DIV/0!</v>
          </cell>
        </row>
        <row r="26">
          <cell r="AL26">
            <v>11769</v>
          </cell>
        </row>
        <row r="27">
          <cell r="C27" t="str">
            <v>义乌国创空调设备有限公司</v>
          </cell>
          <cell r="D27" t="str">
            <v>经销</v>
          </cell>
          <cell r="E27" t="str">
            <v>经销</v>
          </cell>
          <cell r="F27" t="str">
            <v>义乌市</v>
          </cell>
        </row>
        <row r="27">
          <cell r="H27" t="str">
            <v>林青云</v>
          </cell>
          <cell r="I27">
            <v>10</v>
          </cell>
        </row>
        <row r="27">
          <cell r="AF27">
            <v>20000</v>
          </cell>
          <cell r="AG27" t="e">
            <v>#DIV/0!</v>
          </cell>
          <cell r="AH27">
            <v>0</v>
          </cell>
          <cell r="AI27">
            <v>20000</v>
          </cell>
          <cell r="AJ27" t="e">
            <v>#DIV/0!</v>
          </cell>
        </row>
        <row r="28">
          <cell r="C28" t="str">
            <v>永康立格暖通设备有限公司</v>
          </cell>
          <cell r="D28" t="str">
            <v>经销</v>
          </cell>
          <cell r="E28" t="str">
            <v>经销</v>
          </cell>
          <cell r="F28" t="str">
            <v>金华市区</v>
          </cell>
        </row>
        <row r="28">
          <cell r="H28" t="str">
            <v>潘杏</v>
          </cell>
          <cell r="I28">
            <v>10</v>
          </cell>
        </row>
        <row r="28">
          <cell r="K28">
            <v>4928</v>
          </cell>
          <cell r="L28" t="e">
            <v>#DIV/0!</v>
          </cell>
        </row>
        <row r="28">
          <cell r="O28" t="e">
            <v>#DIV/0!</v>
          </cell>
          <cell r="P28">
            <v>0</v>
          </cell>
          <cell r="Q28">
            <v>4928</v>
          </cell>
          <cell r="R28" t="e">
            <v>#DIV/0!</v>
          </cell>
        </row>
        <row r="28">
          <cell r="T28">
            <v>22339</v>
          </cell>
          <cell r="U28" t="e">
            <v>#DIV/0!</v>
          </cell>
          <cell r="V28">
            <v>0</v>
          </cell>
          <cell r="W28">
            <v>27267</v>
          </cell>
          <cell r="X28" t="e">
            <v>#DIV/0!</v>
          </cell>
        </row>
        <row r="28">
          <cell r="AA28" t="e">
            <v>#DIV/0!</v>
          </cell>
          <cell r="AB28">
            <v>0</v>
          </cell>
          <cell r="AC28">
            <v>27267</v>
          </cell>
          <cell r="AD28" t="e">
            <v>#DIV/0!</v>
          </cell>
        </row>
        <row r="28">
          <cell r="AG28" t="e">
            <v>#DIV/0!</v>
          </cell>
          <cell r="AH28">
            <v>0</v>
          </cell>
          <cell r="AI28">
            <v>27267</v>
          </cell>
          <cell r="AJ28" t="e">
            <v>#DIV/0!</v>
          </cell>
        </row>
        <row r="29">
          <cell r="C29" t="str">
            <v>金华一启家电有限公司</v>
          </cell>
          <cell r="D29" t="str">
            <v>经销</v>
          </cell>
          <cell r="E29" t="str">
            <v>经销</v>
          </cell>
          <cell r="F29" t="str">
            <v>金华市区</v>
          </cell>
        </row>
        <row r="29">
          <cell r="H29" t="str">
            <v>潘杏</v>
          </cell>
          <cell r="I29">
            <v>54</v>
          </cell>
        </row>
        <row r="29">
          <cell r="Z29">
            <v>150000</v>
          </cell>
          <cell r="AA29" t="e">
            <v>#DIV/0!</v>
          </cell>
          <cell r="AB29">
            <v>0</v>
          </cell>
          <cell r="AC29">
            <v>150000</v>
          </cell>
          <cell r="AD29" t="e">
            <v>#DIV/0!</v>
          </cell>
        </row>
        <row r="29">
          <cell r="AG29" t="e">
            <v>#DIV/0!</v>
          </cell>
          <cell r="AH29">
            <v>0</v>
          </cell>
          <cell r="AI29">
            <v>150000</v>
          </cell>
          <cell r="AJ29" t="e">
            <v>#DIV/0!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汇总1"/>
      <sheetName val="Sheet3"/>
      <sheetName val="杭州"/>
      <sheetName val="湖州"/>
      <sheetName val="嘉兴"/>
      <sheetName val="金衢"/>
      <sheetName val="绍兴"/>
      <sheetName val="台州"/>
      <sheetName val="温丽 "/>
      <sheetName val="电商 以旧换新"/>
      <sheetName val="Sheet1"/>
      <sheetName val="客户汇总1"/>
      <sheetName val="Sheet4"/>
      <sheetName val="Sheet2"/>
      <sheetName val="23年人口数据"/>
    </sheetNames>
    <sheetDataSet>
      <sheetData sheetId="0"/>
      <sheetData sheetId="1"/>
      <sheetData sheetId="2">
        <row r="1">
          <cell r="I1" t="str">
            <v>合同任务</v>
          </cell>
          <cell r="J1" t="str">
            <v>1月</v>
          </cell>
        </row>
        <row r="1">
          <cell r="L1" t="str">
            <v>同比</v>
          </cell>
          <cell r="M1" t="str">
            <v>2月</v>
          </cell>
        </row>
        <row r="1">
          <cell r="O1" t="str">
            <v>同比</v>
          </cell>
          <cell r="P1" t="str">
            <v>1-2月</v>
          </cell>
        </row>
        <row r="1">
          <cell r="R1" t="str">
            <v>同比</v>
          </cell>
          <cell r="S1" t="str">
            <v>3月</v>
          </cell>
        </row>
        <row r="1">
          <cell r="U1" t="str">
            <v>同比</v>
          </cell>
          <cell r="V1" t="str">
            <v>1-3月</v>
          </cell>
        </row>
        <row r="1">
          <cell r="X1" t="str">
            <v>同比</v>
          </cell>
          <cell r="Y1" t="str">
            <v>4月</v>
          </cell>
        </row>
        <row r="1">
          <cell r="AA1" t="str">
            <v>同比</v>
          </cell>
          <cell r="AB1" t="str">
            <v>1-4月</v>
          </cell>
        </row>
        <row r="1">
          <cell r="AD1" t="str">
            <v>同比</v>
          </cell>
          <cell r="AE1" t="str">
            <v>5月</v>
          </cell>
        </row>
        <row r="1">
          <cell r="AG1" t="str">
            <v>同比</v>
          </cell>
          <cell r="AH1" t="str">
            <v>1-5月</v>
          </cell>
        </row>
        <row r="1">
          <cell r="AJ1" t="str">
            <v>同比</v>
          </cell>
          <cell r="AK1" t="str">
            <v>6月</v>
          </cell>
        </row>
        <row r="1">
          <cell r="AM1" t="str">
            <v>同比</v>
          </cell>
          <cell r="AN1" t="str">
            <v>1-6月</v>
          </cell>
        </row>
        <row r="1">
          <cell r="AP1" t="str">
            <v>同比</v>
          </cell>
          <cell r="AQ1" t="str">
            <v>7月</v>
          </cell>
        </row>
        <row r="2">
          <cell r="C2" t="str">
            <v>门店</v>
          </cell>
          <cell r="D2" t="str">
            <v>渠道</v>
          </cell>
          <cell r="E2" t="str">
            <v>渠道细分</v>
          </cell>
          <cell r="F2" t="str">
            <v>大区</v>
          </cell>
          <cell r="G2" t="str">
            <v>市/区/县</v>
          </cell>
          <cell r="H2" t="str">
            <v>业务员</v>
          </cell>
        </row>
        <row r="2">
          <cell r="J2" t="str">
            <v>2024年</v>
          </cell>
          <cell r="K2" t="str">
            <v>2025年</v>
          </cell>
        </row>
        <row r="2">
          <cell r="M2" t="str">
            <v>2024年</v>
          </cell>
          <cell r="N2" t="str">
            <v>2025年</v>
          </cell>
        </row>
        <row r="2">
          <cell r="P2" t="str">
            <v>2024年</v>
          </cell>
          <cell r="Q2" t="str">
            <v>2025年</v>
          </cell>
        </row>
        <row r="2">
          <cell r="S2" t="str">
            <v>2024年</v>
          </cell>
          <cell r="T2" t="str">
            <v>2025年</v>
          </cell>
        </row>
        <row r="2">
          <cell r="V2" t="str">
            <v>2024年</v>
          </cell>
          <cell r="W2" t="str">
            <v>2025年</v>
          </cell>
        </row>
        <row r="2">
          <cell r="Y2" t="str">
            <v>2024年</v>
          </cell>
          <cell r="Z2" t="str">
            <v>2025年</v>
          </cell>
        </row>
        <row r="2">
          <cell r="AB2" t="str">
            <v>2024年</v>
          </cell>
          <cell r="AC2" t="str">
            <v>2025年</v>
          </cell>
        </row>
        <row r="2">
          <cell r="AE2" t="str">
            <v>2024年</v>
          </cell>
          <cell r="AF2" t="str">
            <v>2025年</v>
          </cell>
        </row>
        <row r="2">
          <cell r="AH2" t="str">
            <v>2024年</v>
          </cell>
          <cell r="AI2" t="str">
            <v>2025年</v>
          </cell>
        </row>
        <row r="2">
          <cell r="AK2" t="str">
            <v>2024年</v>
          </cell>
          <cell r="AL2" t="str">
            <v>2025年</v>
          </cell>
        </row>
        <row r="2">
          <cell r="AN2" t="str">
            <v>2024年</v>
          </cell>
          <cell r="AO2" t="str">
            <v>2025年</v>
          </cell>
        </row>
        <row r="2">
          <cell r="AQ2" t="str">
            <v>2024年</v>
          </cell>
          <cell r="AR2" t="str">
            <v>2025年</v>
          </cell>
        </row>
        <row r="3">
          <cell r="C3" t="str">
            <v>汇德隆</v>
          </cell>
          <cell r="D3" t="str">
            <v>TOP渠道</v>
          </cell>
          <cell r="E3" t="str">
            <v>TOP渠道</v>
          </cell>
          <cell r="F3" t="str">
            <v>萧山区</v>
          </cell>
          <cell r="G3" t="str">
            <v>萧山区</v>
          </cell>
          <cell r="H3" t="str">
            <v>董培培</v>
          </cell>
          <cell r="I3">
            <v>800</v>
          </cell>
          <cell r="J3">
            <v>100000</v>
          </cell>
          <cell r="K3">
            <v>180000</v>
          </cell>
          <cell r="L3">
            <v>0.8</v>
          </cell>
        </row>
        <row r="3">
          <cell r="N3">
            <v>90000</v>
          </cell>
          <cell r="O3" t="e">
            <v>#DIV/0!</v>
          </cell>
          <cell r="P3">
            <v>100000</v>
          </cell>
          <cell r="Q3">
            <v>270000</v>
          </cell>
          <cell r="R3">
            <v>1.7</v>
          </cell>
          <cell r="S3">
            <v>540000</v>
          </cell>
          <cell r="T3">
            <v>200000</v>
          </cell>
          <cell r="U3">
            <v>-0.62962962962963</v>
          </cell>
          <cell r="V3">
            <v>640000</v>
          </cell>
          <cell r="W3">
            <v>470000</v>
          </cell>
          <cell r="X3">
            <v>-0.265625</v>
          </cell>
          <cell r="Y3">
            <v>550000</v>
          </cell>
          <cell r="Z3">
            <v>692800</v>
          </cell>
          <cell r="AA3">
            <v>0.259636363636364</v>
          </cell>
          <cell r="AB3">
            <v>1190000</v>
          </cell>
          <cell r="AC3">
            <v>1162800</v>
          </cell>
          <cell r="AD3">
            <v>-0.0228571428571429</v>
          </cell>
          <cell r="AE3">
            <v>513000</v>
          </cell>
          <cell r="AF3">
            <v>480000</v>
          </cell>
          <cell r="AG3">
            <v>-0.064327485380117</v>
          </cell>
          <cell r="AH3">
            <v>1703000</v>
          </cell>
          <cell r="AI3">
            <v>1642800</v>
          </cell>
          <cell r="AJ3">
            <v>-0.0353493834409865</v>
          </cell>
          <cell r="AK3">
            <v>350000</v>
          </cell>
          <cell r="AL3">
            <v>180000</v>
          </cell>
          <cell r="AM3">
            <v>-0.485714285714286</v>
          </cell>
          <cell r="AN3">
            <v>2053000</v>
          </cell>
          <cell r="AO3">
            <v>1822800</v>
          </cell>
          <cell r="AP3">
            <v>-0.112128592303945</v>
          </cell>
          <cell r="AQ3">
            <v>200000</v>
          </cell>
          <cell r="AR3">
            <v>420000</v>
          </cell>
        </row>
        <row r="4">
          <cell r="C4" t="str">
            <v>萧山汇德隆净水</v>
          </cell>
          <cell r="D4" t="str">
            <v>TOP渠道</v>
          </cell>
          <cell r="E4" t="str">
            <v>TOP渠道</v>
          </cell>
          <cell r="F4" t="str">
            <v>萧山区</v>
          </cell>
          <cell r="G4" t="str">
            <v>萧山区</v>
          </cell>
          <cell r="H4" t="str">
            <v>董培培</v>
          </cell>
        </row>
        <row r="4">
          <cell r="J4">
            <v>109082.35</v>
          </cell>
          <cell r="K4">
            <v>85017.95</v>
          </cell>
          <cell r="L4">
            <v>-0.220607641841233</v>
          </cell>
        </row>
        <row r="4">
          <cell r="N4">
            <v>124698.5</v>
          </cell>
          <cell r="O4" t="e">
            <v>#DIV/0!</v>
          </cell>
          <cell r="P4">
            <v>109082.35</v>
          </cell>
          <cell r="Q4">
            <v>209716.45</v>
          </cell>
          <cell r="R4">
            <v>0.92255163186345</v>
          </cell>
          <cell r="S4">
            <v>98942.87</v>
          </cell>
        </row>
        <row r="4">
          <cell r="U4">
            <v>-1</v>
          </cell>
          <cell r="V4">
            <v>208025.22</v>
          </cell>
          <cell r="W4">
            <v>209716.45</v>
          </cell>
          <cell r="X4">
            <v>0.00812992770780396</v>
          </cell>
          <cell r="Y4">
            <v>96183.1</v>
          </cell>
          <cell r="Z4">
            <v>277266.5</v>
          </cell>
          <cell r="AA4">
            <v>1.88269456900433</v>
          </cell>
          <cell r="AB4">
            <v>304208.32</v>
          </cell>
          <cell r="AC4">
            <v>486982.95</v>
          </cell>
          <cell r="AD4">
            <v>0.600820615294151</v>
          </cell>
          <cell r="AE4">
            <v>108234.5</v>
          </cell>
          <cell r="AF4">
            <v>108269.25</v>
          </cell>
          <cell r="AG4">
            <v>0.00032106213822769</v>
          </cell>
          <cell r="AH4">
            <v>412442.82</v>
          </cell>
          <cell r="AI4">
            <v>595252.2</v>
          </cell>
          <cell r="AJ4">
            <v>0.443235695071622</v>
          </cell>
          <cell r="AK4">
            <v>329415.3</v>
          </cell>
          <cell r="AL4">
            <v>173565</v>
          </cell>
          <cell r="AM4">
            <v>-0.473111904638309</v>
          </cell>
          <cell r="AN4">
            <v>741858.12</v>
          </cell>
          <cell r="AO4">
            <v>768817.2</v>
          </cell>
          <cell r="AP4">
            <v>0.036339940580552</v>
          </cell>
          <cell r="AQ4">
            <v>83070</v>
          </cell>
          <cell r="AR4">
            <v>256417.7</v>
          </cell>
        </row>
        <row r="5">
          <cell r="C5" t="str">
            <v>杭州兴达京昀电器有限公司</v>
          </cell>
          <cell r="D5" t="str">
            <v>经销</v>
          </cell>
          <cell r="E5" t="str">
            <v>TOP渠道</v>
          </cell>
          <cell r="F5" t="str">
            <v>临平区</v>
          </cell>
          <cell r="G5" t="str">
            <v>临平区</v>
          </cell>
          <cell r="H5" t="str">
            <v>吴海林</v>
          </cell>
          <cell r="I5">
            <v>130</v>
          </cell>
        </row>
        <row r="5">
          <cell r="K5">
            <v>100000</v>
          </cell>
          <cell r="L5" t="e">
            <v>#DIV/0!</v>
          </cell>
        </row>
        <row r="5">
          <cell r="O5" t="e">
            <v>#DIV/0!</v>
          </cell>
          <cell r="P5">
            <v>0</v>
          </cell>
          <cell r="Q5">
            <v>100000</v>
          </cell>
          <cell r="R5" t="e">
            <v>#DIV/0!</v>
          </cell>
        </row>
        <row r="5">
          <cell r="T5">
            <v>60000</v>
          </cell>
          <cell r="U5" t="e">
            <v>#DIV/0!</v>
          </cell>
          <cell r="V5">
            <v>0</v>
          </cell>
          <cell r="W5">
            <v>160000</v>
          </cell>
          <cell r="X5" t="e">
            <v>#DIV/0!</v>
          </cell>
          <cell r="Y5">
            <v>100000</v>
          </cell>
          <cell r="Z5">
            <v>50000</v>
          </cell>
          <cell r="AA5">
            <v>-0.5</v>
          </cell>
          <cell r="AB5">
            <v>100000</v>
          </cell>
          <cell r="AC5">
            <v>210000</v>
          </cell>
          <cell r="AD5">
            <v>1.1</v>
          </cell>
          <cell r="AE5">
            <v>100000</v>
          </cell>
          <cell r="AF5">
            <v>60000</v>
          </cell>
          <cell r="AG5">
            <v>-0.4</v>
          </cell>
          <cell r="AH5">
            <v>200000</v>
          </cell>
          <cell r="AI5">
            <v>270000</v>
          </cell>
          <cell r="AJ5">
            <v>0.35</v>
          </cell>
          <cell r="AK5">
            <v>100000</v>
          </cell>
          <cell r="AL5">
            <v>120000</v>
          </cell>
          <cell r="AM5">
            <v>0.2</v>
          </cell>
          <cell r="AN5">
            <v>300000</v>
          </cell>
          <cell r="AO5">
            <v>390000</v>
          </cell>
          <cell r="AP5">
            <v>0.3</v>
          </cell>
          <cell r="AQ5">
            <v>100000</v>
          </cell>
          <cell r="AR5">
            <v>100000</v>
          </cell>
        </row>
        <row r="6">
          <cell r="C6" t="str">
            <v>杭州临安一栋电器有限公司</v>
          </cell>
          <cell r="D6" t="str">
            <v>加盟</v>
          </cell>
          <cell r="E6" t="str">
            <v>加盟</v>
          </cell>
          <cell r="F6" t="str">
            <v>临安区</v>
          </cell>
          <cell r="G6" t="str">
            <v>临安区</v>
          </cell>
          <cell r="H6" t="str">
            <v>吴海林</v>
          </cell>
          <cell r="I6">
            <v>190</v>
          </cell>
          <cell r="J6">
            <v>140000</v>
          </cell>
          <cell r="K6">
            <v>41700</v>
          </cell>
          <cell r="L6">
            <v>-0.702142857142857</v>
          </cell>
          <cell r="M6">
            <v>60000</v>
          </cell>
          <cell r="N6">
            <v>27875</v>
          </cell>
          <cell r="O6">
            <v>-0.535416666666667</v>
          </cell>
          <cell r="P6">
            <v>200000</v>
          </cell>
          <cell r="Q6">
            <v>69575</v>
          </cell>
          <cell r="R6">
            <v>-0.652125</v>
          </cell>
          <cell r="S6">
            <v>60000</v>
          </cell>
          <cell r="T6">
            <v>94786</v>
          </cell>
          <cell r="U6">
            <v>0.579766666666667</v>
          </cell>
          <cell r="V6">
            <v>260000</v>
          </cell>
          <cell r="W6">
            <v>164361</v>
          </cell>
          <cell r="X6">
            <v>-0.367842307692308</v>
          </cell>
          <cell r="Y6">
            <v>270219</v>
          </cell>
          <cell r="Z6">
            <v>67000</v>
          </cell>
          <cell r="AA6">
            <v>-0.752052964447356</v>
          </cell>
          <cell r="AB6">
            <v>530219</v>
          </cell>
          <cell r="AC6">
            <v>231361</v>
          </cell>
          <cell r="AD6">
            <v>-0.563650114386697</v>
          </cell>
          <cell r="AE6">
            <v>61019</v>
          </cell>
        </row>
        <row r="6">
          <cell r="AG6">
            <v>-1</v>
          </cell>
          <cell r="AH6">
            <v>591238</v>
          </cell>
          <cell r="AI6">
            <v>231361</v>
          </cell>
          <cell r="AJ6">
            <v>-0.60868381261015</v>
          </cell>
          <cell r="AK6">
            <v>501898</v>
          </cell>
          <cell r="AL6">
            <v>30253.74</v>
          </cell>
          <cell r="AM6">
            <v>-0.939721337801705</v>
          </cell>
          <cell r="AN6">
            <v>1093136</v>
          </cell>
          <cell r="AO6">
            <v>261614.74</v>
          </cell>
          <cell r="AP6">
            <v>-0.760675030371335</v>
          </cell>
        </row>
        <row r="6">
          <cell r="AR6">
            <v>40000</v>
          </cell>
        </row>
        <row r="7">
          <cell r="C7" t="str">
            <v>杭州宏信机电有限公司</v>
          </cell>
          <cell r="D7" t="str">
            <v>加盟</v>
          </cell>
          <cell r="E7" t="str">
            <v>加盟</v>
          </cell>
          <cell r="F7" t="str">
            <v>富阳区</v>
          </cell>
          <cell r="G7" t="str">
            <v>富阳区</v>
          </cell>
          <cell r="H7" t="str">
            <v>吴海林</v>
          </cell>
          <cell r="I7">
            <v>270</v>
          </cell>
          <cell r="J7">
            <v>215180.88</v>
          </cell>
          <cell r="K7">
            <v>10000</v>
          </cell>
          <cell r="L7">
            <v>-0.953527469540974</v>
          </cell>
          <cell r="M7">
            <v>146500</v>
          </cell>
          <cell r="N7">
            <v>83000</v>
          </cell>
          <cell r="O7">
            <v>-0.433447098976109</v>
          </cell>
          <cell r="P7">
            <v>361680.88</v>
          </cell>
          <cell r="Q7">
            <v>93000</v>
          </cell>
          <cell r="R7">
            <v>-0.7428672480558</v>
          </cell>
          <cell r="S7">
            <v>280836</v>
          </cell>
          <cell r="T7">
            <v>71000</v>
          </cell>
          <cell r="U7">
            <v>-0.74718340953439</v>
          </cell>
          <cell r="V7">
            <v>642516.88</v>
          </cell>
          <cell r="W7">
            <v>164000</v>
          </cell>
          <cell r="X7">
            <v>-0.744753787635898</v>
          </cell>
          <cell r="Y7">
            <v>201000</v>
          </cell>
          <cell r="Z7">
            <v>140000</v>
          </cell>
          <cell r="AA7">
            <v>-0.303482587064677</v>
          </cell>
          <cell r="AB7">
            <v>843516.88</v>
          </cell>
          <cell r="AC7">
            <v>304000</v>
          </cell>
          <cell r="AD7">
            <v>-0.639604129795245</v>
          </cell>
          <cell r="AE7">
            <v>182933</v>
          </cell>
          <cell r="AF7">
            <v>70000</v>
          </cell>
          <cell r="AG7">
            <v>-0.617346241520119</v>
          </cell>
          <cell r="AH7">
            <v>1026449.88</v>
          </cell>
          <cell r="AI7">
            <v>374000</v>
          </cell>
          <cell r="AJ7">
            <v>-0.635637348411011</v>
          </cell>
          <cell r="AK7">
            <v>205000</v>
          </cell>
          <cell r="AL7">
            <v>65840</v>
          </cell>
          <cell r="AM7">
            <v>-0.678829268292683</v>
          </cell>
          <cell r="AN7">
            <v>1231449.88</v>
          </cell>
          <cell r="AO7">
            <v>439840</v>
          </cell>
          <cell r="AP7">
            <v>-0.642827526200254</v>
          </cell>
          <cell r="AQ7">
            <v>157000</v>
          </cell>
          <cell r="AR7">
            <v>39000</v>
          </cell>
        </row>
        <row r="8">
          <cell r="C8" t="str">
            <v>桐庐佳尼特水处理设备有限公司</v>
          </cell>
          <cell r="D8" t="str">
            <v>加盟</v>
          </cell>
          <cell r="E8" t="str">
            <v>加盟</v>
          </cell>
          <cell r="F8" t="str">
            <v>桐庐县</v>
          </cell>
          <cell r="G8" t="str">
            <v>桐庐县</v>
          </cell>
          <cell r="H8" t="str">
            <v>吴海林</v>
          </cell>
          <cell r="I8">
            <v>190</v>
          </cell>
          <cell r="J8">
            <v>100000</v>
          </cell>
          <cell r="K8">
            <v>149040</v>
          </cell>
          <cell r="L8">
            <v>0.4904</v>
          </cell>
          <cell r="M8">
            <v>30000</v>
          </cell>
          <cell r="N8">
            <v>72140</v>
          </cell>
          <cell r="O8">
            <v>1.40466666666667</v>
          </cell>
          <cell r="P8">
            <v>130000</v>
          </cell>
          <cell r="Q8">
            <v>221180</v>
          </cell>
          <cell r="R8">
            <v>0.701384615384615</v>
          </cell>
          <cell r="S8">
            <v>70000</v>
          </cell>
          <cell r="T8">
            <v>160000</v>
          </cell>
          <cell r="U8">
            <v>1.28571428571429</v>
          </cell>
          <cell r="V8">
            <v>200000</v>
          </cell>
          <cell r="W8">
            <v>381180</v>
          </cell>
          <cell r="X8">
            <v>0.9059</v>
          </cell>
          <cell r="Y8">
            <v>90000</v>
          </cell>
          <cell r="Z8">
            <v>100000</v>
          </cell>
          <cell r="AA8">
            <v>0.111111111111111</v>
          </cell>
          <cell r="AB8">
            <v>290000</v>
          </cell>
          <cell r="AC8">
            <v>481180</v>
          </cell>
          <cell r="AD8">
            <v>0.659241379310345</v>
          </cell>
          <cell r="AE8">
            <v>65253</v>
          </cell>
          <cell r="AF8">
            <v>90000</v>
          </cell>
          <cell r="AG8">
            <v>0.379246931175578</v>
          </cell>
          <cell r="AH8">
            <v>355253</v>
          </cell>
          <cell r="AI8">
            <v>571180</v>
          </cell>
          <cell r="AJ8">
            <v>0.607811897436475</v>
          </cell>
          <cell r="AK8">
            <v>555000</v>
          </cell>
          <cell r="AL8">
            <v>275000</v>
          </cell>
          <cell r="AM8">
            <v>-0.504504504504504</v>
          </cell>
          <cell r="AN8">
            <v>910253</v>
          </cell>
          <cell r="AO8">
            <v>846180</v>
          </cell>
          <cell r="AP8">
            <v>-0.0703903200538751</v>
          </cell>
        </row>
        <row r="9">
          <cell r="C9" t="str">
            <v>杭州佳威信息科技有限公司</v>
          </cell>
          <cell r="D9" t="str">
            <v>经销</v>
          </cell>
          <cell r="E9" t="str">
            <v>经销</v>
          </cell>
          <cell r="F9" t="str">
            <v>建德市</v>
          </cell>
          <cell r="G9" t="str">
            <v>建德市</v>
          </cell>
          <cell r="H9" t="str">
            <v>吴海林</v>
          </cell>
        </row>
        <row r="9">
          <cell r="J9">
            <v>10000</v>
          </cell>
        </row>
        <row r="9">
          <cell r="L9">
            <v>-1</v>
          </cell>
        </row>
        <row r="9">
          <cell r="O9" t="e">
            <v>#DIV/0!</v>
          </cell>
          <cell r="P9">
            <v>10000</v>
          </cell>
          <cell r="Q9">
            <v>0</v>
          </cell>
          <cell r="R9">
            <v>-1</v>
          </cell>
          <cell r="S9">
            <v>10000</v>
          </cell>
        </row>
        <row r="9">
          <cell r="U9">
            <v>-1</v>
          </cell>
          <cell r="V9">
            <v>20000</v>
          </cell>
          <cell r="W9">
            <v>0</v>
          </cell>
          <cell r="X9">
            <v>-1</v>
          </cell>
          <cell r="Y9">
            <v>10000</v>
          </cell>
        </row>
        <row r="9">
          <cell r="AA9">
            <v>-1</v>
          </cell>
          <cell r="AB9">
            <v>30000</v>
          </cell>
          <cell r="AC9">
            <v>0</v>
          </cell>
          <cell r="AD9">
            <v>-1</v>
          </cell>
        </row>
        <row r="9">
          <cell r="AG9" t="e">
            <v>#DIV/0!</v>
          </cell>
          <cell r="AH9">
            <v>30000</v>
          </cell>
          <cell r="AI9">
            <v>0</v>
          </cell>
          <cell r="AJ9">
            <v>-1</v>
          </cell>
        </row>
        <row r="9">
          <cell r="AM9" t="e">
            <v>#DIV/0!</v>
          </cell>
          <cell r="AN9">
            <v>30000</v>
          </cell>
          <cell r="AO9">
            <v>0</v>
          </cell>
          <cell r="AP9">
            <v>-1</v>
          </cell>
        </row>
        <row r="10">
          <cell r="C10" t="str">
            <v>杭州京品满屋家电有限公司</v>
          </cell>
          <cell r="D10" t="str">
            <v>经销</v>
          </cell>
          <cell r="E10" t="str">
            <v>经销</v>
          </cell>
          <cell r="F10" t="str">
            <v>淳安县</v>
          </cell>
          <cell r="G10" t="str">
            <v>淳安县</v>
          </cell>
          <cell r="H10" t="str">
            <v>吴海林</v>
          </cell>
          <cell r="I10">
            <v>60</v>
          </cell>
          <cell r="J10">
            <v>10980</v>
          </cell>
          <cell r="K10">
            <v>1887</v>
          </cell>
          <cell r="L10">
            <v>-0.828142076502732</v>
          </cell>
          <cell r="M10">
            <v>10390</v>
          </cell>
        </row>
        <row r="10">
          <cell r="O10">
            <v>-1</v>
          </cell>
          <cell r="P10">
            <v>21370</v>
          </cell>
          <cell r="Q10">
            <v>1887</v>
          </cell>
          <cell r="R10">
            <v>-0.911698642957417</v>
          </cell>
          <cell r="S10">
            <v>20613</v>
          </cell>
          <cell r="T10">
            <v>21472</v>
          </cell>
          <cell r="U10">
            <v>0.0416727308009508</v>
          </cell>
          <cell r="V10">
            <v>41983</v>
          </cell>
          <cell r="W10">
            <v>23359</v>
          </cell>
          <cell r="X10">
            <v>-0.443608127099064</v>
          </cell>
          <cell r="Y10">
            <v>14343</v>
          </cell>
          <cell r="Z10">
            <v>24592</v>
          </cell>
          <cell r="AA10">
            <v>0.71456459597016</v>
          </cell>
          <cell r="AB10">
            <v>56326</v>
          </cell>
          <cell r="AC10">
            <v>47951</v>
          </cell>
          <cell r="AD10">
            <v>-0.148687994886908</v>
          </cell>
          <cell r="AE10">
            <v>10168</v>
          </cell>
          <cell r="AF10">
            <v>35823</v>
          </cell>
          <cell r="AG10">
            <v>2.52311172305271</v>
          </cell>
          <cell r="AH10">
            <v>66494</v>
          </cell>
          <cell r="AI10">
            <v>83774</v>
          </cell>
          <cell r="AJ10">
            <v>0.259873071254549</v>
          </cell>
          <cell r="AK10">
            <v>6124</v>
          </cell>
          <cell r="AL10">
            <v>40090</v>
          </cell>
          <cell r="AM10">
            <v>5.54637491835402</v>
          </cell>
          <cell r="AN10">
            <v>72618</v>
          </cell>
          <cell r="AO10">
            <v>123864</v>
          </cell>
          <cell r="AP10">
            <v>0.705692803437164</v>
          </cell>
        </row>
        <row r="10">
          <cell r="AR10">
            <v>5841</v>
          </cell>
        </row>
        <row r="11">
          <cell r="C11" t="str">
            <v>杭州司亿博环境设备有限公司</v>
          </cell>
          <cell r="D11" t="str">
            <v>经销</v>
          </cell>
          <cell r="E11" t="str">
            <v>经销</v>
          </cell>
          <cell r="F11" t="str">
            <v>杭州市区</v>
          </cell>
          <cell r="G11" t="str">
            <v>钱塘区</v>
          </cell>
          <cell r="H11" t="str">
            <v>董培培</v>
          </cell>
          <cell r="I11">
            <v>10</v>
          </cell>
          <cell r="J11">
            <v>11748</v>
          </cell>
        </row>
        <row r="11">
          <cell r="L11">
            <v>-1</v>
          </cell>
          <cell r="M11">
            <v>16445</v>
          </cell>
          <cell r="N11">
            <v>2274</v>
          </cell>
          <cell r="O11">
            <v>-0.861720887807844</v>
          </cell>
          <cell r="P11">
            <v>28193</v>
          </cell>
          <cell r="Q11">
            <v>2274</v>
          </cell>
          <cell r="R11">
            <v>-0.919341680559004</v>
          </cell>
          <cell r="S11">
            <v>800</v>
          </cell>
        </row>
        <row r="11">
          <cell r="U11">
            <v>-1</v>
          </cell>
          <cell r="V11">
            <v>28993</v>
          </cell>
          <cell r="W11">
            <v>2274</v>
          </cell>
          <cell r="X11">
            <v>-0.921567274859449</v>
          </cell>
        </row>
        <row r="11">
          <cell r="Z11">
            <v>2217</v>
          </cell>
          <cell r="AA11" t="e">
            <v>#DIV/0!</v>
          </cell>
          <cell r="AB11">
            <v>28993</v>
          </cell>
          <cell r="AC11">
            <v>4491</v>
          </cell>
          <cell r="AD11">
            <v>-0.84510054151002</v>
          </cell>
          <cell r="AE11">
            <v>19214</v>
          </cell>
          <cell r="AF11">
            <v>13140</v>
          </cell>
          <cell r="AG11">
            <v>-0.316123659831373</v>
          </cell>
          <cell r="AH11">
            <v>48207</v>
          </cell>
          <cell r="AI11">
            <v>17631</v>
          </cell>
          <cell r="AJ11">
            <v>-0.634264733337482</v>
          </cell>
        </row>
        <row r="11">
          <cell r="AM11" t="e">
            <v>#DIV/0!</v>
          </cell>
          <cell r="AN11">
            <v>48207</v>
          </cell>
          <cell r="AO11">
            <v>17631</v>
          </cell>
          <cell r="AP11">
            <v>-0.634264733337482</v>
          </cell>
          <cell r="AQ11">
            <v>4009</v>
          </cell>
          <cell r="AR11">
            <v>3043</v>
          </cell>
        </row>
        <row r="12">
          <cell r="C12" t="str">
            <v>杭州五星</v>
          </cell>
          <cell r="D12" t="str">
            <v>五星</v>
          </cell>
          <cell r="E12" t="str">
            <v>五星</v>
          </cell>
          <cell r="F12" t="str">
            <v>杭州市区</v>
          </cell>
          <cell r="G12" t="str">
            <v>市区</v>
          </cell>
          <cell r="H12" t="str">
            <v>李燕霞</v>
          </cell>
          <cell r="I12">
            <v>560</v>
          </cell>
          <cell r="J12">
            <v>-55370.32</v>
          </cell>
          <cell r="K12">
            <v>513987.69</v>
          </cell>
          <cell r="L12">
            <v>-10.282729267232</v>
          </cell>
        </row>
        <row r="12">
          <cell r="N12">
            <v>456944.83</v>
          </cell>
          <cell r="O12" t="e">
            <v>#DIV/0!</v>
          </cell>
          <cell r="P12">
            <v>-55370.32</v>
          </cell>
          <cell r="Q12">
            <v>970932.52</v>
          </cell>
          <cell r="R12">
            <v>-18.5352520989584</v>
          </cell>
        </row>
        <row r="12">
          <cell r="T12">
            <v>639327.2</v>
          </cell>
          <cell r="U12" t="e">
            <v>#DIV/0!</v>
          </cell>
          <cell r="V12">
            <v>-55370.32</v>
          </cell>
          <cell r="W12">
            <v>1610259.72</v>
          </cell>
          <cell r="X12">
            <v>-30.0816401277796</v>
          </cell>
          <cell r="Y12">
            <v>442229.3</v>
          </cell>
          <cell r="Z12">
            <v>380375.22</v>
          </cell>
          <cell r="AA12">
            <v>-0.139868796572276</v>
          </cell>
          <cell r="AB12">
            <v>386858.98</v>
          </cell>
          <cell r="AC12">
            <v>1990634.94</v>
          </cell>
          <cell r="AD12">
            <v>4.1456345668905</v>
          </cell>
          <cell r="AE12">
            <v>309190.52</v>
          </cell>
          <cell r="AF12">
            <v>403454.03</v>
          </cell>
          <cell r="AG12">
            <v>0.304871928156141</v>
          </cell>
          <cell r="AH12">
            <v>696049.5</v>
          </cell>
          <cell r="AI12">
            <v>2394088.97</v>
          </cell>
          <cell r="AJ12">
            <v>2.43953838053184</v>
          </cell>
          <cell r="AK12">
            <v>319675.55</v>
          </cell>
          <cell r="AL12">
            <v>521128.98</v>
          </cell>
          <cell r="AM12">
            <v>0.63018091311644</v>
          </cell>
          <cell r="AN12">
            <v>1015725.05</v>
          </cell>
          <cell r="AO12">
            <v>2915217.95</v>
          </cell>
          <cell r="AP12">
            <v>1.870085708726</v>
          </cell>
          <cell r="AQ12">
            <v>528891.84</v>
          </cell>
          <cell r="AR12">
            <v>152639.86</v>
          </cell>
        </row>
        <row r="13">
          <cell r="C13" t="str">
            <v>杭州临平江南家居专卖店</v>
          </cell>
          <cell r="D13" t="str">
            <v>直营</v>
          </cell>
          <cell r="E13" t="str">
            <v>直营</v>
          </cell>
          <cell r="F13" t="str">
            <v>临平区</v>
          </cell>
          <cell r="G13" t="str">
            <v>临平区</v>
          </cell>
          <cell r="H13" t="str">
            <v>专卖店</v>
          </cell>
          <cell r="I13">
            <v>180</v>
          </cell>
          <cell r="J13">
            <v>103977</v>
          </cell>
          <cell r="K13">
            <v>22066</v>
          </cell>
          <cell r="L13">
            <v>-0.787779989805438</v>
          </cell>
          <cell r="M13">
            <v>19500</v>
          </cell>
          <cell r="N13">
            <v>49149</v>
          </cell>
          <cell r="O13">
            <v>1.52046153846154</v>
          </cell>
          <cell r="P13">
            <v>123477</v>
          </cell>
          <cell r="Q13">
            <v>71215</v>
          </cell>
          <cell r="R13">
            <v>-0.42325291349806</v>
          </cell>
          <cell r="S13">
            <v>113494</v>
          </cell>
          <cell r="T13">
            <v>91366</v>
          </cell>
          <cell r="U13">
            <v>-0.194970659241898</v>
          </cell>
          <cell r="V13">
            <v>236971</v>
          </cell>
          <cell r="W13">
            <v>162581</v>
          </cell>
          <cell r="X13">
            <v>-0.313920268724865</v>
          </cell>
          <cell r="Y13">
            <v>109059</v>
          </cell>
          <cell r="Z13">
            <v>67817</v>
          </cell>
          <cell r="AA13">
            <v>-0.378162279133313</v>
          </cell>
          <cell r="AB13">
            <v>346030</v>
          </cell>
          <cell r="AC13">
            <v>230398</v>
          </cell>
          <cell r="AD13">
            <v>-0.334167557726209</v>
          </cell>
          <cell r="AE13">
            <v>111723</v>
          </cell>
          <cell r="AF13">
            <v>71689</v>
          </cell>
          <cell r="AG13">
            <v>-0.3583326620302</v>
          </cell>
          <cell r="AH13">
            <v>457753</v>
          </cell>
          <cell r="AI13">
            <v>302087</v>
          </cell>
          <cell r="AJ13">
            <v>-0.340065493836196</v>
          </cell>
          <cell r="AK13">
            <v>173284</v>
          </cell>
          <cell r="AL13">
            <v>123804</v>
          </cell>
          <cell r="AM13">
            <v>-0.285542808337758</v>
          </cell>
          <cell r="AN13">
            <v>631037</v>
          </cell>
          <cell r="AO13">
            <v>425891</v>
          </cell>
          <cell r="AP13">
            <v>-0.325093457277466</v>
          </cell>
          <cell r="AQ13">
            <v>72134</v>
          </cell>
          <cell r="AR13">
            <v>47933</v>
          </cell>
        </row>
        <row r="14">
          <cell r="C14" t="str">
            <v>杭州华泓电器有限公司</v>
          </cell>
          <cell r="D14" t="str">
            <v>经销</v>
          </cell>
          <cell r="E14" t="str">
            <v>经销</v>
          </cell>
          <cell r="F14" t="str">
            <v>萧山区</v>
          </cell>
          <cell r="G14" t="str">
            <v>萧山区</v>
          </cell>
          <cell r="H14" t="str">
            <v>董培培</v>
          </cell>
        </row>
        <row r="14">
          <cell r="J14">
            <v>800</v>
          </cell>
        </row>
        <row r="14">
          <cell r="L14">
            <v>-1</v>
          </cell>
        </row>
        <row r="14">
          <cell r="O14" t="e">
            <v>#DIV/0!</v>
          </cell>
          <cell r="P14">
            <v>800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800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800</v>
          </cell>
          <cell r="AC14">
            <v>0</v>
          </cell>
          <cell r="AD14">
            <v>-1</v>
          </cell>
        </row>
        <row r="14">
          <cell r="AG14" t="e">
            <v>#DIV/0!</v>
          </cell>
          <cell r="AH14">
            <v>800</v>
          </cell>
          <cell r="AI14">
            <v>0</v>
          </cell>
          <cell r="AJ14">
            <v>-1</v>
          </cell>
          <cell r="AK14">
            <v>6071</v>
          </cell>
        </row>
        <row r="14">
          <cell r="AM14">
            <v>-1</v>
          </cell>
          <cell r="AN14">
            <v>6871</v>
          </cell>
          <cell r="AO14">
            <v>0</v>
          </cell>
          <cell r="AP14">
            <v>-1</v>
          </cell>
        </row>
        <row r="14">
          <cell r="AR14">
            <v>4498</v>
          </cell>
        </row>
        <row r="15">
          <cell r="C15" t="str">
            <v>杭州金蝶零售</v>
          </cell>
          <cell r="D15" t="str">
            <v>零售</v>
          </cell>
          <cell r="E15" t="str">
            <v>零售</v>
          </cell>
          <cell r="F15" t="str">
            <v>杭州市区</v>
          </cell>
          <cell r="G15" t="str">
            <v>市区</v>
          </cell>
          <cell r="H15" t="str">
            <v>杭州零售</v>
          </cell>
        </row>
        <row r="15">
          <cell r="J15">
            <v>111956.28</v>
          </cell>
          <cell r="K15">
            <v>76873.34</v>
          </cell>
          <cell r="L15">
            <v>-0.313362859144659</v>
          </cell>
          <cell r="M15">
            <v>43919</v>
          </cell>
          <cell r="N15">
            <v>43284.9</v>
          </cell>
          <cell r="O15">
            <v>-0.014437942576106</v>
          </cell>
          <cell r="P15">
            <v>155875.28</v>
          </cell>
          <cell r="Q15">
            <v>120158.24</v>
          </cell>
          <cell r="R15">
            <v>-0.229138577970798</v>
          </cell>
          <cell r="S15">
            <v>80405.08</v>
          </cell>
          <cell r="T15">
            <v>119148.66</v>
          </cell>
          <cell r="U15">
            <v>0.481854877826127</v>
          </cell>
          <cell r="V15">
            <v>236280.36</v>
          </cell>
          <cell r="W15">
            <v>239306.9</v>
          </cell>
          <cell r="X15">
            <v>0.012809105251067</v>
          </cell>
          <cell r="Y15">
            <v>82108.64</v>
          </cell>
          <cell r="Z15">
            <v>310195.38</v>
          </cell>
          <cell r="AA15">
            <v>2.77786527702809</v>
          </cell>
          <cell r="AB15">
            <v>318389</v>
          </cell>
          <cell r="AC15">
            <v>549502.28</v>
          </cell>
          <cell r="AD15">
            <v>0.725883369086244</v>
          </cell>
          <cell r="AE15">
            <v>209042.8</v>
          </cell>
          <cell r="AF15">
            <v>36281.12</v>
          </cell>
          <cell r="AG15">
            <v>-0.826441666491264</v>
          </cell>
          <cell r="AH15">
            <v>527431.8</v>
          </cell>
          <cell r="AI15">
            <v>585783.4</v>
          </cell>
          <cell r="AJ15">
            <v>0.110633450618639</v>
          </cell>
          <cell r="AK15">
            <v>78620.76</v>
          </cell>
          <cell r="AL15">
            <v>30684.4</v>
          </cell>
          <cell r="AM15">
            <v>-0.609716314113473</v>
          </cell>
          <cell r="AN15">
            <v>606052.56</v>
          </cell>
          <cell r="AO15">
            <v>616467.8</v>
          </cell>
          <cell r="AP15">
            <v>0.0171853741530272</v>
          </cell>
          <cell r="AQ15">
            <v>153937.2</v>
          </cell>
          <cell r="AR15">
            <v>271358.5</v>
          </cell>
        </row>
        <row r="16">
          <cell r="C16" t="str">
            <v>杭州金蝶零售（李燕霞）</v>
          </cell>
          <cell r="D16" t="str">
            <v>零售</v>
          </cell>
          <cell r="E16" t="str">
            <v>零售</v>
          </cell>
          <cell r="F16" t="str">
            <v>杭州市区</v>
          </cell>
          <cell r="G16" t="str">
            <v>市区</v>
          </cell>
          <cell r="H16" t="str">
            <v>李燕霞</v>
          </cell>
        </row>
        <row r="16">
          <cell r="L16" t="e">
            <v>#DIV/0!</v>
          </cell>
        </row>
        <row r="16">
          <cell r="N16">
            <v>6125</v>
          </cell>
          <cell r="O16" t="e">
            <v>#DIV/0!</v>
          </cell>
          <cell r="P16">
            <v>0</v>
          </cell>
          <cell r="Q16">
            <v>6125</v>
          </cell>
          <cell r="R16" t="e">
            <v>#DIV/0!</v>
          </cell>
        </row>
        <row r="16">
          <cell r="U16" t="e">
            <v>#DIV/0!</v>
          </cell>
          <cell r="V16">
            <v>0</v>
          </cell>
          <cell r="W16">
            <v>6125</v>
          </cell>
          <cell r="X16" t="e">
            <v>#DIV/0!</v>
          </cell>
        </row>
        <row r="16">
          <cell r="AA16" t="e">
            <v>#DIV/0!</v>
          </cell>
          <cell r="AB16">
            <v>0</v>
          </cell>
          <cell r="AC16">
            <v>6125</v>
          </cell>
          <cell r="AD16" t="e">
            <v>#DIV/0!</v>
          </cell>
          <cell r="AE16">
            <v>3636</v>
          </cell>
        </row>
        <row r="16">
          <cell r="AG16">
            <v>-1</v>
          </cell>
          <cell r="AH16">
            <v>3636</v>
          </cell>
          <cell r="AI16">
            <v>6125</v>
          </cell>
          <cell r="AJ16">
            <v>0.684543454345435</v>
          </cell>
          <cell r="AK16">
            <v>25759</v>
          </cell>
        </row>
        <row r="16">
          <cell r="AM16">
            <v>-1</v>
          </cell>
          <cell r="AN16">
            <v>29395</v>
          </cell>
          <cell r="AO16">
            <v>6125</v>
          </cell>
          <cell r="AP16">
            <v>-0.791631229800987</v>
          </cell>
        </row>
        <row r="17">
          <cell r="C17" t="str">
            <v>萧山世纪龙建材专卖店</v>
          </cell>
          <cell r="D17" t="str">
            <v>直营</v>
          </cell>
          <cell r="E17" t="str">
            <v>直营</v>
          </cell>
          <cell r="F17" t="str">
            <v>萧山区</v>
          </cell>
          <cell r="G17" t="str">
            <v>萧山区</v>
          </cell>
          <cell r="H17" t="str">
            <v>专卖店</v>
          </cell>
        </row>
        <row r="17">
          <cell r="J17">
            <v>52801</v>
          </cell>
        </row>
        <row r="17">
          <cell r="L17">
            <v>-1</v>
          </cell>
        </row>
        <row r="17">
          <cell r="O17" t="e">
            <v>#DIV/0!</v>
          </cell>
          <cell r="P17">
            <v>52801</v>
          </cell>
          <cell r="Q17">
            <v>0</v>
          </cell>
          <cell r="R17">
            <v>-1</v>
          </cell>
        </row>
        <row r="17">
          <cell r="U17" t="e">
            <v>#DIV/0!</v>
          </cell>
          <cell r="V17">
            <v>52801</v>
          </cell>
          <cell r="W17">
            <v>0</v>
          </cell>
          <cell r="X17">
            <v>-1</v>
          </cell>
        </row>
        <row r="17">
          <cell r="AA17" t="e">
            <v>#DIV/0!</v>
          </cell>
          <cell r="AB17">
            <v>52801</v>
          </cell>
          <cell r="AC17">
            <v>0</v>
          </cell>
          <cell r="AD17">
            <v>-1</v>
          </cell>
        </row>
        <row r="17">
          <cell r="AG17" t="e">
            <v>#DIV/0!</v>
          </cell>
          <cell r="AH17">
            <v>52801</v>
          </cell>
          <cell r="AI17">
            <v>0</v>
          </cell>
          <cell r="AJ17">
            <v>-1</v>
          </cell>
        </row>
        <row r="17">
          <cell r="AM17" t="e">
            <v>#DIV/0!</v>
          </cell>
          <cell r="AN17">
            <v>52801</v>
          </cell>
          <cell r="AO17">
            <v>0</v>
          </cell>
          <cell r="AP17">
            <v>-1</v>
          </cell>
        </row>
        <row r="18">
          <cell r="C18" t="str">
            <v>（新）古墩新时代专卖店</v>
          </cell>
          <cell r="D18" t="str">
            <v>直营</v>
          </cell>
          <cell r="E18" t="str">
            <v>直营</v>
          </cell>
          <cell r="F18" t="str">
            <v>杭州市区</v>
          </cell>
          <cell r="G18" t="str">
            <v>西湖风景名胜区</v>
          </cell>
          <cell r="H18" t="str">
            <v>专卖店</v>
          </cell>
        </row>
        <row r="18">
          <cell r="J18">
            <v>-16596</v>
          </cell>
        </row>
        <row r="18">
          <cell r="L18">
            <v>-1</v>
          </cell>
        </row>
        <row r="18">
          <cell r="O18" t="e">
            <v>#DIV/0!</v>
          </cell>
          <cell r="P18">
            <v>-16596</v>
          </cell>
          <cell r="Q18">
            <v>0</v>
          </cell>
          <cell r="R18">
            <v>-1</v>
          </cell>
        </row>
        <row r="18">
          <cell r="U18" t="e">
            <v>#DIV/0!</v>
          </cell>
          <cell r="V18">
            <v>-16596</v>
          </cell>
          <cell r="W18">
            <v>0</v>
          </cell>
          <cell r="X18">
            <v>-1</v>
          </cell>
        </row>
        <row r="18">
          <cell r="AA18" t="e">
            <v>#DIV/0!</v>
          </cell>
          <cell r="AB18">
            <v>-16596</v>
          </cell>
          <cell r="AC18">
            <v>0</v>
          </cell>
          <cell r="AD18">
            <v>-1</v>
          </cell>
        </row>
        <row r="18">
          <cell r="AG18" t="e">
            <v>#DIV/0!</v>
          </cell>
          <cell r="AH18">
            <v>-16596</v>
          </cell>
          <cell r="AI18">
            <v>0</v>
          </cell>
          <cell r="AJ18">
            <v>-1</v>
          </cell>
        </row>
        <row r="18">
          <cell r="AM18" t="e">
            <v>#DIV/0!</v>
          </cell>
          <cell r="AN18">
            <v>-16596</v>
          </cell>
          <cell r="AO18">
            <v>0</v>
          </cell>
          <cell r="AP18">
            <v>-1</v>
          </cell>
          <cell r="AQ18">
            <v>500</v>
          </cell>
        </row>
        <row r="19">
          <cell r="C19" t="str">
            <v>（新）宏丰专卖店</v>
          </cell>
          <cell r="D19" t="str">
            <v>直营</v>
          </cell>
          <cell r="E19" t="str">
            <v>直营</v>
          </cell>
          <cell r="F19" t="str">
            <v>杭州市区</v>
          </cell>
          <cell r="G19" t="str">
            <v>市区</v>
          </cell>
          <cell r="H19" t="str">
            <v>专卖店</v>
          </cell>
        </row>
        <row r="19">
          <cell r="L19" t="e">
            <v>#DIV/0!</v>
          </cell>
          <cell r="M19">
            <v>-3358</v>
          </cell>
        </row>
        <row r="19">
          <cell r="O19">
            <v>-1</v>
          </cell>
          <cell r="P19">
            <v>-3358</v>
          </cell>
          <cell r="Q19">
            <v>0</v>
          </cell>
          <cell r="R19">
            <v>-1</v>
          </cell>
        </row>
        <row r="19">
          <cell r="U19" t="e">
            <v>#DIV/0!</v>
          </cell>
          <cell r="V19">
            <v>-3358</v>
          </cell>
          <cell r="W19">
            <v>0</v>
          </cell>
          <cell r="X19">
            <v>-1</v>
          </cell>
        </row>
        <row r="19">
          <cell r="AA19" t="e">
            <v>#DIV/0!</v>
          </cell>
          <cell r="AB19">
            <v>-3358</v>
          </cell>
          <cell r="AC19">
            <v>0</v>
          </cell>
          <cell r="AD19">
            <v>-1</v>
          </cell>
        </row>
        <row r="19">
          <cell r="AG19" t="e">
            <v>#DIV/0!</v>
          </cell>
          <cell r="AH19">
            <v>-3358</v>
          </cell>
          <cell r="AI19">
            <v>0</v>
          </cell>
          <cell r="AJ19">
            <v>-1</v>
          </cell>
        </row>
        <row r="19">
          <cell r="AM19" t="e">
            <v>#DIV/0!</v>
          </cell>
          <cell r="AN19">
            <v>-3358</v>
          </cell>
          <cell r="AO19">
            <v>0</v>
          </cell>
          <cell r="AP19">
            <v>-1</v>
          </cell>
        </row>
        <row r="20">
          <cell r="C20" t="str">
            <v>杭州月星家居超级旗舰店</v>
          </cell>
          <cell r="D20" t="str">
            <v>直营</v>
          </cell>
          <cell r="E20" t="str">
            <v>直营</v>
          </cell>
          <cell r="F20" t="str">
            <v>杭州市区</v>
          </cell>
          <cell r="G20" t="str">
            <v>拱墅区</v>
          </cell>
          <cell r="H20" t="str">
            <v>专卖店</v>
          </cell>
        </row>
        <row r="20">
          <cell r="L20" t="e">
            <v>#DIV/0!</v>
          </cell>
        </row>
        <row r="20">
          <cell r="O20" t="e">
            <v>#DIV/0!</v>
          </cell>
          <cell r="P20">
            <v>0</v>
          </cell>
          <cell r="Q20">
            <v>0</v>
          </cell>
          <cell r="R20" t="e">
            <v>#DIV/0!</v>
          </cell>
        </row>
        <row r="20">
          <cell r="U20" t="e">
            <v>#DIV/0!</v>
          </cell>
          <cell r="V20">
            <v>0</v>
          </cell>
          <cell r="W20">
            <v>0</v>
          </cell>
          <cell r="X20" t="e">
            <v>#DIV/0!</v>
          </cell>
        </row>
        <row r="20">
          <cell r="AA20" t="e">
            <v>#DIV/0!</v>
          </cell>
          <cell r="AB20">
            <v>0</v>
          </cell>
          <cell r="AC20">
            <v>0</v>
          </cell>
          <cell r="AD20" t="e">
            <v>#DIV/0!</v>
          </cell>
        </row>
        <row r="20">
          <cell r="AG20" t="e">
            <v>#DIV/0!</v>
          </cell>
          <cell r="AH20">
            <v>0</v>
          </cell>
          <cell r="AI20">
            <v>0</v>
          </cell>
          <cell r="AJ20" t="e">
            <v>#DIV/0!</v>
          </cell>
        </row>
        <row r="20">
          <cell r="AM20" t="e">
            <v>#DIV/0!</v>
          </cell>
          <cell r="AN20">
            <v>0</v>
          </cell>
          <cell r="AO20">
            <v>0</v>
          </cell>
          <cell r="AP20" t="e">
            <v>#DIV/0!</v>
          </cell>
        </row>
        <row r="21">
          <cell r="C21" t="str">
            <v>杭州恒大建材超级旗舰店</v>
          </cell>
          <cell r="D21" t="str">
            <v>直营</v>
          </cell>
          <cell r="E21" t="str">
            <v>直营</v>
          </cell>
          <cell r="F21" t="str">
            <v>杭州市区</v>
          </cell>
          <cell r="G21" t="str">
            <v>钱塘区</v>
          </cell>
          <cell r="H21" t="str">
            <v>专卖店</v>
          </cell>
          <cell r="I21">
            <v>230</v>
          </cell>
          <cell r="J21">
            <v>164507</v>
          </cell>
          <cell r="K21">
            <v>108230.5</v>
          </cell>
          <cell r="L21">
            <v>-0.34209182587975</v>
          </cell>
          <cell r="M21">
            <v>107411</v>
          </cell>
          <cell r="N21">
            <v>59256.4</v>
          </cell>
          <cell r="O21">
            <v>-0.448320935472158</v>
          </cell>
          <cell r="P21">
            <v>271918</v>
          </cell>
          <cell r="Q21">
            <v>167486.9</v>
          </cell>
          <cell r="R21">
            <v>-0.384053648526394</v>
          </cell>
          <cell r="S21">
            <v>318901</v>
          </cell>
          <cell r="T21">
            <v>109309.1</v>
          </cell>
          <cell r="U21">
            <v>-0.65723186819734</v>
          </cell>
          <cell r="V21">
            <v>590819</v>
          </cell>
          <cell r="W21">
            <v>276796</v>
          </cell>
          <cell r="X21">
            <v>-0.531504572466356</v>
          </cell>
          <cell r="Y21">
            <v>286782</v>
          </cell>
          <cell r="Z21">
            <v>130231</v>
          </cell>
          <cell r="AA21">
            <v>-0.545888514620862</v>
          </cell>
          <cell r="AB21">
            <v>877601</v>
          </cell>
          <cell r="AC21">
            <v>407027</v>
          </cell>
          <cell r="AD21">
            <v>-0.536204949629729</v>
          </cell>
          <cell r="AE21">
            <v>277032</v>
          </cell>
          <cell r="AF21">
            <v>123067.1</v>
          </cell>
          <cell r="AG21">
            <v>-0.555765759912212</v>
          </cell>
          <cell r="AH21">
            <v>1154633</v>
          </cell>
          <cell r="AI21">
            <v>530094.1</v>
          </cell>
          <cell r="AJ21">
            <v>-0.540898190160856</v>
          </cell>
          <cell r="AK21">
            <v>219679</v>
          </cell>
          <cell r="AL21">
            <v>158341.8</v>
          </cell>
          <cell r="AM21">
            <v>-0.279212851478749</v>
          </cell>
          <cell r="AN21">
            <v>1374312</v>
          </cell>
          <cell r="AO21">
            <v>688435.9</v>
          </cell>
          <cell r="AP21">
            <v>-0.499068697646532</v>
          </cell>
          <cell r="AQ21">
            <v>159081</v>
          </cell>
          <cell r="AR21">
            <v>49102</v>
          </cell>
        </row>
        <row r="22">
          <cell r="C22" t="str">
            <v>二轻爱威专卖店</v>
          </cell>
          <cell r="D22" t="str">
            <v>加盟</v>
          </cell>
          <cell r="E22" t="str">
            <v>加盟</v>
          </cell>
          <cell r="F22" t="str">
            <v>杭州市区</v>
          </cell>
          <cell r="G22" t="str">
            <v>拱墅区</v>
          </cell>
          <cell r="H22" t="str">
            <v>专卖店</v>
          </cell>
        </row>
        <row r="22">
          <cell r="J22">
            <v>78855</v>
          </cell>
          <cell r="K22">
            <v>24931</v>
          </cell>
          <cell r="L22">
            <v>-0.683837423118382</v>
          </cell>
          <cell r="M22">
            <v>39609</v>
          </cell>
          <cell r="N22">
            <v>30583</v>
          </cell>
          <cell r="O22">
            <v>-0.227877502587796</v>
          </cell>
          <cell r="P22">
            <v>118464</v>
          </cell>
          <cell r="Q22">
            <v>55514</v>
          </cell>
          <cell r="R22">
            <v>-0.531385062128579</v>
          </cell>
          <cell r="S22">
            <v>40486</v>
          </cell>
          <cell r="T22">
            <v>10700</v>
          </cell>
          <cell r="U22">
            <v>-0.735711110013338</v>
          </cell>
          <cell r="V22">
            <v>158950</v>
          </cell>
          <cell r="W22">
            <v>66214</v>
          </cell>
          <cell r="X22">
            <v>-0.583428751179616</v>
          </cell>
          <cell r="Y22">
            <v>45990</v>
          </cell>
        </row>
        <row r="22">
          <cell r="AA22">
            <v>-1</v>
          </cell>
          <cell r="AB22">
            <v>204940</v>
          </cell>
          <cell r="AC22">
            <v>66214</v>
          </cell>
          <cell r="AD22">
            <v>-0.676910315214209</v>
          </cell>
          <cell r="AE22">
            <v>26265</v>
          </cell>
          <cell r="AF22">
            <v>-3281.96</v>
          </cell>
          <cell r="AG22">
            <v>-1.12495564439368</v>
          </cell>
          <cell r="AH22">
            <v>231205</v>
          </cell>
          <cell r="AI22">
            <v>62932.04</v>
          </cell>
          <cell r="AJ22">
            <v>-0.727808481650483</v>
          </cell>
          <cell r="AK22">
            <v>67133</v>
          </cell>
        </row>
        <row r="22">
          <cell r="AM22">
            <v>-1</v>
          </cell>
          <cell r="AN22">
            <v>298338</v>
          </cell>
          <cell r="AO22">
            <v>62932.04</v>
          </cell>
          <cell r="AP22">
            <v>-0.789057914177879</v>
          </cell>
          <cell r="AQ22">
            <v>58226</v>
          </cell>
        </row>
        <row r="23">
          <cell r="C23" t="str">
            <v>（新）滨江第六空间专卖店</v>
          </cell>
          <cell r="D23" t="str">
            <v>直营</v>
          </cell>
          <cell r="E23" t="str">
            <v>直营</v>
          </cell>
          <cell r="F23" t="str">
            <v>杭州市区</v>
          </cell>
          <cell r="G23" t="str">
            <v>滨江区</v>
          </cell>
          <cell r="H23" t="str">
            <v>专卖店</v>
          </cell>
          <cell r="I23">
            <v>280</v>
          </cell>
          <cell r="J23">
            <v>155330</v>
          </cell>
          <cell r="K23">
            <v>156262</v>
          </cell>
          <cell r="L23">
            <v>0.00600012875812794</v>
          </cell>
          <cell r="M23">
            <v>84728</v>
          </cell>
          <cell r="N23">
            <v>143497</v>
          </cell>
          <cell r="O23">
            <v>0.693619582664526</v>
          </cell>
          <cell r="P23">
            <v>240058</v>
          </cell>
          <cell r="Q23">
            <v>299759</v>
          </cell>
          <cell r="R23">
            <v>0.248694065600813</v>
          </cell>
          <cell r="S23">
            <v>296842</v>
          </cell>
          <cell r="T23">
            <v>199854.6</v>
          </cell>
          <cell r="U23">
            <v>-0.326730718698836</v>
          </cell>
          <cell r="V23">
            <v>536900</v>
          </cell>
          <cell r="W23">
            <v>499613.6</v>
          </cell>
          <cell r="X23">
            <v>-0.0694475693797728</v>
          </cell>
          <cell r="Y23">
            <v>180500</v>
          </cell>
          <cell r="Z23">
            <v>131199.7</v>
          </cell>
          <cell r="AA23">
            <v>-0.273131855955679</v>
          </cell>
          <cell r="AB23">
            <v>717400</v>
          </cell>
          <cell r="AC23">
            <v>630813.3</v>
          </cell>
          <cell r="AD23">
            <v>-0.120695149149707</v>
          </cell>
          <cell r="AE23">
            <v>190972</v>
          </cell>
          <cell r="AF23">
            <v>160705</v>
          </cell>
          <cell r="AG23">
            <v>-0.158489202605618</v>
          </cell>
          <cell r="AH23">
            <v>908372</v>
          </cell>
          <cell r="AI23">
            <v>791518.3</v>
          </cell>
          <cell r="AJ23">
            <v>-0.128640799143963</v>
          </cell>
          <cell r="AK23">
            <v>207825</v>
          </cell>
          <cell r="AL23">
            <v>164883</v>
          </cell>
          <cell r="AM23">
            <v>-0.206625766871166</v>
          </cell>
          <cell r="AN23">
            <v>1116197</v>
          </cell>
          <cell r="AO23">
            <v>956401.3</v>
          </cell>
          <cell r="AP23">
            <v>-0.143160839887583</v>
          </cell>
          <cell r="AQ23">
            <v>114990</v>
          </cell>
          <cell r="AR23">
            <v>50432</v>
          </cell>
        </row>
        <row r="24">
          <cell r="C24" t="str">
            <v>杭州日新人工环境工程有限公司</v>
          </cell>
          <cell r="D24" t="str">
            <v>暖通</v>
          </cell>
          <cell r="E24" t="str">
            <v>暖通</v>
          </cell>
          <cell r="F24" t="str">
            <v>杭州市区</v>
          </cell>
          <cell r="G24" t="str">
            <v>西湖风景名胜区</v>
          </cell>
          <cell r="H24" t="str">
            <v>陈雪君</v>
          </cell>
        </row>
        <row r="24">
          <cell r="L24" t="e">
            <v>#DIV/0!</v>
          </cell>
        </row>
        <row r="24">
          <cell r="O24" t="e">
            <v>#DIV/0!</v>
          </cell>
          <cell r="P24">
            <v>0</v>
          </cell>
          <cell r="Q24">
            <v>0</v>
          </cell>
          <cell r="R24" t="e">
            <v>#DIV/0!</v>
          </cell>
          <cell r="S24">
            <v>790</v>
          </cell>
        </row>
        <row r="24">
          <cell r="U24">
            <v>-1</v>
          </cell>
          <cell r="V24">
            <v>790</v>
          </cell>
          <cell r="W24">
            <v>0</v>
          </cell>
          <cell r="X24">
            <v>-1</v>
          </cell>
        </row>
        <row r="24">
          <cell r="AA24" t="e">
            <v>#DIV/0!</v>
          </cell>
          <cell r="AB24">
            <v>790</v>
          </cell>
          <cell r="AC24">
            <v>0</v>
          </cell>
          <cell r="AD24">
            <v>-1</v>
          </cell>
        </row>
        <row r="24">
          <cell r="AG24" t="e">
            <v>#DIV/0!</v>
          </cell>
          <cell r="AH24">
            <v>790</v>
          </cell>
          <cell r="AI24">
            <v>0</v>
          </cell>
          <cell r="AJ24">
            <v>-1</v>
          </cell>
        </row>
        <row r="24">
          <cell r="AM24" t="e">
            <v>#DIV/0!</v>
          </cell>
          <cell r="AN24">
            <v>790</v>
          </cell>
          <cell r="AO24">
            <v>0</v>
          </cell>
          <cell r="AP24">
            <v>-1</v>
          </cell>
        </row>
        <row r="25">
          <cell r="C25" t="str">
            <v>杭州汇意商贸有限公司</v>
          </cell>
          <cell r="D25" t="str">
            <v>暖通</v>
          </cell>
          <cell r="E25" t="str">
            <v>暖通</v>
          </cell>
          <cell r="F25" t="str">
            <v>杭州市区</v>
          </cell>
          <cell r="G25" t="str">
            <v>拱墅区</v>
          </cell>
          <cell r="H25" t="str">
            <v>陈雪君</v>
          </cell>
        </row>
        <row r="25">
          <cell r="L25" t="e">
            <v>#DIV/0!</v>
          </cell>
        </row>
        <row r="25"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</row>
        <row r="25"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</row>
        <row r="25">
          <cell r="AA25" t="e">
            <v>#DIV/0!</v>
          </cell>
          <cell r="AB25">
            <v>0</v>
          </cell>
          <cell r="AC25">
            <v>0</v>
          </cell>
          <cell r="AD25" t="e">
            <v>#DIV/0!</v>
          </cell>
        </row>
        <row r="25">
          <cell r="AG25" t="e">
            <v>#DIV/0!</v>
          </cell>
          <cell r="AH25">
            <v>0</v>
          </cell>
          <cell r="AI25">
            <v>0</v>
          </cell>
          <cell r="AJ25" t="e">
            <v>#DIV/0!</v>
          </cell>
        </row>
        <row r="25">
          <cell r="AM25" t="e">
            <v>#DIV/0!</v>
          </cell>
          <cell r="AN25">
            <v>0</v>
          </cell>
          <cell r="AO25">
            <v>0</v>
          </cell>
          <cell r="AP25" t="e">
            <v>#DIV/0!</v>
          </cell>
        </row>
        <row r="26">
          <cell r="C26" t="str">
            <v>浙江初韵供应链管理有限公司</v>
          </cell>
          <cell r="D26" t="str">
            <v>经销</v>
          </cell>
          <cell r="E26" t="str">
            <v>经销</v>
          </cell>
          <cell r="F26" t="str">
            <v>杭州市区</v>
          </cell>
          <cell r="G26" t="str">
            <v>上城区</v>
          </cell>
          <cell r="H26" t="str">
            <v>董培培</v>
          </cell>
          <cell r="I26">
            <v>24</v>
          </cell>
          <cell r="J26">
            <v>20000</v>
          </cell>
          <cell r="K26">
            <v>10000</v>
          </cell>
          <cell r="L26">
            <v>-0.5</v>
          </cell>
        </row>
        <row r="26">
          <cell r="O26" t="e">
            <v>#DIV/0!</v>
          </cell>
          <cell r="P26">
            <v>20000</v>
          </cell>
          <cell r="Q26">
            <v>10000</v>
          </cell>
          <cell r="R26">
            <v>-0.5</v>
          </cell>
          <cell r="S26">
            <v>40000</v>
          </cell>
          <cell r="T26">
            <v>24752.5</v>
          </cell>
          <cell r="U26">
            <v>-0.3811875</v>
          </cell>
          <cell r="V26">
            <v>60000</v>
          </cell>
          <cell r="W26">
            <v>34752.5</v>
          </cell>
          <cell r="X26">
            <v>-0.420791666666667</v>
          </cell>
          <cell r="Y26">
            <v>30000</v>
          </cell>
        </row>
        <row r="26">
          <cell r="AA26">
            <v>-1</v>
          </cell>
          <cell r="AB26">
            <v>90000</v>
          </cell>
          <cell r="AC26">
            <v>34752.5</v>
          </cell>
          <cell r="AD26">
            <v>-0.613861111111111</v>
          </cell>
          <cell r="AE26">
            <v>40100</v>
          </cell>
        </row>
        <row r="26">
          <cell r="AG26">
            <v>-1</v>
          </cell>
          <cell r="AH26">
            <v>130100</v>
          </cell>
          <cell r="AI26">
            <v>34752.5</v>
          </cell>
          <cell r="AJ26">
            <v>-0.732878554957725</v>
          </cell>
        </row>
        <row r="26">
          <cell r="AM26" t="e">
            <v>#DIV/0!</v>
          </cell>
          <cell r="AN26">
            <v>130100</v>
          </cell>
          <cell r="AO26">
            <v>34752.5</v>
          </cell>
          <cell r="AP26">
            <v>-0.732878554957725</v>
          </cell>
          <cell r="AQ26">
            <v>20000</v>
          </cell>
        </row>
        <row r="27">
          <cell r="C27" t="str">
            <v>杭州红星美凯龙一号店</v>
          </cell>
          <cell r="D27" t="str">
            <v>直营</v>
          </cell>
          <cell r="E27" t="str">
            <v>直营</v>
          </cell>
          <cell r="F27" t="str">
            <v>杭州市区</v>
          </cell>
          <cell r="G27" t="str">
            <v>西湖风景名胜区</v>
          </cell>
          <cell r="H27" t="str">
            <v>专卖店</v>
          </cell>
          <cell r="I27">
            <v>400</v>
          </cell>
          <cell r="J27">
            <v>304654</v>
          </cell>
          <cell r="K27">
            <v>248878.5</v>
          </cell>
          <cell r="L27">
            <v>-0.183078180493281</v>
          </cell>
          <cell r="M27">
            <v>67549</v>
          </cell>
          <cell r="N27">
            <v>359062</v>
          </cell>
          <cell r="O27">
            <v>4.31557832092259</v>
          </cell>
          <cell r="P27">
            <v>372203</v>
          </cell>
          <cell r="Q27">
            <v>607940.5</v>
          </cell>
          <cell r="R27">
            <v>0.6333573345728</v>
          </cell>
          <cell r="S27">
            <v>191851</v>
          </cell>
          <cell r="T27">
            <v>586860</v>
          </cell>
          <cell r="U27">
            <v>2.05893636207265</v>
          </cell>
          <cell r="V27">
            <v>564054</v>
          </cell>
          <cell r="W27">
            <v>1194800.5</v>
          </cell>
          <cell r="X27">
            <v>1.11823779283544</v>
          </cell>
          <cell r="Y27">
            <v>73138</v>
          </cell>
          <cell r="Z27">
            <v>381502</v>
          </cell>
          <cell r="AA27">
            <v>4.21619404413574</v>
          </cell>
          <cell r="AB27">
            <v>637192</v>
          </cell>
          <cell r="AC27">
            <v>1576302.5</v>
          </cell>
          <cell r="AD27">
            <v>1.47382657032731</v>
          </cell>
          <cell r="AE27">
            <v>208668</v>
          </cell>
          <cell r="AF27">
            <v>418566</v>
          </cell>
          <cell r="AG27">
            <v>1.00589453102536</v>
          </cell>
          <cell r="AH27">
            <v>845860</v>
          </cell>
          <cell r="AI27">
            <v>1994868.5</v>
          </cell>
          <cell r="AJ27">
            <v>1.35839086846523</v>
          </cell>
          <cell r="AK27">
            <v>296204</v>
          </cell>
          <cell r="AL27">
            <v>579201</v>
          </cell>
          <cell r="AM27">
            <v>0.955412485989386</v>
          </cell>
          <cell r="AN27">
            <v>1142064</v>
          </cell>
          <cell r="AO27">
            <v>2574069.5</v>
          </cell>
          <cell r="AP27">
            <v>1.25387500175122</v>
          </cell>
          <cell r="AQ27">
            <v>217892</v>
          </cell>
          <cell r="AR27">
            <v>250281</v>
          </cell>
        </row>
        <row r="28">
          <cell r="C28" t="str">
            <v>杭州德业电器有限公司</v>
          </cell>
          <cell r="D28" t="str">
            <v>经销</v>
          </cell>
          <cell r="E28" t="str">
            <v>经销</v>
          </cell>
          <cell r="F28" t="str">
            <v>杭州市区</v>
          </cell>
          <cell r="G28" t="str">
            <v>上城区</v>
          </cell>
          <cell r="H28" t="str">
            <v>吴海林</v>
          </cell>
          <cell r="I28">
            <v>0</v>
          </cell>
          <cell r="J28">
            <v>4124</v>
          </cell>
        </row>
        <row r="28">
          <cell r="L28">
            <v>-1</v>
          </cell>
        </row>
        <row r="28">
          <cell r="O28" t="e">
            <v>#DIV/0!</v>
          </cell>
          <cell r="P28">
            <v>4124</v>
          </cell>
          <cell r="Q28">
            <v>0</v>
          </cell>
          <cell r="R28">
            <v>-1</v>
          </cell>
          <cell r="S28">
            <v>4124</v>
          </cell>
        </row>
        <row r="28">
          <cell r="U28">
            <v>-1</v>
          </cell>
          <cell r="V28">
            <v>8248</v>
          </cell>
          <cell r="W28">
            <v>0</v>
          </cell>
          <cell r="X28">
            <v>-1</v>
          </cell>
        </row>
        <row r="28">
          <cell r="AA28" t="e">
            <v>#DIV/0!</v>
          </cell>
          <cell r="AB28">
            <v>8248</v>
          </cell>
          <cell r="AC28">
            <v>0</v>
          </cell>
          <cell r="AD28">
            <v>-1</v>
          </cell>
        </row>
        <row r="28">
          <cell r="AG28" t="e">
            <v>#DIV/0!</v>
          </cell>
          <cell r="AH28">
            <v>8248</v>
          </cell>
          <cell r="AI28">
            <v>0</v>
          </cell>
          <cell r="AJ28">
            <v>-1</v>
          </cell>
        </row>
        <row r="28">
          <cell r="AM28" t="e">
            <v>#DIV/0!</v>
          </cell>
          <cell r="AN28">
            <v>8248</v>
          </cell>
          <cell r="AO28">
            <v>0</v>
          </cell>
          <cell r="AP28">
            <v>-1</v>
          </cell>
        </row>
        <row r="29">
          <cell r="C29" t="str">
            <v>杭州市余杭区临平街道泽晨材料商行</v>
          </cell>
          <cell r="D29" t="str">
            <v>经销</v>
          </cell>
          <cell r="E29" t="str">
            <v>经销</v>
          </cell>
          <cell r="F29" t="str">
            <v>临平区</v>
          </cell>
          <cell r="G29" t="str">
            <v>临平区</v>
          </cell>
          <cell r="H29" t="str">
            <v>吴海林</v>
          </cell>
        </row>
        <row r="29">
          <cell r="J29">
            <v>10000</v>
          </cell>
        </row>
        <row r="29">
          <cell r="L29">
            <v>-1</v>
          </cell>
        </row>
        <row r="29">
          <cell r="O29" t="e">
            <v>#DIV/0!</v>
          </cell>
          <cell r="P29">
            <v>10000</v>
          </cell>
          <cell r="Q29">
            <v>0</v>
          </cell>
          <cell r="R29">
            <v>-1</v>
          </cell>
        </row>
        <row r="29">
          <cell r="U29" t="e">
            <v>#DIV/0!</v>
          </cell>
          <cell r="V29">
            <v>10000</v>
          </cell>
          <cell r="W29">
            <v>0</v>
          </cell>
          <cell r="X29">
            <v>-1</v>
          </cell>
        </row>
        <row r="29">
          <cell r="AA29" t="e">
            <v>#DIV/0!</v>
          </cell>
          <cell r="AB29">
            <v>10000</v>
          </cell>
          <cell r="AC29">
            <v>0</v>
          </cell>
          <cell r="AD29">
            <v>-1</v>
          </cell>
        </row>
        <row r="29">
          <cell r="AG29" t="e">
            <v>#DIV/0!</v>
          </cell>
          <cell r="AH29">
            <v>10000</v>
          </cell>
          <cell r="AI29">
            <v>0</v>
          </cell>
          <cell r="AJ29">
            <v>-1</v>
          </cell>
        </row>
        <row r="29">
          <cell r="AM29" t="e">
            <v>#DIV/0!</v>
          </cell>
          <cell r="AN29">
            <v>10000</v>
          </cell>
          <cell r="AO29">
            <v>0</v>
          </cell>
          <cell r="AP29">
            <v>-1</v>
          </cell>
        </row>
        <row r="30">
          <cell r="C30" t="str">
            <v>浙江顶戴环境设备有限公司</v>
          </cell>
          <cell r="D30" t="str">
            <v>暖通</v>
          </cell>
          <cell r="E30" t="str">
            <v>暖通</v>
          </cell>
          <cell r="F30" t="str">
            <v>杭州市区</v>
          </cell>
          <cell r="G30" t="str">
            <v>钱塘区</v>
          </cell>
          <cell r="H30" t="str">
            <v>陈雪君</v>
          </cell>
        </row>
        <row r="30">
          <cell r="J30">
            <v>2591</v>
          </cell>
        </row>
        <row r="30">
          <cell r="L30">
            <v>-1</v>
          </cell>
        </row>
        <row r="30">
          <cell r="O30" t="e">
            <v>#DIV/0!</v>
          </cell>
          <cell r="P30">
            <v>2591</v>
          </cell>
          <cell r="Q30">
            <v>0</v>
          </cell>
          <cell r="R30">
            <v>-1</v>
          </cell>
        </row>
        <row r="30">
          <cell r="U30" t="e">
            <v>#DIV/0!</v>
          </cell>
          <cell r="V30">
            <v>2591</v>
          </cell>
          <cell r="W30">
            <v>0</v>
          </cell>
          <cell r="X30">
            <v>-1</v>
          </cell>
        </row>
        <row r="30">
          <cell r="AA30" t="e">
            <v>#DIV/0!</v>
          </cell>
          <cell r="AB30">
            <v>2591</v>
          </cell>
          <cell r="AC30">
            <v>0</v>
          </cell>
          <cell r="AD30">
            <v>-1</v>
          </cell>
        </row>
        <row r="30">
          <cell r="AG30" t="e">
            <v>#DIV/0!</v>
          </cell>
          <cell r="AH30">
            <v>2591</v>
          </cell>
          <cell r="AI30">
            <v>0</v>
          </cell>
          <cell r="AJ30">
            <v>-1</v>
          </cell>
        </row>
        <row r="30">
          <cell r="AM30" t="e">
            <v>#DIV/0!</v>
          </cell>
          <cell r="AN30">
            <v>2591</v>
          </cell>
          <cell r="AO30">
            <v>0</v>
          </cell>
          <cell r="AP30">
            <v>-1</v>
          </cell>
        </row>
        <row r="31">
          <cell r="C31" t="str">
            <v>浙江元天电子商务有限公司</v>
          </cell>
          <cell r="D31" t="str">
            <v>经销</v>
          </cell>
          <cell r="E31" t="str">
            <v>经销</v>
          </cell>
          <cell r="F31" t="str">
            <v>杭州市区</v>
          </cell>
          <cell r="G31" t="str">
            <v>滨江区</v>
          </cell>
          <cell r="H31" t="str">
            <v>黄颖</v>
          </cell>
          <cell r="I31">
            <v>30</v>
          </cell>
          <cell r="J31">
            <v>20582</v>
          </cell>
          <cell r="K31">
            <v>14679</v>
          </cell>
          <cell r="L31">
            <v>-0.286804003498202</v>
          </cell>
          <cell r="M31">
            <v>3939</v>
          </cell>
        </row>
        <row r="31">
          <cell r="O31">
            <v>-1</v>
          </cell>
          <cell r="P31">
            <v>24521</v>
          </cell>
          <cell r="Q31">
            <v>14679</v>
          </cell>
          <cell r="R31">
            <v>-0.401370254067942</v>
          </cell>
        </row>
        <row r="31">
          <cell r="T31">
            <v>3148</v>
          </cell>
          <cell r="U31" t="e">
            <v>#DIV/0!</v>
          </cell>
          <cell r="V31">
            <v>24521</v>
          </cell>
          <cell r="W31">
            <v>17827</v>
          </cell>
          <cell r="X31">
            <v>-0.272990497940541</v>
          </cell>
          <cell r="Y31">
            <v>23069</v>
          </cell>
          <cell r="Z31">
            <v>13909</v>
          </cell>
          <cell r="AA31">
            <v>-0.397069660583467</v>
          </cell>
          <cell r="AB31">
            <v>47590</v>
          </cell>
          <cell r="AC31">
            <v>31736</v>
          </cell>
          <cell r="AD31">
            <v>-0.333137213700357</v>
          </cell>
          <cell r="AE31">
            <v>27908</v>
          </cell>
          <cell r="AF31">
            <v>8765</v>
          </cell>
          <cell r="AG31">
            <v>-0.685932349147198</v>
          </cell>
          <cell r="AH31">
            <v>75498</v>
          </cell>
          <cell r="AI31">
            <v>40501</v>
          </cell>
          <cell r="AJ31">
            <v>-0.463548703276908</v>
          </cell>
          <cell r="AK31">
            <v>25192</v>
          </cell>
          <cell r="AL31">
            <v>9307</v>
          </cell>
          <cell r="AM31">
            <v>-0.630557319784058</v>
          </cell>
          <cell r="AN31">
            <v>100690</v>
          </cell>
          <cell r="AO31">
            <v>49808</v>
          </cell>
          <cell r="AP31">
            <v>-0.505333200913695</v>
          </cell>
        </row>
        <row r="31">
          <cell r="AR31">
            <v>11183</v>
          </cell>
        </row>
        <row r="32">
          <cell r="C32" t="str">
            <v>杭州澎湃电器有限公司</v>
          </cell>
          <cell r="D32" t="str">
            <v>家装</v>
          </cell>
          <cell r="E32" t="str">
            <v>家装</v>
          </cell>
          <cell r="F32" t="str">
            <v>杭州市区</v>
          </cell>
          <cell r="G32" t="str">
            <v>上城区</v>
          </cell>
          <cell r="H32" t="str">
            <v>黄颖</v>
          </cell>
        </row>
        <row r="32">
          <cell r="J32">
            <v>7088</v>
          </cell>
        </row>
        <row r="32">
          <cell r="L32">
            <v>-1</v>
          </cell>
        </row>
        <row r="32">
          <cell r="O32" t="e">
            <v>#DIV/0!</v>
          </cell>
          <cell r="P32">
            <v>7088</v>
          </cell>
          <cell r="Q32">
            <v>0</v>
          </cell>
          <cell r="R32">
            <v>-1</v>
          </cell>
        </row>
        <row r="32">
          <cell r="U32" t="e">
            <v>#DIV/0!</v>
          </cell>
          <cell r="V32">
            <v>7088</v>
          </cell>
          <cell r="W32">
            <v>0</v>
          </cell>
          <cell r="X32">
            <v>-1</v>
          </cell>
        </row>
        <row r="32">
          <cell r="AA32" t="e">
            <v>#DIV/0!</v>
          </cell>
          <cell r="AB32">
            <v>7088</v>
          </cell>
          <cell r="AC32">
            <v>0</v>
          </cell>
          <cell r="AD32">
            <v>-1</v>
          </cell>
        </row>
        <row r="32">
          <cell r="AG32" t="e">
            <v>#DIV/0!</v>
          </cell>
          <cell r="AH32">
            <v>7088</v>
          </cell>
          <cell r="AI32">
            <v>0</v>
          </cell>
          <cell r="AJ32">
            <v>-1</v>
          </cell>
        </row>
        <row r="32">
          <cell r="AM32" t="e">
            <v>#DIV/0!</v>
          </cell>
          <cell r="AN32">
            <v>7088</v>
          </cell>
          <cell r="AO32">
            <v>0</v>
          </cell>
          <cell r="AP32">
            <v>-1</v>
          </cell>
        </row>
        <row r="33">
          <cell r="C33" t="str">
            <v>杭州中博智能电器有限公司</v>
          </cell>
          <cell r="D33" t="str">
            <v>家装</v>
          </cell>
          <cell r="E33" t="str">
            <v>家装</v>
          </cell>
          <cell r="F33" t="str">
            <v>杭州市区</v>
          </cell>
          <cell r="G33" t="str">
            <v>上城区</v>
          </cell>
          <cell r="H33" t="str">
            <v>黄颖</v>
          </cell>
          <cell r="I33">
            <v>200</v>
          </cell>
          <cell r="J33">
            <v>91657.28</v>
          </cell>
          <cell r="K33">
            <v>218873.82</v>
          </cell>
          <cell r="L33">
            <v>1.38795892699412</v>
          </cell>
        </row>
        <row r="33">
          <cell r="N33">
            <v>131893.4</v>
          </cell>
          <cell r="O33" t="e">
            <v>#DIV/0!</v>
          </cell>
          <cell r="P33">
            <v>91657.28</v>
          </cell>
          <cell r="Q33">
            <v>350767.22</v>
          </cell>
          <cell r="R33">
            <v>2.82694336991017</v>
          </cell>
          <cell r="S33">
            <v>98407.6</v>
          </cell>
          <cell r="T33">
            <v>143496.71</v>
          </cell>
          <cell r="U33">
            <v>0.458187274153622</v>
          </cell>
          <cell r="V33">
            <v>190064.88</v>
          </cell>
          <cell r="W33">
            <v>494263.93</v>
          </cell>
          <cell r="X33">
            <v>1.60050110257087</v>
          </cell>
          <cell r="Y33">
            <v>88389.8</v>
          </cell>
          <cell r="Z33">
            <v>34200.39</v>
          </cell>
          <cell r="AA33">
            <v>-0.613073114771161</v>
          </cell>
          <cell r="AB33">
            <v>278454.68</v>
          </cell>
          <cell r="AC33">
            <v>528464.32</v>
          </cell>
          <cell r="AD33">
            <v>0.897846787850719</v>
          </cell>
          <cell r="AE33">
            <v>181882.45</v>
          </cell>
          <cell r="AF33">
            <v>134290.18</v>
          </cell>
          <cell r="AG33">
            <v>-0.261664992966611</v>
          </cell>
          <cell r="AH33">
            <v>460337.13</v>
          </cell>
          <cell r="AI33">
            <v>662754.5</v>
          </cell>
          <cell r="AJ33">
            <v>0.439715497205277</v>
          </cell>
          <cell r="AK33">
            <v>187566.88</v>
          </cell>
          <cell r="AL33">
            <v>128859.37</v>
          </cell>
          <cell r="AM33">
            <v>-0.31299507674276</v>
          </cell>
          <cell r="AN33">
            <v>647904.01</v>
          </cell>
          <cell r="AO33">
            <v>791613.87</v>
          </cell>
          <cell r="AP33">
            <v>0.221807332231205</v>
          </cell>
          <cell r="AQ33">
            <v>130044.44</v>
          </cell>
          <cell r="AR33">
            <v>273758.72</v>
          </cell>
        </row>
        <row r="34">
          <cell r="C34" t="str">
            <v>浙江都都装饰有限公司</v>
          </cell>
          <cell r="D34" t="str">
            <v>家装</v>
          </cell>
          <cell r="E34" t="str">
            <v>家装</v>
          </cell>
          <cell r="F34" t="str">
            <v>杭州市区</v>
          </cell>
          <cell r="G34" t="str">
            <v>拱墅区</v>
          </cell>
          <cell r="H34" t="str">
            <v>黄颖</v>
          </cell>
          <cell r="I34">
            <v>60</v>
          </cell>
          <cell r="J34">
            <v>16779</v>
          </cell>
          <cell r="K34">
            <v>37387</v>
          </cell>
          <cell r="L34">
            <v>1.2282019190655</v>
          </cell>
        </row>
        <row r="34">
          <cell r="O34" t="e">
            <v>#DIV/0!</v>
          </cell>
          <cell r="P34">
            <v>16779</v>
          </cell>
          <cell r="Q34">
            <v>37387</v>
          </cell>
          <cell r="R34">
            <v>1.2282019190655</v>
          </cell>
          <cell r="S34">
            <v>7332</v>
          </cell>
        </row>
        <row r="34">
          <cell r="U34">
            <v>-1</v>
          </cell>
          <cell r="V34">
            <v>24111</v>
          </cell>
          <cell r="W34">
            <v>37387</v>
          </cell>
          <cell r="X34">
            <v>0.550620048940318</v>
          </cell>
          <cell r="Y34">
            <v>49926</v>
          </cell>
          <cell r="Z34">
            <v>71744</v>
          </cell>
          <cell r="AA34">
            <v>0.437006770019629</v>
          </cell>
          <cell r="AB34">
            <v>74037</v>
          </cell>
          <cell r="AC34">
            <v>109131</v>
          </cell>
          <cell r="AD34">
            <v>0.474006240123182</v>
          </cell>
          <cell r="AE34">
            <v>57887</v>
          </cell>
          <cell r="AF34">
            <v>84847</v>
          </cell>
          <cell r="AG34">
            <v>0.465734966400055</v>
          </cell>
          <cell r="AH34">
            <v>131924</v>
          </cell>
          <cell r="AI34">
            <v>193978</v>
          </cell>
          <cell r="AJ34">
            <v>0.470376883660289</v>
          </cell>
          <cell r="AK34">
            <v>40556</v>
          </cell>
          <cell r="AL34">
            <v>161547</v>
          </cell>
          <cell r="AM34">
            <v>2.9833070322517</v>
          </cell>
          <cell r="AN34">
            <v>172480</v>
          </cell>
          <cell r="AO34">
            <v>355525</v>
          </cell>
          <cell r="AP34">
            <v>1.06125347866419</v>
          </cell>
          <cell r="AQ34">
            <v>50598</v>
          </cell>
          <cell r="AR34">
            <v>25131</v>
          </cell>
        </row>
        <row r="35">
          <cell r="C35" t="str">
            <v>桐庐县城南街道正亿家电经营部</v>
          </cell>
          <cell r="D35" t="str">
            <v>经销</v>
          </cell>
          <cell r="E35" t="str">
            <v>经销</v>
          </cell>
          <cell r="F35" t="str">
            <v>桐庐县</v>
          </cell>
          <cell r="G35" t="str">
            <v>桐庐县</v>
          </cell>
          <cell r="H35" t="str">
            <v>吴海林</v>
          </cell>
          <cell r="I35">
            <v>0</v>
          </cell>
        </row>
        <row r="35">
          <cell r="L35" t="e">
            <v>#DIV/0!</v>
          </cell>
        </row>
        <row r="35">
          <cell r="O35" t="e">
            <v>#DIV/0!</v>
          </cell>
          <cell r="P35">
            <v>0</v>
          </cell>
          <cell r="Q35">
            <v>0</v>
          </cell>
          <cell r="R35" t="e">
            <v>#DIV/0!</v>
          </cell>
          <cell r="S35">
            <v>26405</v>
          </cell>
        </row>
        <row r="35">
          <cell r="U35">
            <v>-1</v>
          </cell>
          <cell r="V35">
            <v>26405</v>
          </cell>
          <cell r="W35">
            <v>0</v>
          </cell>
          <cell r="X35">
            <v>-1</v>
          </cell>
        </row>
        <row r="35">
          <cell r="AA35" t="e">
            <v>#DIV/0!</v>
          </cell>
          <cell r="AB35">
            <v>26405</v>
          </cell>
          <cell r="AC35">
            <v>0</v>
          </cell>
          <cell r="AD35">
            <v>-1</v>
          </cell>
        </row>
        <row r="35">
          <cell r="AG35" t="e">
            <v>#DIV/0!</v>
          </cell>
          <cell r="AH35">
            <v>26405</v>
          </cell>
          <cell r="AI35">
            <v>0</v>
          </cell>
          <cell r="AJ35">
            <v>-1</v>
          </cell>
        </row>
        <row r="35">
          <cell r="AM35" t="e">
            <v>#DIV/0!</v>
          </cell>
          <cell r="AN35">
            <v>26405</v>
          </cell>
          <cell r="AO35">
            <v>0</v>
          </cell>
          <cell r="AP35">
            <v>-1</v>
          </cell>
        </row>
        <row r="36">
          <cell r="C36" t="str">
            <v>杭州中瑞工程技术有限公司</v>
          </cell>
          <cell r="D36" t="str">
            <v>经销</v>
          </cell>
          <cell r="E36" t="str">
            <v>经销</v>
          </cell>
          <cell r="F36" t="str">
            <v>杭州市区</v>
          </cell>
          <cell r="G36" t="str">
            <v>市区</v>
          </cell>
          <cell r="H36" t="str">
            <v>陈雪君</v>
          </cell>
        </row>
        <row r="36">
          <cell r="J36">
            <v>50000</v>
          </cell>
        </row>
        <row r="36">
          <cell r="L36">
            <v>-1</v>
          </cell>
          <cell r="M36">
            <v>39000</v>
          </cell>
          <cell r="N36">
            <v>20000</v>
          </cell>
          <cell r="O36">
            <v>-0.487179487179487</v>
          </cell>
          <cell r="P36">
            <v>89000</v>
          </cell>
          <cell r="Q36">
            <v>20000</v>
          </cell>
          <cell r="R36">
            <v>-0.775280898876405</v>
          </cell>
          <cell r="S36">
            <v>35000</v>
          </cell>
        </row>
        <row r="36">
          <cell r="U36">
            <v>-1</v>
          </cell>
          <cell r="V36">
            <v>124000</v>
          </cell>
          <cell r="W36">
            <v>20000</v>
          </cell>
          <cell r="X36">
            <v>-0.838709677419355</v>
          </cell>
          <cell r="Y36">
            <v>190000</v>
          </cell>
        </row>
        <row r="36">
          <cell r="AA36">
            <v>-1</v>
          </cell>
          <cell r="AB36">
            <v>314000</v>
          </cell>
          <cell r="AC36">
            <v>20000</v>
          </cell>
          <cell r="AD36">
            <v>-0.936305732484076</v>
          </cell>
          <cell r="AE36">
            <v>50000</v>
          </cell>
        </row>
        <row r="36">
          <cell r="AG36">
            <v>-1</v>
          </cell>
          <cell r="AH36">
            <v>364000</v>
          </cell>
          <cell r="AI36">
            <v>20000</v>
          </cell>
          <cell r="AJ36">
            <v>-0.945054945054945</v>
          </cell>
          <cell r="AK36">
            <v>139500</v>
          </cell>
          <cell r="AL36">
            <v>10000</v>
          </cell>
          <cell r="AM36">
            <v>-0.92831541218638</v>
          </cell>
          <cell r="AN36">
            <v>503500</v>
          </cell>
          <cell r="AO36">
            <v>30000</v>
          </cell>
          <cell r="AP36">
            <v>-0.940417080436941</v>
          </cell>
          <cell r="AQ36">
            <v>52000</v>
          </cell>
        </row>
        <row r="37">
          <cell r="C37" t="str">
            <v>苏宁易购集团股份有限公司苏宁采购中心</v>
          </cell>
          <cell r="D37" t="str">
            <v>经销</v>
          </cell>
          <cell r="E37" t="str">
            <v>经销</v>
          </cell>
          <cell r="F37" t="str">
            <v>杭州市区</v>
          </cell>
          <cell r="G37" t="str">
            <v>市区</v>
          </cell>
          <cell r="H37" t="str">
            <v>陈雪君</v>
          </cell>
        </row>
        <row r="37">
          <cell r="K37">
            <v>5208.12</v>
          </cell>
          <cell r="L37" t="e">
            <v>#DIV/0!</v>
          </cell>
        </row>
        <row r="37">
          <cell r="N37">
            <v>713</v>
          </cell>
          <cell r="O37" t="e">
            <v>#DIV/0!</v>
          </cell>
          <cell r="P37">
            <v>0</v>
          </cell>
          <cell r="Q37">
            <v>5921.12</v>
          </cell>
          <cell r="R37" t="e">
            <v>#DIV/0!</v>
          </cell>
        </row>
        <row r="37">
          <cell r="U37" t="e">
            <v>#DIV/0!</v>
          </cell>
          <cell r="V37">
            <v>0</v>
          </cell>
          <cell r="W37">
            <v>5921.12</v>
          </cell>
          <cell r="X37" t="e">
            <v>#DIV/0!</v>
          </cell>
        </row>
        <row r="37">
          <cell r="AA37" t="e">
            <v>#DIV/0!</v>
          </cell>
          <cell r="AB37">
            <v>0</v>
          </cell>
          <cell r="AC37">
            <v>5921.12</v>
          </cell>
          <cell r="AD37" t="e">
            <v>#DIV/0!</v>
          </cell>
        </row>
        <row r="37">
          <cell r="AG37" t="e">
            <v>#DIV/0!</v>
          </cell>
          <cell r="AH37">
            <v>0</v>
          </cell>
          <cell r="AI37">
            <v>5921.12</v>
          </cell>
          <cell r="AJ37" t="e">
            <v>#DIV/0!</v>
          </cell>
        </row>
        <row r="37">
          <cell r="AM37" t="e">
            <v>#DIV/0!</v>
          </cell>
          <cell r="AN37">
            <v>0</v>
          </cell>
          <cell r="AO37">
            <v>5921.12</v>
          </cell>
          <cell r="AP37" t="e">
            <v>#DIV/0!</v>
          </cell>
          <cell r="AQ37">
            <v>1971.76</v>
          </cell>
        </row>
        <row r="38">
          <cell r="C38" t="str">
            <v>杭州华东家电市场铁人电器商行</v>
          </cell>
          <cell r="D38" t="str">
            <v>经销</v>
          </cell>
          <cell r="E38" t="str">
            <v>经销</v>
          </cell>
          <cell r="F38" t="str">
            <v>杭州市区</v>
          </cell>
          <cell r="G38" t="str">
            <v>市区</v>
          </cell>
          <cell r="H38" t="str">
            <v>李燕霞</v>
          </cell>
          <cell r="I38">
            <v>10</v>
          </cell>
        </row>
        <row r="38">
          <cell r="L38" t="e">
            <v>#DIV/0!</v>
          </cell>
        </row>
        <row r="38">
          <cell r="O38" t="e">
            <v>#DIV/0!</v>
          </cell>
          <cell r="P38">
            <v>0</v>
          </cell>
          <cell r="Q38">
            <v>0</v>
          </cell>
          <cell r="R38" t="e">
            <v>#DIV/0!</v>
          </cell>
        </row>
        <row r="38">
          <cell r="U38" t="e">
            <v>#DIV/0!</v>
          </cell>
          <cell r="V38">
            <v>0</v>
          </cell>
          <cell r="W38">
            <v>0</v>
          </cell>
          <cell r="X38" t="e">
            <v>#DIV/0!</v>
          </cell>
        </row>
        <row r="38">
          <cell r="AA38" t="e">
            <v>#DIV/0!</v>
          </cell>
          <cell r="AB38">
            <v>0</v>
          </cell>
          <cell r="AC38">
            <v>0</v>
          </cell>
          <cell r="AD38" t="e">
            <v>#DIV/0!</v>
          </cell>
        </row>
        <row r="38">
          <cell r="AG38" t="e">
            <v>#DIV/0!</v>
          </cell>
          <cell r="AH38">
            <v>0</v>
          </cell>
          <cell r="AI38">
            <v>0</v>
          </cell>
          <cell r="AJ38" t="e">
            <v>#DIV/0!</v>
          </cell>
        </row>
        <row r="38">
          <cell r="AM38" t="e">
            <v>#DIV/0!</v>
          </cell>
          <cell r="AN38">
            <v>0</v>
          </cell>
          <cell r="AO38">
            <v>0</v>
          </cell>
          <cell r="AP38" t="e">
            <v>#DIV/0!</v>
          </cell>
        </row>
        <row r="38">
          <cell r="AR38">
            <v>6789</v>
          </cell>
        </row>
        <row r="39">
          <cell r="C39" t="str">
            <v>滨江六空8090店</v>
          </cell>
          <cell r="D39" t="str">
            <v>直营</v>
          </cell>
          <cell r="E39" t="str">
            <v>直营</v>
          </cell>
          <cell r="F39" t="str">
            <v>杭州市区</v>
          </cell>
          <cell r="G39" t="str">
            <v>滨江区</v>
          </cell>
          <cell r="H39" t="str">
            <v>专卖店</v>
          </cell>
          <cell r="I39">
            <v>370</v>
          </cell>
        </row>
        <row r="39">
          <cell r="K39">
            <v>128272</v>
          </cell>
          <cell r="L39" t="e">
            <v>#DIV/0!</v>
          </cell>
        </row>
        <row r="39">
          <cell r="N39">
            <v>300432</v>
          </cell>
          <cell r="O39" t="e">
            <v>#DIV/0!</v>
          </cell>
          <cell r="P39">
            <v>0</v>
          </cell>
          <cell r="Q39">
            <v>428704</v>
          </cell>
          <cell r="R39" t="e">
            <v>#DIV/0!</v>
          </cell>
        </row>
        <row r="39">
          <cell r="T39">
            <v>378127</v>
          </cell>
          <cell r="U39" t="e">
            <v>#DIV/0!</v>
          </cell>
          <cell r="V39">
            <v>0</v>
          </cell>
          <cell r="W39">
            <v>806831</v>
          </cell>
          <cell r="X39" t="e">
            <v>#DIV/0!</v>
          </cell>
        </row>
        <row r="39">
          <cell r="Z39">
            <v>418240</v>
          </cell>
          <cell r="AA39" t="e">
            <v>#DIV/0!</v>
          </cell>
          <cell r="AB39">
            <v>0</v>
          </cell>
          <cell r="AC39">
            <v>1225071</v>
          </cell>
          <cell r="AD39" t="e">
            <v>#DIV/0!</v>
          </cell>
        </row>
        <row r="39">
          <cell r="AF39">
            <v>306225</v>
          </cell>
          <cell r="AG39" t="e">
            <v>#DIV/0!</v>
          </cell>
          <cell r="AH39">
            <v>0</v>
          </cell>
          <cell r="AI39">
            <v>1531296</v>
          </cell>
          <cell r="AJ39" t="e">
            <v>#DIV/0!</v>
          </cell>
        </row>
        <row r="39">
          <cell r="AL39">
            <v>574778</v>
          </cell>
          <cell r="AM39" t="e">
            <v>#DIV/0!</v>
          </cell>
          <cell r="AN39">
            <v>0</v>
          </cell>
          <cell r="AO39">
            <v>2106074</v>
          </cell>
          <cell r="AP39" t="e">
            <v>#DIV/0!</v>
          </cell>
        </row>
        <row r="39">
          <cell r="AR39">
            <v>166425</v>
          </cell>
        </row>
        <row r="40">
          <cell r="C40" t="str">
            <v>萧山第六空间专卖店</v>
          </cell>
          <cell r="D40" t="str">
            <v>直营</v>
          </cell>
          <cell r="E40" t="str">
            <v>直营</v>
          </cell>
          <cell r="F40" t="str">
            <v>萧山区</v>
          </cell>
          <cell r="G40" t="str">
            <v>市区</v>
          </cell>
          <cell r="H40" t="str">
            <v>专卖店</v>
          </cell>
          <cell r="I40">
            <v>170</v>
          </cell>
        </row>
        <row r="40">
          <cell r="K40">
            <v>840</v>
          </cell>
          <cell r="L40" t="e">
            <v>#DIV/0!</v>
          </cell>
        </row>
        <row r="40">
          <cell r="N40">
            <v>30008</v>
          </cell>
          <cell r="O40" t="e">
            <v>#DIV/0!</v>
          </cell>
          <cell r="P40">
            <v>0</v>
          </cell>
          <cell r="Q40">
            <v>30848</v>
          </cell>
          <cell r="R40" t="e">
            <v>#DIV/0!</v>
          </cell>
        </row>
        <row r="40">
          <cell r="T40">
            <v>250109.6</v>
          </cell>
          <cell r="U40" t="e">
            <v>#DIV/0!</v>
          </cell>
          <cell r="V40">
            <v>0</v>
          </cell>
          <cell r="W40">
            <v>280957.6</v>
          </cell>
          <cell r="X40" t="e">
            <v>#DIV/0!</v>
          </cell>
        </row>
        <row r="40">
          <cell r="Z40">
            <v>296574</v>
          </cell>
          <cell r="AA40" t="e">
            <v>#DIV/0!</v>
          </cell>
          <cell r="AB40">
            <v>0</v>
          </cell>
          <cell r="AC40">
            <v>577531.6</v>
          </cell>
          <cell r="AD40" t="e">
            <v>#DIV/0!</v>
          </cell>
        </row>
        <row r="40">
          <cell r="AF40">
            <v>255533</v>
          </cell>
          <cell r="AG40" t="e">
            <v>#DIV/0!</v>
          </cell>
          <cell r="AH40">
            <v>0</v>
          </cell>
          <cell r="AI40">
            <v>833064.6</v>
          </cell>
          <cell r="AJ40" t="e">
            <v>#DIV/0!</v>
          </cell>
        </row>
        <row r="40">
          <cell r="AL40">
            <v>386476</v>
          </cell>
          <cell r="AM40" t="e">
            <v>#DIV/0!</v>
          </cell>
          <cell r="AN40">
            <v>0</v>
          </cell>
          <cell r="AO40">
            <v>1219540.6</v>
          </cell>
          <cell r="AP40" t="e">
            <v>#DIV/0!</v>
          </cell>
        </row>
        <row r="40">
          <cell r="AR40">
            <v>63776</v>
          </cell>
        </row>
        <row r="41">
          <cell r="C41" t="str">
            <v>政采云</v>
          </cell>
          <cell r="D41" t="str">
            <v>经销</v>
          </cell>
          <cell r="E41" t="str">
            <v>经销</v>
          </cell>
          <cell r="F41" t="str">
            <v>杭州市区</v>
          </cell>
        </row>
        <row r="41">
          <cell r="H41" t="str">
            <v>陈雪君</v>
          </cell>
        </row>
        <row r="41">
          <cell r="L41" t="e">
            <v>#DIV/0!</v>
          </cell>
        </row>
        <row r="41">
          <cell r="O41" t="e">
            <v>#DIV/0!</v>
          </cell>
          <cell r="P41">
            <v>0</v>
          </cell>
          <cell r="Q41">
            <v>0</v>
          </cell>
          <cell r="R41" t="e">
            <v>#DIV/0!</v>
          </cell>
        </row>
        <row r="41">
          <cell r="U41" t="e">
            <v>#DIV/0!</v>
          </cell>
          <cell r="V41">
            <v>0</v>
          </cell>
          <cell r="W41">
            <v>0</v>
          </cell>
          <cell r="X41" t="e">
            <v>#DIV/0!</v>
          </cell>
        </row>
        <row r="41">
          <cell r="AA41" t="e">
            <v>#DIV/0!</v>
          </cell>
          <cell r="AB41">
            <v>0</v>
          </cell>
          <cell r="AC41">
            <v>0</v>
          </cell>
          <cell r="AD41" t="e">
            <v>#DIV/0!</v>
          </cell>
        </row>
        <row r="41">
          <cell r="AG41" t="e">
            <v>#DIV/0!</v>
          </cell>
          <cell r="AH41">
            <v>0</v>
          </cell>
          <cell r="AI41">
            <v>0</v>
          </cell>
          <cell r="AJ41" t="e">
            <v>#DIV/0!</v>
          </cell>
        </row>
        <row r="41">
          <cell r="AM41" t="e">
            <v>#DIV/0!</v>
          </cell>
          <cell r="AN41">
            <v>0</v>
          </cell>
          <cell r="AO41">
            <v>0</v>
          </cell>
          <cell r="AP41" t="e">
            <v>#DIV/0!</v>
          </cell>
        </row>
        <row r="42">
          <cell r="C42" t="str">
            <v>杭州装家百科电器有限公司</v>
          </cell>
          <cell r="D42" t="str">
            <v>家装</v>
          </cell>
          <cell r="E42" t="str">
            <v>家装</v>
          </cell>
          <cell r="F42" t="str">
            <v>杭州市区</v>
          </cell>
          <cell r="G42" t="str">
            <v>西湖区</v>
          </cell>
          <cell r="H42" t="str">
            <v>黄颖</v>
          </cell>
          <cell r="I42">
            <v>80</v>
          </cell>
        </row>
        <row r="42">
          <cell r="T42">
            <v>10661</v>
          </cell>
          <cell r="U42" t="e">
            <v>#DIV/0!</v>
          </cell>
          <cell r="V42">
            <v>0</v>
          </cell>
          <cell r="W42">
            <v>10661</v>
          </cell>
          <cell r="X42" t="e">
            <v>#DIV/0!</v>
          </cell>
        </row>
        <row r="42">
          <cell r="Z42">
            <v>15411</v>
          </cell>
          <cell r="AA42" t="e">
            <v>#DIV/0!</v>
          </cell>
          <cell r="AB42">
            <v>0</v>
          </cell>
          <cell r="AC42">
            <v>26072</v>
          </cell>
          <cell r="AD42" t="e">
            <v>#DIV/0!</v>
          </cell>
        </row>
        <row r="42">
          <cell r="AF42">
            <v>3348</v>
          </cell>
          <cell r="AG42" t="e">
            <v>#DIV/0!</v>
          </cell>
          <cell r="AH42">
            <v>0</v>
          </cell>
          <cell r="AI42">
            <v>29420</v>
          </cell>
          <cell r="AJ42" t="e">
            <v>#DIV/0!</v>
          </cell>
        </row>
        <row r="42">
          <cell r="AM42" t="e">
            <v>#DIV/0!</v>
          </cell>
          <cell r="AN42">
            <v>0</v>
          </cell>
          <cell r="AO42">
            <v>29420</v>
          </cell>
          <cell r="AP42" t="e">
            <v>#DIV/0!</v>
          </cell>
        </row>
        <row r="43">
          <cell r="C43" t="str">
            <v>贝壳美家供应链管理（浙江）有限责任公司</v>
          </cell>
          <cell r="D43" t="str">
            <v>家装</v>
          </cell>
          <cell r="E43" t="str">
            <v>家装</v>
          </cell>
          <cell r="F43" t="str">
            <v>杭州市区</v>
          </cell>
          <cell r="G43" t="str">
            <v>拱墅区</v>
          </cell>
          <cell r="H43" t="str">
            <v>黄颖</v>
          </cell>
          <cell r="I43">
            <v>200</v>
          </cell>
        </row>
        <row r="43">
          <cell r="T43">
            <v>7250</v>
          </cell>
          <cell r="U43" t="e">
            <v>#DIV/0!</v>
          </cell>
          <cell r="V43">
            <v>0</v>
          </cell>
          <cell r="W43">
            <v>7250</v>
          </cell>
          <cell r="X43" t="e">
            <v>#DIV/0!</v>
          </cell>
        </row>
        <row r="43">
          <cell r="AA43" t="e">
            <v>#DIV/0!</v>
          </cell>
          <cell r="AB43">
            <v>0</v>
          </cell>
          <cell r="AC43">
            <v>7250</v>
          </cell>
          <cell r="AD43" t="e">
            <v>#DIV/0!</v>
          </cell>
        </row>
        <row r="43">
          <cell r="AG43" t="e">
            <v>#DIV/0!</v>
          </cell>
          <cell r="AH43">
            <v>0</v>
          </cell>
          <cell r="AI43">
            <v>7250</v>
          </cell>
          <cell r="AJ43" t="e">
            <v>#DIV/0!</v>
          </cell>
        </row>
        <row r="43">
          <cell r="AM43" t="e">
            <v>#DIV/0!</v>
          </cell>
          <cell r="AN43">
            <v>0</v>
          </cell>
          <cell r="AO43">
            <v>7250</v>
          </cell>
          <cell r="AP43" t="e">
            <v>#DIV/0!</v>
          </cell>
        </row>
        <row r="43">
          <cell r="AR43">
            <v>53816</v>
          </cell>
        </row>
        <row r="44">
          <cell r="C44" t="str">
            <v>杭州平野实业有限公司</v>
          </cell>
          <cell r="D44" t="str">
            <v>家装</v>
          </cell>
          <cell r="E44" t="str">
            <v>家装</v>
          </cell>
          <cell r="F44" t="str">
            <v>杭州市区</v>
          </cell>
          <cell r="G44" t="str">
            <v>拱墅区</v>
          </cell>
          <cell r="H44" t="str">
            <v>黄颖</v>
          </cell>
          <cell r="I44">
            <v>25</v>
          </cell>
        </row>
        <row r="44">
          <cell r="AB44">
            <v>0</v>
          </cell>
        </row>
        <row r="44">
          <cell r="AG44" t="e">
            <v>#DIV/0!</v>
          </cell>
          <cell r="AH44">
            <v>0</v>
          </cell>
          <cell r="AI44">
            <v>0</v>
          </cell>
          <cell r="AJ44" t="e">
            <v>#DIV/0!</v>
          </cell>
        </row>
        <row r="44">
          <cell r="AM44" t="e">
            <v>#DIV/0!</v>
          </cell>
          <cell r="AN44">
            <v>0</v>
          </cell>
          <cell r="AO44">
            <v>0</v>
          </cell>
          <cell r="AP44" t="e">
            <v>#DIV/0!</v>
          </cell>
        </row>
        <row r="45">
          <cell r="C45" t="str">
            <v>杭州速简优装饰工程有限公司</v>
          </cell>
          <cell r="D45" t="str">
            <v>家装</v>
          </cell>
          <cell r="E45" t="str">
            <v>家装</v>
          </cell>
          <cell r="F45" t="str">
            <v>杭州市区</v>
          </cell>
          <cell r="G45" t="str">
            <v>拱墅区</v>
          </cell>
          <cell r="H45" t="str">
            <v>黄颖</v>
          </cell>
          <cell r="I45">
            <v>20</v>
          </cell>
        </row>
        <row r="45">
          <cell r="AG45" t="e">
            <v>#DIV/0!</v>
          </cell>
          <cell r="AH45">
            <v>0</v>
          </cell>
          <cell r="AI45">
            <v>0</v>
          </cell>
          <cell r="AJ45" t="e">
            <v>#DIV/0!</v>
          </cell>
        </row>
        <row r="45">
          <cell r="AM45" t="e">
            <v>#DIV/0!</v>
          </cell>
          <cell r="AN45">
            <v>0</v>
          </cell>
          <cell r="AO45">
            <v>0</v>
          </cell>
          <cell r="AP45" t="e">
            <v>#DIV/0!</v>
          </cell>
        </row>
        <row r="46">
          <cell r="C46" t="str">
            <v>杭州恒大建材超级旗舰店（浙江云顶贸易有限公司）</v>
          </cell>
          <cell r="D46" t="str">
            <v>家装</v>
          </cell>
          <cell r="E46" t="str">
            <v>家装</v>
          </cell>
          <cell r="F46" t="str">
            <v>杭州市区</v>
          </cell>
          <cell r="G46" t="str">
            <v>拱墅区</v>
          </cell>
          <cell r="H46" t="str">
            <v>黄颖</v>
          </cell>
        </row>
        <row r="46">
          <cell r="AF46">
            <v>13000</v>
          </cell>
          <cell r="AG46" t="e">
            <v>#DIV/0!</v>
          </cell>
          <cell r="AH46">
            <v>0</v>
          </cell>
          <cell r="AI46">
            <v>13000</v>
          </cell>
          <cell r="AJ46" t="e">
            <v>#DIV/0!</v>
          </cell>
        </row>
        <row r="46">
          <cell r="AM46" t="e">
            <v>#DIV/0!</v>
          </cell>
          <cell r="AN46">
            <v>0</v>
          </cell>
          <cell r="AO46">
            <v>13000</v>
          </cell>
          <cell r="AP46" t="e">
            <v>#DIV/0!</v>
          </cell>
        </row>
        <row r="47">
          <cell r="C47" t="str">
            <v>杭州允选科技有限公司</v>
          </cell>
          <cell r="D47" t="str">
            <v>经销</v>
          </cell>
          <cell r="E47" t="str">
            <v>经销</v>
          </cell>
          <cell r="F47" t="str">
            <v>杭州市区</v>
          </cell>
        </row>
        <row r="47">
          <cell r="H47" t="str">
            <v>陈雪君</v>
          </cell>
        </row>
        <row r="47">
          <cell r="AF47">
            <v>66234</v>
          </cell>
          <cell r="AG47" t="e">
            <v>#DIV/0!</v>
          </cell>
          <cell r="AH47">
            <v>0</v>
          </cell>
          <cell r="AI47">
            <v>66234</v>
          </cell>
          <cell r="AJ47" t="e">
            <v>#DIV/0!</v>
          </cell>
        </row>
        <row r="47">
          <cell r="AL47">
            <v>10341.7</v>
          </cell>
          <cell r="AM47" t="e">
            <v>#DIV/0!</v>
          </cell>
          <cell r="AN47">
            <v>0</v>
          </cell>
          <cell r="AO47">
            <v>76575.7</v>
          </cell>
          <cell r="AP47" t="e">
            <v>#DIV/0!</v>
          </cell>
        </row>
        <row r="47">
          <cell r="AR47">
            <v>12445</v>
          </cell>
        </row>
        <row r="48">
          <cell r="C48" t="str">
            <v>北京天坛装饰工程有限责任公司杭州分公司</v>
          </cell>
          <cell r="D48" t="str">
            <v>家装</v>
          </cell>
          <cell r="E48" t="str">
            <v>家装</v>
          </cell>
          <cell r="F48" t="str">
            <v>杭州市区</v>
          </cell>
          <cell r="G48" t="str">
            <v>拱墅区</v>
          </cell>
          <cell r="H48" t="str">
            <v>黄颖</v>
          </cell>
          <cell r="I48">
            <v>60</v>
          </cell>
        </row>
        <row r="48">
          <cell r="T48">
            <v>35400</v>
          </cell>
          <cell r="U48" t="e">
            <v>#DIV/0!</v>
          </cell>
          <cell r="V48">
            <v>0</v>
          </cell>
          <cell r="W48">
            <v>35400</v>
          </cell>
          <cell r="X48" t="e">
            <v>#DIV/0!</v>
          </cell>
        </row>
        <row r="48">
          <cell r="AA48" t="e">
            <v>#DIV/0!</v>
          </cell>
          <cell r="AB48">
            <v>0</v>
          </cell>
          <cell r="AC48">
            <v>35400</v>
          </cell>
          <cell r="AD48" t="e">
            <v>#DIV/0!</v>
          </cell>
        </row>
        <row r="48">
          <cell r="AF48">
            <v>27200</v>
          </cell>
          <cell r="AG48" t="e">
            <v>#DIV/0!</v>
          </cell>
          <cell r="AH48">
            <v>0</v>
          </cell>
          <cell r="AI48">
            <v>62600</v>
          </cell>
          <cell r="AJ48" t="e">
            <v>#DIV/0!</v>
          </cell>
        </row>
        <row r="48">
          <cell r="AM48" t="e">
            <v>#DIV/0!</v>
          </cell>
          <cell r="AN48">
            <v>0</v>
          </cell>
          <cell r="AO48">
            <v>62600</v>
          </cell>
          <cell r="AP48" t="e">
            <v>#DIV/0!</v>
          </cell>
        </row>
        <row r="48">
          <cell r="AR48">
            <v>47200</v>
          </cell>
        </row>
        <row r="49">
          <cell r="C49" t="str">
            <v>合计</v>
          </cell>
        </row>
        <row r="49">
          <cell r="I49">
            <v>4549</v>
          </cell>
          <cell r="J49">
            <v>1820726.47</v>
          </cell>
          <cell r="K49">
            <v>2134133.92</v>
          </cell>
          <cell r="L49">
            <v>0.172133187034953</v>
          </cell>
          <cell r="M49">
            <v>665632</v>
          </cell>
          <cell r="N49">
            <v>2030936.03</v>
          </cell>
          <cell r="O49">
            <v>2.05113941336955</v>
          </cell>
          <cell r="P49">
            <v>2486358.47</v>
          </cell>
          <cell r="Q49">
            <v>4165069.95</v>
          </cell>
          <cell r="R49">
            <v>0.675168725771067</v>
          </cell>
          <cell r="S49">
            <v>2335229.55</v>
          </cell>
          <cell r="T49">
            <v>3216768.37</v>
          </cell>
          <cell r="U49">
            <v>0.377495574257357</v>
          </cell>
          <cell r="V49">
            <v>4821588.02</v>
          </cell>
          <cell r="W49">
            <v>7381838.32</v>
          </cell>
          <cell r="X49">
            <v>0.530997316523115</v>
          </cell>
          <cell r="Y49">
            <v>2932936.84</v>
          </cell>
          <cell r="Z49">
            <v>3605274.19</v>
          </cell>
          <cell r="AA49">
            <v>0.229236900307748</v>
          </cell>
          <cell r="AB49">
            <v>7754524.86</v>
          </cell>
          <cell r="AC49">
            <v>10987112.51</v>
          </cell>
          <cell r="AD49">
            <v>0.416864696207835</v>
          </cell>
          <cell r="AE49">
            <v>2754128.27</v>
          </cell>
          <cell r="AF49">
            <v>2967154.72</v>
          </cell>
          <cell r="AG49">
            <v>0.0773480495881187</v>
          </cell>
          <cell r="AH49">
            <v>10508653.13</v>
          </cell>
          <cell r="AI49">
            <v>13954267.23</v>
          </cell>
          <cell r="AJ49">
            <v>0.327883512508705</v>
          </cell>
          <cell r="AK49">
            <v>3834503.49</v>
          </cell>
          <cell r="AL49">
            <v>3744100.99</v>
          </cell>
          <cell r="AM49">
            <v>-0.0235760640812455</v>
          </cell>
          <cell r="AN49">
            <v>14343156.62</v>
          </cell>
          <cell r="AO49">
            <v>17698368.22</v>
          </cell>
          <cell r="AP49">
            <v>0.233924211307957</v>
          </cell>
          <cell r="AQ49">
            <v>2104345.24</v>
          </cell>
          <cell r="AR49">
            <v>2351069.78</v>
          </cell>
        </row>
      </sheetData>
      <sheetData sheetId="3">
        <row r="1">
          <cell r="C1" t="str">
            <v>系统门店</v>
          </cell>
          <cell r="D1" t="str">
            <v>渠道</v>
          </cell>
          <cell r="E1" t="str">
            <v>渠道细分</v>
          </cell>
          <cell r="F1" t="str">
            <v>大区</v>
          </cell>
          <cell r="G1" t="str">
            <v>市/区/县</v>
          </cell>
          <cell r="H1" t="str">
            <v>业务员</v>
          </cell>
          <cell r="I1" t="str">
            <v>合同任务</v>
          </cell>
          <cell r="J1" t="str">
            <v>1月</v>
          </cell>
        </row>
        <row r="1">
          <cell r="L1" t="str">
            <v>同比</v>
          </cell>
          <cell r="M1" t="str">
            <v>2月</v>
          </cell>
        </row>
        <row r="1">
          <cell r="O1" t="str">
            <v>同比</v>
          </cell>
          <cell r="P1" t="str">
            <v>1-2月</v>
          </cell>
        </row>
        <row r="1">
          <cell r="R1" t="str">
            <v>同比</v>
          </cell>
          <cell r="S1" t="str">
            <v>3月</v>
          </cell>
        </row>
        <row r="1">
          <cell r="U1" t="str">
            <v>同比</v>
          </cell>
          <cell r="V1" t="str">
            <v>1-3月</v>
          </cell>
        </row>
        <row r="1">
          <cell r="X1" t="str">
            <v>同比</v>
          </cell>
          <cell r="Y1" t="str">
            <v>4月</v>
          </cell>
        </row>
        <row r="1">
          <cell r="AA1" t="str">
            <v>同比</v>
          </cell>
          <cell r="AB1" t="str">
            <v>1-4月</v>
          </cell>
        </row>
        <row r="1">
          <cell r="AD1" t="str">
            <v>同比</v>
          </cell>
          <cell r="AE1" t="str">
            <v>5月</v>
          </cell>
        </row>
        <row r="1">
          <cell r="AG1" t="str">
            <v>同比</v>
          </cell>
          <cell r="AH1" t="str">
            <v>1-5月</v>
          </cell>
        </row>
        <row r="1">
          <cell r="AJ1" t="str">
            <v>同比</v>
          </cell>
          <cell r="AK1" t="str">
            <v>6月</v>
          </cell>
        </row>
        <row r="1">
          <cell r="AM1" t="str">
            <v>同比</v>
          </cell>
          <cell r="AN1" t="str">
            <v>1-6月</v>
          </cell>
        </row>
        <row r="1">
          <cell r="AP1" t="str">
            <v>同比</v>
          </cell>
          <cell r="AQ1" t="str">
            <v>7月</v>
          </cell>
        </row>
        <row r="2">
          <cell r="J2" t="str">
            <v>2024年</v>
          </cell>
          <cell r="K2" t="str">
            <v>2025年</v>
          </cell>
        </row>
        <row r="2">
          <cell r="M2" t="str">
            <v>2024年</v>
          </cell>
          <cell r="N2" t="str">
            <v>2025年</v>
          </cell>
        </row>
        <row r="2">
          <cell r="P2" t="str">
            <v>2024年</v>
          </cell>
          <cell r="Q2" t="str">
            <v>2025年</v>
          </cell>
        </row>
        <row r="2">
          <cell r="S2" t="str">
            <v>2024年</v>
          </cell>
          <cell r="T2" t="str">
            <v>2025年</v>
          </cell>
        </row>
        <row r="2">
          <cell r="V2" t="str">
            <v>2024年</v>
          </cell>
          <cell r="W2" t="str">
            <v>2025年</v>
          </cell>
        </row>
        <row r="2">
          <cell r="Y2" t="str">
            <v>2024年</v>
          </cell>
          <cell r="Z2" t="str">
            <v>2025年</v>
          </cell>
        </row>
        <row r="2">
          <cell r="AB2" t="str">
            <v>2024年</v>
          </cell>
          <cell r="AC2" t="str">
            <v>2025年</v>
          </cell>
        </row>
        <row r="2">
          <cell r="AE2" t="str">
            <v>2024年</v>
          </cell>
          <cell r="AF2" t="str">
            <v>2025年</v>
          </cell>
        </row>
        <row r="2">
          <cell r="AH2" t="str">
            <v>2024年</v>
          </cell>
          <cell r="AI2" t="str">
            <v>2025年</v>
          </cell>
        </row>
        <row r="2">
          <cell r="AK2" t="str">
            <v>2024年</v>
          </cell>
          <cell r="AL2" t="str">
            <v>2025年</v>
          </cell>
        </row>
        <row r="2">
          <cell r="AN2" t="str">
            <v>2024年</v>
          </cell>
          <cell r="AO2" t="str">
            <v>2025年</v>
          </cell>
        </row>
        <row r="2">
          <cell r="AQ2" t="str">
            <v>2024年</v>
          </cell>
          <cell r="AR2" t="str">
            <v>2025年</v>
          </cell>
        </row>
        <row r="3">
          <cell r="C3" t="str">
            <v>长兴百诚天龙电器有限公司</v>
          </cell>
          <cell r="D3" t="str">
            <v>经销</v>
          </cell>
          <cell r="E3" t="str">
            <v>经销</v>
          </cell>
          <cell r="F3" t="str">
            <v>长兴县</v>
          </cell>
          <cell r="G3" t="str">
            <v>长兴县</v>
          </cell>
          <cell r="H3" t="str">
            <v>张正芳</v>
          </cell>
          <cell r="I3">
            <v>15</v>
          </cell>
        </row>
        <row r="3">
          <cell r="L3" t="e">
            <v>#DIV/0!</v>
          </cell>
        </row>
        <row r="3">
          <cell r="N3">
            <v>4405</v>
          </cell>
          <cell r="O3" t="e">
            <v>#DIV/0!</v>
          </cell>
          <cell r="P3">
            <v>0</v>
          </cell>
          <cell r="Q3">
            <v>4405</v>
          </cell>
          <cell r="R3" t="e">
            <v>#DIV/0!</v>
          </cell>
          <cell r="S3">
            <v>10579</v>
          </cell>
          <cell r="T3">
            <v>30000</v>
          </cell>
          <cell r="U3">
            <v>1.83580678703091</v>
          </cell>
          <cell r="V3">
            <v>10579</v>
          </cell>
          <cell r="W3">
            <v>34405</v>
          </cell>
          <cell r="X3">
            <v>2.25219775025995</v>
          </cell>
        </row>
        <row r="3">
          <cell r="AA3" t="e">
            <v>#DIV/0!</v>
          </cell>
          <cell r="AB3">
            <v>10579</v>
          </cell>
          <cell r="AC3">
            <v>34405</v>
          </cell>
          <cell r="AD3">
            <v>2.25219775025995</v>
          </cell>
        </row>
        <row r="3">
          <cell r="AG3" t="e">
            <v>#DIV/0!</v>
          </cell>
          <cell r="AH3">
            <v>10579</v>
          </cell>
          <cell r="AI3">
            <v>34405</v>
          </cell>
          <cell r="AJ3">
            <v>2.25219775025995</v>
          </cell>
          <cell r="AK3">
            <v>6097</v>
          </cell>
        </row>
        <row r="3">
          <cell r="AM3">
            <v>-1</v>
          </cell>
          <cell r="AN3">
            <v>16676</v>
          </cell>
          <cell r="AO3">
            <v>34405</v>
          </cell>
          <cell r="AP3">
            <v>1.06314463900216</v>
          </cell>
          <cell r="AQ3">
            <v>8810</v>
          </cell>
        </row>
        <row r="4">
          <cell r="C4" t="str">
            <v>南浔力恒电器商行</v>
          </cell>
          <cell r="D4" t="str">
            <v>加盟</v>
          </cell>
          <cell r="E4" t="str">
            <v>加盟</v>
          </cell>
          <cell r="F4" t="str">
            <v>南浔区</v>
          </cell>
          <cell r="G4" t="str">
            <v>南浔区</v>
          </cell>
          <cell r="H4" t="str">
            <v>陈中元</v>
          </cell>
        </row>
        <row r="4">
          <cell r="J4">
            <v>2000</v>
          </cell>
          <cell r="K4">
            <v>3500</v>
          </cell>
          <cell r="L4">
            <v>0.75</v>
          </cell>
        </row>
        <row r="4">
          <cell r="N4">
            <v>10000</v>
          </cell>
          <cell r="O4" t="e">
            <v>#DIV/0!</v>
          </cell>
          <cell r="P4">
            <v>2000</v>
          </cell>
          <cell r="Q4">
            <v>13500</v>
          </cell>
          <cell r="R4">
            <v>5.75</v>
          </cell>
        </row>
        <row r="4">
          <cell r="T4">
            <v>13017.06</v>
          </cell>
          <cell r="U4" t="e">
            <v>#DIV/0!</v>
          </cell>
          <cell r="V4">
            <v>2000</v>
          </cell>
          <cell r="W4">
            <v>26517.06</v>
          </cell>
          <cell r="X4">
            <v>12.25853</v>
          </cell>
          <cell r="Y4">
            <v>58500</v>
          </cell>
        </row>
        <row r="4">
          <cell r="AA4">
            <v>-1</v>
          </cell>
          <cell r="AB4">
            <v>60500</v>
          </cell>
          <cell r="AC4">
            <v>26517.06</v>
          </cell>
          <cell r="AD4">
            <v>-0.561701487603306</v>
          </cell>
          <cell r="AE4">
            <v>47100</v>
          </cell>
        </row>
        <row r="4">
          <cell r="AG4">
            <v>-1</v>
          </cell>
          <cell r="AH4">
            <v>107600</v>
          </cell>
          <cell r="AI4">
            <v>26517.06</v>
          </cell>
          <cell r="AJ4">
            <v>-0.753558921933085</v>
          </cell>
          <cell r="AK4">
            <v>104700</v>
          </cell>
        </row>
        <row r="4">
          <cell r="AM4">
            <v>-1</v>
          </cell>
          <cell r="AN4">
            <v>212300</v>
          </cell>
          <cell r="AO4">
            <v>26517.06</v>
          </cell>
          <cell r="AP4">
            <v>-0.875096278850683</v>
          </cell>
          <cell r="AQ4">
            <v>2311</v>
          </cell>
        </row>
        <row r="5">
          <cell r="C5" t="str">
            <v>湖州浙北大厦家电有限公司</v>
          </cell>
          <cell r="D5" t="str">
            <v>TOP渠道</v>
          </cell>
          <cell r="E5" t="str">
            <v>TOP渠道</v>
          </cell>
          <cell r="F5" t="str">
            <v>湖州市区</v>
          </cell>
          <cell r="G5" t="str">
            <v>市区</v>
          </cell>
          <cell r="H5" t="str">
            <v>翁昕</v>
          </cell>
          <cell r="I5">
            <v>600</v>
          </cell>
          <cell r="J5">
            <v>200000</v>
          </cell>
          <cell r="K5">
            <v>400000</v>
          </cell>
          <cell r="L5">
            <v>1</v>
          </cell>
          <cell r="M5">
            <v>300000</v>
          </cell>
          <cell r="N5">
            <v>300000</v>
          </cell>
          <cell r="O5">
            <v>0</v>
          </cell>
          <cell r="P5">
            <v>500000</v>
          </cell>
          <cell r="Q5">
            <v>700000</v>
          </cell>
          <cell r="R5">
            <v>0.4</v>
          </cell>
        </row>
        <row r="5">
          <cell r="T5">
            <v>210000</v>
          </cell>
          <cell r="U5" t="e">
            <v>#DIV/0!</v>
          </cell>
          <cell r="V5">
            <v>500000</v>
          </cell>
          <cell r="W5">
            <v>910000</v>
          </cell>
          <cell r="X5">
            <v>0.82</v>
          </cell>
          <cell r="Y5">
            <v>250000</v>
          </cell>
          <cell r="Z5">
            <v>400000</v>
          </cell>
          <cell r="AA5">
            <v>0.6</v>
          </cell>
          <cell r="AB5">
            <v>750000</v>
          </cell>
          <cell r="AC5">
            <v>1310000</v>
          </cell>
          <cell r="AD5">
            <v>0.746666666666667</v>
          </cell>
          <cell r="AE5">
            <v>420000</v>
          </cell>
          <cell r="AF5">
            <v>180000</v>
          </cell>
          <cell r="AG5">
            <v>-0.571428571428571</v>
          </cell>
          <cell r="AH5">
            <v>1170000</v>
          </cell>
          <cell r="AI5">
            <v>1490000</v>
          </cell>
          <cell r="AJ5">
            <v>0.273504273504273</v>
          </cell>
          <cell r="AK5">
            <v>150000</v>
          </cell>
          <cell r="AL5">
            <v>200000</v>
          </cell>
          <cell r="AM5">
            <v>0.333333333333333</v>
          </cell>
          <cell r="AN5">
            <v>1320000</v>
          </cell>
          <cell r="AO5">
            <v>1690000</v>
          </cell>
          <cell r="AP5">
            <v>0.28030303030303</v>
          </cell>
          <cell r="AQ5">
            <v>200000</v>
          </cell>
          <cell r="AR5">
            <v>250000</v>
          </cell>
        </row>
        <row r="6">
          <cell r="C6" t="str">
            <v>德清县武康镇佳通制冷设备商行</v>
          </cell>
          <cell r="D6" t="str">
            <v>经销</v>
          </cell>
          <cell r="E6" t="str">
            <v>经销</v>
          </cell>
          <cell r="F6" t="str">
            <v>德清县</v>
          </cell>
          <cell r="G6" t="str">
            <v>德清县</v>
          </cell>
          <cell r="H6" t="str">
            <v>陈中元</v>
          </cell>
          <cell r="I6">
            <v>70</v>
          </cell>
        </row>
        <row r="6">
          <cell r="K6">
            <v>23268</v>
          </cell>
          <cell r="L6" t="e">
            <v>#DIV/0!</v>
          </cell>
        </row>
        <row r="6">
          <cell r="N6">
            <v>20000</v>
          </cell>
          <cell r="O6" t="e">
            <v>#DIV/0!</v>
          </cell>
          <cell r="P6">
            <v>0</v>
          </cell>
          <cell r="Q6">
            <v>43268</v>
          </cell>
          <cell r="R6" t="e">
            <v>#DIV/0!</v>
          </cell>
          <cell r="S6">
            <v>150040</v>
          </cell>
          <cell r="T6">
            <v>110886</v>
          </cell>
          <cell r="U6">
            <v>-0.260957078112503</v>
          </cell>
          <cell r="V6">
            <v>150040</v>
          </cell>
          <cell r="W6">
            <v>154154</v>
          </cell>
          <cell r="X6">
            <v>0.0274193548387096</v>
          </cell>
        </row>
        <row r="6">
          <cell r="AA6" t="e">
            <v>#DIV/0!</v>
          </cell>
          <cell r="AB6">
            <v>150040</v>
          </cell>
          <cell r="AC6">
            <v>154154</v>
          </cell>
          <cell r="AD6">
            <v>0.0274193548387096</v>
          </cell>
          <cell r="AE6">
            <v>39000</v>
          </cell>
          <cell r="AF6">
            <v>31123</v>
          </cell>
          <cell r="AG6">
            <v>-0.201974358974359</v>
          </cell>
          <cell r="AH6">
            <v>189040</v>
          </cell>
          <cell r="AI6">
            <v>185277</v>
          </cell>
          <cell r="AJ6">
            <v>-0.0199058400338553</v>
          </cell>
          <cell r="AK6">
            <v>141000</v>
          </cell>
          <cell r="AL6">
            <v>25000</v>
          </cell>
          <cell r="AM6">
            <v>-0.822695035460993</v>
          </cell>
          <cell r="AN6">
            <v>330040</v>
          </cell>
          <cell r="AO6">
            <v>210277</v>
          </cell>
          <cell r="AP6">
            <v>-0.362874197067022</v>
          </cell>
          <cell r="AQ6">
            <v>2746.26</v>
          </cell>
          <cell r="AR6">
            <v>26000</v>
          </cell>
        </row>
        <row r="7">
          <cell r="C7" t="str">
            <v>湖州长兴之窗专卖店</v>
          </cell>
          <cell r="D7" t="str">
            <v>直营</v>
          </cell>
          <cell r="E7" t="str">
            <v>直营</v>
          </cell>
          <cell r="F7" t="str">
            <v>长兴县</v>
          </cell>
          <cell r="G7" t="str">
            <v>长兴县</v>
          </cell>
          <cell r="H7" t="str">
            <v>张正芳</v>
          </cell>
          <cell r="I7">
            <v>75</v>
          </cell>
          <cell r="J7">
            <v>68740</v>
          </cell>
          <cell r="K7">
            <v>41556</v>
          </cell>
          <cell r="L7">
            <v>-0.395461157986616</v>
          </cell>
          <cell r="M7">
            <v>17488</v>
          </cell>
          <cell r="N7">
            <v>23930</v>
          </cell>
          <cell r="O7">
            <v>0.368366880146386</v>
          </cell>
          <cell r="P7">
            <v>86228</v>
          </cell>
          <cell r="Q7">
            <v>65486</v>
          </cell>
          <cell r="R7">
            <v>-0.240548313772788</v>
          </cell>
          <cell r="S7">
            <v>42550</v>
          </cell>
          <cell r="T7">
            <v>28616</v>
          </cell>
          <cell r="U7">
            <v>-0.327473560517039</v>
          </cell>
          <cell r="V7">
            <v>128778</v>
          </cell>
          <cell r="W7">
            <v>94102</v>
          </cell>
          <cell r="X7">
            <v>-0.269269595738402</v>
          </cell>
          <cell r="Y7">
            <v>48590</v>
          </cell>
          <cell r="Z7">
            <v>5936</v>
          </cell>
          <cell r="AA7">
            <v>-0.877834945462029</v>
          </cell>
          <cell r="AB7">
            <v>177368</v>
          </cell>
          <cell r="AC7">
            <v>100038</v>
          </cell>
          <cell r="AD7">
            <v>-0.435986198186821</v>
          </cell>
          <cell r="AE7">
            <v>76270</v>
          </cell>
          <cell r="AF7">
            <v>33015</v>
          </cell>
          <cell r="AG7">
            <v>-0.567129933132293</v>
          </cell>
          <cell r="AH7">
            <v>253638</v>
          </cell>
          <cell r="AI7">
            <v>133053</v>
          </cell>
          <cell r="AJ7">
            <v>-0.475421663946254</v>
          </cell>
          <cell r="AK7">
            <v>39070</v>
          </cell>
          <cell r="AL7">
            <v>4599</v>
          </cell>
          <cell r="AM7">
            <v>-0.882288200665472</v>
          </cell>
          <cell r="AN7">
            <v>292708</v>
          </cell>
          <cell r="AO7">
            <v>137652</v>
          </cell>
          <cell r="AP7">
            <v>-0.529729286524454</v>
          </cell>
          <cell r="AQ7">
            <v>10450</v>
          </cell>
          <cell r="AR7">
            <v>-4599</v>
          </cell>
        </row>
        <row r="8">
          <cell r="C8" t="str">
            <v>湖州金蝶零售</v>
          </cell>
          <cell r="D8" t="str">
            <v>零售</v>
          </cell>
          <cell r="E8" t="str">
            <v>零售</v>
          </cell>
          <cell r="F8" t="str">
            <v>湖州市区</v>
          </cell>
          <cell r="G8" t="str">
            <v>市区</v>
          </cell>
          <cell r="H8" t="str">
            <v>陈中元</v>
          </cell>
        </row>
        <row r="8">
          <cell r="J8">
            <v>216965.28</v>
          </cell>
          <cell r="K8">
            <v>4938</v>
          </cell>
          <cell r="L8">
            <v>-0.977240598127037</v>
          </cell>
          <cell r="M8">
            <v>59548</v>
          </cell>
        </row>
        <row r="8">
          <cell r="O8">
            <v>-1</v>
          </cell>
          <cell r="P8">
            <v>276513.28</v>
          </cell>
          <cell r="Q8">
            <v>4938</v>
          </cell>
          <cell r="R8">
            <v>-0.98214190652977</v>
          </cell>
          <cell r="S8">
            <v>97829.46</v>
          </cell>
          <cell r="T8">
            <v>2998</v>
          </cell>
          <cell r="U8">
            <v>-0.969354834423087</v>
          </cell>
          <cell r="V8">
            <v>374342.74</v>
          </cell>
          <cell r="W8">
            <v>7936</v>
          </cell>
          <cell r="X8">
            <v>-0.978800176544094</v>
          </cell>
          <cell r="Y8">
            <v>14652</v>
          </cell>
          <cell r="Z8">
            <v>2400</v>
          </cell>
          <cell r="AA8">
            <v>-0.836199836199836</v>
          </cell>
          <cell r="AB8">
            <v>388994.74</v>
          </cell>
          <cell r="AC8">
            <v>10336</v>
          </cell>
          <cell r="AD8">
            <v>-0.973428946622774</v>
          </cell>
          <cell r="AE8">
            <v>2100</v>
          </cell>
          <cell r="AF8">
            <v>11730</v>
          </cell>
          <cell r="AG8">
            <v>4.58571428571429</v>
          </cell>
          <cell r="AH8">
            <v>391094.74</v>
          </cell>
          <cell r="AI8">
            <v>22066</v>
          </cell>
          <cell r="AJ8">
            <v>-0.943578888327672</v>
          </cell>
        </row>
        <row r="8">
          <cell r="AL8">
            <v>10598</v>
          </cell>
          <cell r="AM8" t="e">
            <v>#DIV/0!</v>
          </cell>
          <cell r="AN8">
            <v>391094.74</v>
          </cell>
          <cell r="AO8">
            <v>32664</v>
          </cell>
          <cell r="AP8">
            <v>-0.916480594957631</v>
          </cell>
          <cell r="AQ8">
            <v>18196</v>
          </cell>
          <cell r="AR8">
            <v>8400</v>
          </cell>
        </row>
        <row r="9">
          <cell r="C9" t="str">
            <v>吴兴新丰豪厨卫热水器商店</v>
          </cell>
          <cell r="D9" t="str">
            <v>经销</v>
          </cell>
          <cell r="E9" t="str">
            <v>经销</v>
          </cell>
          <cell r="F9" t="str">
            <v>湖州市区</v>
          </cell>
          <cell r="G9" t="str">
            <v>吴兴区</v>
          </cell>
          <cell r="H9" t="str">
            <v>陈中元</v>
          </cell>
        </row>
        <row r="9">
          <cell r="J9">
            <v>4521</v>
          </cell>
        </row>
        <row r="9">
          <cell r="L9">
            <v>-1</v>
          </cell>
        </row>
        <row r="9">
          <cell r="O9" t="e">
            <v>#DIV/0!</v>
          </cell>
          <cell r="P9">
            <v>4521</v>
          </cell>
          <cell r="Q9">
            <v>0</v>
          </cell>
          <cell r="R9">
            <v>-1</v>
          </cell>
        </row>
        <row r="9">
          <cell r="U9" t="e">
            <v>#DIV/0!</v>
          </cell>
          <cell r="V9">
            <v>4521</v>
          </cell>
          <cell r="W9">
            <v>0</v>
          </cell>
          <cell r="X9">
            <v>-1</v>
          </cell>
          <cell r="Y9">
            <v>3305</v>
          </cell>
        </row>
        <row r="9">
          <cell r="AA9">
            <v>-1</v>
          </cell>
          <cell r="AB9">
            <v>7826</v>
          </cell>
          <cell r="AC9">
            <v>0</v>
          </cell>
          <cell r="AD9">
            <v>-1</v>
          </cell>
        </row>
        <row r="9">
          <cell r="AG9" t="e">
            <v>#DIV/0!</v>
          </cell>
          <cell r="AH9">
            <v>7826</v>
          </cell>
          <cell r="AI9">
            <v>0</v>
          </cell>
          <cell r="AJ9">
            <v>-1</v>
          </cell>
        </row>
        <row r="9">
          <cell r="AM9" t="e">
            <v>#DIV/0!</v>
          </cell>
          <cell r="AN9">
            <v>7826</v>
          </cell>
          <cell r="AO9">
            <v>0</v>
          </cell>
          <cell r="AP9">
            <v>-1</v>
          </cell>
        </row>
        <row r="10">
          <cell r="C10" t="str">
            <v>湖州晓宇冷暖设备工程有限公司</v>
          </cell>
          <cell r="D10" t="str">
            <v>暖通</v>
          </cell>
          <cell r="E10" t="str">
            <v>暖通</v>
          </cell>
          <cell r="F10" t="str">
            <v>湖州市区</v>
          </cell>
          <cell r="G10" t="str">
            <v>吴兴区</v>
          </cell>
          <cell r="H10" t="str">
            <v>陈中元</v>
          </cell>
        </row>
        <row r="10">
          <cell r="J10">
            <v>18336</v>
          </cell>
          <cell r="K10">
            <v>790</v>
          </cell>
          <cell r="L10">
            <v>-0.956915357766143</v>
          </cell>
          <cell r="M10">
            <v>5885</v>
          </cell>
        </row>
        <row r="10">
          <cell r="O10">
            <v>-1</v>
          </cell>
          <cell r="P10">
            <v>24221</v>
          </cell>
          <cell r="Q10">
            <v>790</v>
          </cell>
          <cell r="R10">
            <v>-0.967383675323067</v>
          </cell>
          <cell r="S10">
            <v>9785</v>
          </cell>
          <cell r="T10">
            <v>9575</v>
          </cell>
          <cell r="U10">
            <v>-0.0214614205416453</v>
          </cell>
          <cell r="V10">
            <v>34006</v>
          </cell>
          <cell r="W10">
            <v>10365</v>
          </cell>
          <cell r="X10">
            <v>-0.695200846909369</v>
          </cell>
          <cell r="Y10">
            <v>20567</v>
          </cell>
        </row>
        <row r="10">
          <cell r="AA10">
            <v>-1</v>
          </cell>
          <cell r="AB10">
            <v>54573</v>
          </cell>
          <cell r="AC10">
            <v>10365</v>
          </cell>
          <cell r="AD10">
            <v>-0.810070914188335</v>
          </cell>
        </row>
        <row r="10">
          <cell r="AG10" t="e">
            <v>#DIV/0!</v>
          </cell>
          <cell r="AH10">
            <v>54573</v>
          </cell>
          <cell r="AI10">
            <v>10365</v>
          </cell>
          <cell r="AJ10">
            <v>-0.810070914188335</v>
          </cell>
          <cell r="AK10">
            <v>1580</v>
          </cell>
        </row>
        <row r="10">
          <cell r="AM10">
            <v>-1</v>
          </cell>
          <cell r="AN10">
            <v>56153</v>
          </cell>
          <cell r="AO10">
            <v>10365</v>
          </cell>
          <cell r="AP10">
            <v>-0.815415026801774</v>
          </cell>
        </row>
        <row r="11">
          <cell r="C11" t="str">
            <v>长兴银海电器有限公司</v>
          </cell>
          <cell r="D11" t="str">
            <v>经销</v>
          </cell>
          <cell r="E11" t="str">
            <v>经销</v>
          </cell>
          <cell r="F11" t="str">
            <v>长兴县</v>
          </cell>
          <cell r="G11" t="str">
            <v>长兴县</v>
          </cell>
          <cell r="H11" t="str">
            <v>张正芳</v>
          </cell>
        </row>
        <row r="11">
          <cell r="L11" t="e">
            <v>#DIV/0!</v>
          </cell>
        </row>
        <row r="11">
          <cell r="O11" t="e">
            <v>#DIV/0!</v>
          </cell>
          <cell r="P11">
            <v>0</v>
          </cell>
          <cell r="Q11">
            <v>0</v>
          </cell>
          <cell r="R11" t="e">
            <v>#DIV/0!</v>
          </cell>
          <cell r="S11">
            <v>2896.82</v>
          </cell>
        </row>
        <row r="11">
          <cell r="U11">
            <v>-1</v>
          </cell>
          <cell r="V11">
            <v>2896.82</v>
          </cell>
          <cell r="W11">
            <v>0</v>
          </cell>
          <cell r="X11">
            <v>-1</v>
          </cell>
        </row>
        <row r="11">
          <cell r="AA11" t="e">
            <v>#DIV/0!</v>
          </cell>
          <cell r="AB11">
            <v>2896.82</v>
          </cell>
          <cell r="AC11">
            <v>0</v>
          </cell>
          <cell r="AD11">
            <v>-1</v>
          </cell>
        </row>
        <row r="11">
          <cell r="AG11" t="e">
            <v>#DIV/0!</v>
          </cell>
          <cell r="AH11">
            <v>2896.82</v>
          </cell>
          <cell r="AI11">
            <v>0</v>
          </cell>
          <cell r="AJ11">
            <v>-1</v>
          </cell>
        </row>
        <row r="11">
          <cell r="AM11" t="e">
            <v>#DIV/0!</v>
          </cell>
          <cell r="AN11">
            <v>2896.82</v>
          </cell>
          <cell r="AO11">
            <v>0</v>
          </cell>
          <cell r="AP11">
            <v>-1</v>
          </cell>
        </row>
        <row r="12">
          <cell r="C12" t="str">
            <v>长兴小浙北家电（长兴县浙北家用电器有限公司）</v>
          </cell>
          <cell r="D12" t="str">
            <v>经销</v>
          </cell>
          <cell r="E12" t="str">
            <v>经销</v>
          </cell>
          <cell r="F12" t="str">
            <v>长兴县</v>
          </cell>
          <cell r="G12" t="str">
            <v>长兴县</v>
          </cell>
          <cell r="H12" t="str">
            <v>张正芳</v>
          </cell>
          <cell r="I12">
            <v>15</v>
          </cell>
          <cell r="J12">
            <v>20000</v>
          </cell>
        </row>
        <row r="12">
          <cell r="L12">
            <v>-1</v>
          </cell>
        </row>
        <row r="12">
          <cell r="O12" t="e">
            <v>#DIV/0!</v>
          </cell>
          <cell r="P12">
            <v>20000</v>
          </cell>
          <cell r="Q12">
            <v>0</v>
          </cell>
          <cell r="R12">
            <v>-1</v>
          </cell>
          <cell r="S12">
            <v>30000</v>
          </cell>
        </row>
        <row r="12">
          <cell r="U12">
            <v>-1</v>
          </cell>
          <cell r="V12">
            <v>50000</v>
          </cell>
          <cell r="W12">
            <v>0</v>
          </cell>
          <cell r="X12">
            <v>-1</v>
          </cell>
        </row>
        <row r="12">
          <cell r="AA12" t="e">
            <v>#DIV/0!</v>
          </cell>
          <cell r="AB12">
            <v>50000</v>
          </cell>
          <cell r="AC12">
            <v>0</v>
          </cell>
          <cell r="AD12">
            <v>-1</v>
          </cell>
        </row>
        <row r="12">
          <cell r="AG12" t="e">
            <v>#DIV/0!</v>
          </cell>
          <cell r="AH12">
            <v>50000</v>
          </cell>
          <cell r="AI12">
            <v>0</v>
          </cell>
          <cell r="AJ12">
            <v>-1</v>
          </cell>
        </row>
        <row r="12">
          <cell r="AL12">
            <v>6167</v>
          </cell>
          <cell r="AM12" t="e">
            <v>#DIV/0!</v>
          </cell>
          <cell r="AN12">
            <v>50000</v>
          </cell>
          <cell r="AO12">
            <v>6167</v>
          </cell>
          <cell r="AP12">
            <v>-0.87666</v>
          </cell>
        </row>
        <row r="13">
          <cell r="C13" t="str">
            <v>湖州东邦商贸有限公司</v>
          </cell>
          <cell r="D13" t="str">
            <v>经销</v>
          </cell>
          <cell r="E13" t="str">
            <v>经销</v>
          </cell>
          <cell r="F13" t="str">
            <v>长兴县</v>
          </cell>
          <cell r="G13" t="str">
            <v>长兴县</v>
          </cell>
          <cell r="H13" t="str">
            <v>张正芳</v>
          </cell>
          <cell r="I13">
            <v>30</v>
          </cell>
          <cell r="J13">
            <v>26400</v>
          </cell>
        </row>
        <row r="13">
          <cell r="L13">
            <v>-1</v>
          </cell>
        </row>
        <row r="13">
          <cell r="O13" t="e">
            <v>#DIV/0!</v>
          </cell>
          <cell r="P13">
            <v>26400</v>
          </cell>
          <cell r="Q13">
            <v>0</v>
          </cell>
          <cell r="R13">
            <v>-1</v>
          </cell>
          <cell r="S13">
            <v>72600</v>
          </cell>
        </row>
        <row r="13">
          <cell r="U13">
            <v>-1</v>
          </cell>
          <cell r="V13">
            <v>99000</v>
          </cell>
          <cell r="W13">
            <v>0</v>
          </cell>
          <cell r="X13">
            <v>-1</v>
          </cell>
        </row>
        <row r="13">
          <cell r="AA13" t="e">
            <v>#DIV/0!</v>
          </cell>
          <cell r="AB13">
            <v>99000</v>
          </cell>
          <cell r="AC13">
            <v>0</v>
          </cell>
          <cell r="AD13">
            <v>-1</v>
          </cell>
        </row>
        <row r="13">
          <cell r="AG13" t="e">
            <v>#DIV/0!</v>
          </cell>
          <cell r="AH13">
            <v>99000</v>
          </cell>
          <cell r="AI13">
            <v>0</v>
          </cell>
          <cell r="AJ13">
            <v>-1</v>
          </cell>
        </row>
        <row r="13">
          <cell r="AM13" t="e">
            <v>#DIV/0!</v>
          </cell>
          <cell r="AN13">
            <v>99000</v>
          </cell>
          <cell r="AO13">
            <v>0</v>
          </cell>
          <cell r="AP13">
            <v>-1</v>
          </cell>
        </row>
        <row r="14">
          <cell r="C14" t="str">
            <v>安吉方润家电有限公司</v>
          </cell>
          <cell r="D14" t="str">
            <v>经销</v>
          </cell>
          <cell r="E14" t="str">
            <v>经销</v>
          </cell>
          <cell r="F14" t="str">
            <v>安吉县</v>
          </cell>
          <cell r="G14" t="str">
            <v>安吉县</v>
          </cell>
          <cell r="H14" t="str">
            <v>陈中元</v>
          </cell>
        </row>
        <row r="14">
          <cell r="J14">
            <v>3600</v>
          </cell>
        </row>
        <row r="14">
          <cell r="L14">
            <v>-1</v>
          </cell>
        </row>
        <row r="14">
          <cell r="O14" t="e">
            <v>#DIV/0!</v>
          </cell>
          <cell r="P14">
            <v>3600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3600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3600</v>
          </cell>
          <cell r="AC14">
            <v>0</v>
          </cell>
          <cell r="AD14">
            <v>-1</v>
          </cell>
          <cell r="AE14">
            <v>13074</v>
          </cell>
        </row>
        <row r="14">
          <cell r="AG14">
            <v>-1</v>
          </cell>
          <cell r="AH14">
            <v>16674</v>
          </cell>
          <cell r="AI14">
            <v>0</v>
          </cell>
          <cell r="AJ14">
            <v>-1</v>
          </cell>
        </row>
        <row r="14">
          <cell r="AM14" t="e">
            <v>#DIV/0!</v>
          </cell>
          <cell r="AN14">
            <v>16674</v>
          </cell>
          <cell r="AO14">
            <v>0</v>
          </cell>
          <cell r="AP14">
            <v>-1</v>
          </cell>
        </row>
        <row r="15">
          <cell r="C15" t="str">
            <v>湖州魁联电器有限公司</v>
          </cell>
          <cell r="D15" t="str">
            <v>经销</v>
          </cell>
          <cell r="E15" t="str">
            <v>经销</v>
          </cell>
          <cell r="F15" t="str">
            <v>长兴县</v>
          </cell>
          <cell r="G15" t="str">
            <v>长兴县</v>
          </cell>
          <cell r="H15" t="str">
            <v>张正芳</v>
          </cell>
        </row>
        <row r="15">
          <cell r="L15" t="e">
            <v>#DIV/0!</v>
          </cell>
        </row>
        <row r="15">
          <cell r="O15" t="e">
            <v>#DIV/0!</v>
          </cell>
          <cell r="P15">
            <v>0</v>
          </cell>
          <cell r="Q15">
            <v>0</v>
          </cell>
          <cell r="R15" t="e">
            <v>#DIV/0!</v>
          </cell>
        </row>
        <row r="15">
          <cell r="U15" t="e">
            <v>#DIV/0!</v>
          </cell>
          <cell r="V15">
            <v>0</v>
          </cell>
          <cell r="W15">
            <v>0</v>
          </cell>
          <cell r="X15" t="e">
            <v>#DIV/0!</v>
          </cell>
        </row>
        <row r="15">
          <cell r="AA15" t="e">
            <v>#DIV/0!</v>
          </cell>
          <cell r="AB15">
            <v>0</v>
          </cell>
          <cell r="AC15">
            <v>0</v>
          </cell>
          <cell r="AD15" t="e">
            <v>#DIV/0!</v>
          </cell>
        </row>
        <row r="15">
          <cell r="AG15" t="e">
            <v>#DIV/0!</v>
          </cell>
          <cell r="AH15">
            <v>0</v>
          </cell>
          <cell r="AI15">
            <v>0</v>
          </cell>
          <cell r="AJ15" t="e">
            <v>#DIV/0!</v>
          </cell>
        </row>
        <row r="15">
          <cell r="AM15" t="e">
            <v>#DIV/0!</v>
          </cell>
          <cell r="AN15">
            <v>0</v>
          </cell>
          <cell r="AO15">
            <v>0</v>
          </cell>
          <cell r="AP15" t="e">
            <v>#DIV/0!</v>
          </cell>
        </row>
        <row r="16">
          <cell r="C16" t="str">
            <v>湖州菱通冷暖设备有限公司</v>
          </cell>
          <cell r="D16" t="str">
            <v>暖通</v>
          </cell>
          <cell r="E16" t="str">
            <v>暖通</v>
          </cell>
          <cell r="F16" t="str">
            <v>湖州市区</v>
          </cell>
          <cell r="G16" t="str">
            <v>吴兴区</v>
          </cell>
          <cell r="H16" t="str">
            <v>陈中元</v>
          </cell>
        </row>
        <row r="16">
          <cell r="J16">
            <v>3107</v>
          </cell>
        </row>
        <row r="16">
          <cell r="L16">
            <v>-1</v>
          </cell>
        </row>
        <row r="16">
          <cell r="O16" t="e">
            <v>#DIV/0!</v>
          </cell>
          <cell r="P16">
            <v>3107</v>
          </cell>
          <cell r="Q16">
            <v>0</v>
          </cell>
          <cell r="R16">
            <v>-1</v>
          </cell>
        </row>
        <row r="16">
          <cell r="U16" t="e">
            <v>#DIV/0!</v>
          </cell>
          <cell r="V16">
            <v>3107</v>
          </cell>
          <cell r="W16">
            <v>0</v>
          </cell>
          <cell r="X16">
            <v>-1</v>
          </cell>
          <cell r="Y16">
            <v>4335</v>
          </cell>
        </row>
        <row r="16">
          <cell r="AA16">
            <v>-1</v>
          </cell>
          <cell r="AB16">
            <v>7442</v>
          </cell>
          <cell r="AC16">
            <v>0</v>
          </cell>
          <cell r="AD16">
            <v>-1</v>
          </cell>
        </row>
        <row r="16">
          <cell r="AG16" t="e">
            <v>#DIV/0!</v>
          </cell>
          <cell r="AH16">
            <v>7442</v>
          </cell>
          <cell r="AI16">
            <v>0</v>
          </cell>
          <cell r="AJ16">
            <v>-1</v>
          </cell>
        </row>
        <row r="16">
          <cell r="AM16" t="e">
            <v>#DIV/0!</v>
          </cell>
          <cell r="AN16">
            <v>7442</v>
          </cell>
          <cell r="AO16">
            <v>0</v>
          </cell>
          <cell r="AP16">
            <v>-1</v>
          </cell>
        </row>
        <row r="17">
          <cell r="C17" t="str">
            <v>长兴纵跃机电有限公司</v>
          </cell>
          <cell r="D17" t="str">
            <v>经销</v>
          </cell>
          <cell r="E17" t="str">
            <v>经销</v>
          </cell>
          <cell r="F17" t="str">
            <v>长兴县</v>
          </cell>
          <cell r="G17" t="str">
            <v>长兴县</v>
          </cell>
          <cell r="H17" t="str">
            <v>张正芳</v>
          </cell>
        </row>
        <row r="17">
          <cell r="J17">
            <v>4789</v>
          </cell>
        </row>
        <row r="17">
          <cell r="L17">
            <v>-1</v>
          </cell>
        </row>
        <row r="17">
          <cell r="O17" t="e">
            <v>#DIV/0!</v>
          </cell>
          <cell r="P17">
            <v>4789</v>
          </cell>
          <cell r="Q17">
            <v>0</v>
          </cell>
          <cell r="R17">
            <v>-1</v>
          </cell>
          <cell r="S17">
            <v>7800</v>
          </cell>
        </row>
        <row r="17">
          <cell r="U17">
            <v>-1</v>
          </cell>
          <cell r="V17">
            <v>12589</v>
          </cell>
          <cell r="W17">
            <v>0</v>
          </cell>
          <cell r="X17">
            <v>-1</v>
          </cell>
        </row>
        <row r="17">
          <cell r="AA17" t="e">
            <v>#DIV/0!</v>
          </cell>
          <cell r="AB17">
            <v>12589</v>
          </cell>
          <cell r="AC17">
            <v>0</v>
          </cell>
          <cell r="AD17">
            <v>-1</v>
          </cell>
        </row>
        <row r="17">
          <cell r="AG17" t="e">
            <v>#DIV/0!</v>
          </cell>
          <cell r="AH17">
            <v>12589</v>
          </cell>
          <cell r="AI17">
            <v>0</v>
          </cell>
          <cell r="AJ17">
            <v>-1</v>
          </cell>
        </row>
        <row r="17">
          <cell r="AM17" t="e">
            <v>#DIV/0!</v>
          </cell>
          <cell r="AN17">
            <v>12589</v>
          </cell>
          <cell r="AO17">
            <v>0</v>
          </cell>
          <cell r="AP17">
            <v>-1</v>
          </cell>
        </row>
        <row r="18">
          <cell r="C18" t="str">
            <v>湖州浙北网格家电有限公司</v>
          </cell>
          <cell r="D18" t="str">
            <v>经销</v>
          </cell>
          <cell r="E18" t="str">
            <v>经销</v>
          </cell>
          <cell r="F18" t="str">
            <v>湖州市区</v>
          </cell>
          <cell r="G18" t="str">
            <v>市区</v>
          </cell>
          <cell r="H18" t="str">
            <v>翁昕</v>
          </cell>
        </row>
        <row r="18">
          <cell r="J18">
            <v>10000</v>
          </cell>
        </row>
        <row r="18">
          <cell r="L18">
            <v>-1</v>
          </cell>
        </row>
        <row r="18">
          <cell r="N18">
            <v>30820</v>
          </cell>
          <cell r="O18" t="e">
            <v>#DIV/0!</v>
          </cell>
          <cell r="P18">
            <v>10000</v>
          </cell>
          <cell r="Q18">
            <v>30820</v>
          </cell>
          <cell r="R18">
            <v>2.082</v>
          </cell>
        </row>
        <row r="18">
          <cell r="T18">
            <v>9744</v>
          </cell>
          <cell r="U18" t="e">
            <v>#DIV/0!</v>
          </cell>
          <cell r="V18">
            <v>10000</v>
          </cell>
          <cell r="W18">
            <v>40564</v>
          </cell>
          <cell r="X18">
            <v>3.0564</v>
          </cell>
        </row>
        <row r="18">
          <cell r="AA18" t="e">
            <v>#DIV/0!</v>
          </cell>
          <cell r="AB18">
            <v>10000</v>
          </cell>
          <cell r="AC18">
            <v>40564</v>
          </cell>
          <cell r="AD18">
            <v>3.0564</v>
          </cell>
        </row>
        <row r="18">
          <cell r="AF18">
            <v>32390</v>
          </cell>
          <cell r="AG18" t="e">
            <v>#DIV/0!</v>
          </cell>
          <cell r="AH18">
            <v>10000</v>
          </cell>
          <cell r="AI18">
            <v>72954</v>
          </cell>
          <cell r="AJ18">
            <v>6.2954</v>
          </cell>
        </row>
        <row r="18">
          <cell r="AL18">
            <v>21149</v>
          </cell>
          <cell r="AM18" t="e">
            <v>#DIV/0!</v>
          </cell>
          <cell r="AN18">
            <v>10000</v>
          </cell>
          <cell r="AO18">
            <v>94103</v>
          </cell>
          <cell r="AP18">
            <v>8.4103</v>
          </cell>
          <cell r="AQ18">
            <v>24563</v>
          </cell>
          <cell r="AR18">
            <v>24595</v>
          </cell>
        </row>
        <row r="19">
          <cell r="C19" t="str">
            <v>湖州乐曜贸易有限公司</v>
          </cell>
          <cell r="D19" t="str">
            <v>经销</v>
          </cell>
          <cell r="E19" t="str">
            <v>经销</v>
          </cell>
          <cell r="F19" t="str">
            <v>湖州市区</v>
          </cell>
          <cell r="G19" t="str">
            <v>市区</v>
          </cell>
          <cell r="H19" t="str">
            <v>陈中元</v>
          </cell>
        </row>
        <row r="19">
          <cell r="L19" t="e">
            <v>#DIV/0!</v>
          </cell>
        </row>
        <row r="19">
          <cell r="O19" t="e">
            <v>#DIV/0!</v>
          </cell>
          <cell r="P19">
            <v>0</v>
          </cell>
          <cell r="Q19">
            <v>0</v>
          </cell>
          <cell r="R19" t="e">
            <v>#DIV/0!</v>
          </cell>
          <cell r="S19">
            <v>2962</v>
          </cell>
        </row>
        <row r="19">
          <cell r="U19">
            <v>-1</v>
          </cell>
          <cell r="V19">
            <v>2962</v>
          </cell>
          <cell r="W19">
            <v>0</v>
          </cell>
          <cell r="X19">
            <v>-1</v>
          </cell>
        </row>
        <row r="19">
          <cell r="AA19" t="e">
            <v>#DIV/0!</v>
          </cell>
          <cell r="AB19">
            <v>2962</v>
          </cell>
          <cell r="AC19">
            <v>0</v>
          </cell>
          <cell r="AD19">
            <v>-1</v>
          </cell>
        </row>
        <row r="19">
          <cell r="AG19" t="e">
            <v>#DIV/0!</v>
          </cell>
          <cell r="AH19">
            <v>2962</v>
          </cell>
          <cell r="AI19">
            <v>0</v>
          </cell>
          <cell r="AJ19">
            <v>-1</v>
          </cell>
        </row>
        <row r="19">
          <cell r="AM19" t="e">
            <v>#DIV/0!</v>
          </cell>
          <cell r="AN19">
            <v>2962</v>
          </cell>
          <cell r="AO19">
            <v>0</v>
          </cell>
          <cell r="AP19">
            <v>-1</v>
          </cell>
        </row>
        <row r="20">
          <cell r="C20" t="str">
            <v>苏宁易购集团股份有限公司苏宁采购中心</v>
          </cell>
          <cell r="D20" t="str">
            <v>经销</v>
          </cell>
          <cell r="E20" t="str">
            <v>经销</v>
          </cell>
          <cell r="F20" t="str">
            <v>湖州市区</v>
          </cell>
          <cell r="G20" t="str">
            <v>市区</v>
          </cell>
          <cell r="H20" t="str">
            <v>陈中元</v>
          </cell>
        </row>
        <row r="20">
          <cell r="L20" t="e">
            <v>#DIV/0!</v>
          </cell>
        </row>
        <row r="20">
          <cell r="N20">
            <v>1736.04</v>
          </cell>
          <cell r="O20" t="e">
            <v>#DIV/0!</v>
          </cell>
          <cell r="P20">
            <v>0</v>
          </cell>
          <cell r="Q20">
            <v>1736.04</v>
          </cell>
          <cell r="R20" t="e">
            <v>#DIV/0!</v>
          </cell>
        </row>
        <row r="20">
          <cell r="U20" t="e">
            <v>#DIV/0!</v>
          </cell>
          <cell r="V20">
            <v>0</v>
          </cell>
          <cell r="W20">
            <v>1736.04</v>
          </cell>
          <cell r="X20" t="e">
            <v>#DIV/0!</v>
          </cell>
        </row>
        <row r="20">
          <cell r="Z20">
            <v>3472.08</v>
          </cell>
          <cell r="AA20" t="e">
            <v>#DIV/0!</v>
          </cell>
          <cell r="AB20">
            <v>0</v>
          </cell>
          <cell r="AC20">
            <v>5208.12</v>
          </cell>
          <cell r="AD20" t="e">
            <v>#DIV/0!</v>
          </cell>
        </row>
        <row r="20">
          <cell r="AG20" t="e">
            <v>#DIV/0!</v>
          </cell>
          <cell r="AH20">
            <v>0</v>
          </cell>
          <cell r="AI20">
            <v>5208.12</v>
          </cell>
          <cell r="AJ20" t="e">
            <v>#DIV/0!</v>
          </cell>
        </row>
        <row r="20">
          <cell r="AM20" t="e">
            <v>#DIV/0!</v>
          </cell>
          <cell r="AN20">
            <v>0</v>
          </cell>
          <cell r="AO20">
            <v>5208.12</v>
          </cell>
          <cell r="AP20" t="e">
            <v>#DIV/0!</v>
          </cell>
        </row>
        <row r="21">
          <cell r="C21" t="str">
            <v>湖州浔海电器销售有限公司</v>
          </cell>
          <cell r="D21" t="str">
            <v>经销</v>
          </cell>
          <cell r="E21" t="str">
            <v>经销</v>
          </cell>
          <cell r="F21" t="str">
            <v>南浔区</v>
          </cell>
          <cell r="G21" t="str">
            <v>市区</v>
          </cell>
          <cell r="H21" t="str">
            <v>陈中元</v>
          </cell>
          <cell r="I21">
            <v>60</v>
          </cell>
        </row>
        <row r="21">
          <cell r="AF21">
            <v>116732</v>
          </cell>
          <cell r="AG21" t="e">
            <v>#DIV/0!</v>
          </cell>
          <cell r="AH21">
            <v>0</v>
          </cell>
          <cell r="AI21">
            <v>116732</v>
          </cell>
          <cell r="AJ21" t="e">
            <v>#DIV/0!</v>
          </cell>
        </row>
        <row r="21">
          <cell r="AL21">
            <v>3088</v>
          </cell>
          <cell r="AM21" t="e">
            <v>#DIV/0!</v>
          </cell>
          <cell r="AN21">
            <v>0</v>
          </cell>
          <cell r="AO21">
            <v>119820</v>
          </cell>
          <cell r="AP21" t="e">
            <v>#DIV/0!</v>
          </cell>
        </row>
        <row r="21">
          <cell r="AR21">
            <v>10000</v>
          </cell>
        </row>
        <row r="22">
          <cell r="C22" t="str">
            <v>杭州中博智能电器有限公司</v>
          </cell>
          <cell r="D22" t="str">
            <v>家装</v>
          </cell>
          <cell r="E22" t="str">
            <v>家装</v>
          </cell>
          <cell r="F22" t="str">
            <v>湖州市区</v>
          </cell>
        </row>
        <row r="22">
          <cell r="H22" t="str">
            <v>陈中元</v>
          </cell>
        </row>
        <row r="22">
          <cell r="AL22">
            <v>3344</v>
          </cell>
          <cell r="AM22" t="e">
            <v>#DIV/0!</v>
          </cell>
          <cell r="AN22">
            <v>0</v>
          </cell>
          <cell r="AO22">
            <v>3344</v>
          </cell>
          <cell r="AP22" t="e">
            <v>#DIV/0!</v>
          </cell>
        </row>
        <row r="23">
          <cell r="C23" t="str">
            <v>汇总</v>
          </cell>
        </row>
        <row r="23">
          <cell r="I23">
            <v>865</v>
          </cell>
          <cell r="J23">
            <v>578458.28</v>
          </cell>
          <cell r="K23">
            <v>474052</v>
          </cell>
          <cell r="L23">
            <v>-0.180490596486924</v>
          </cell>
          <cell r="M23">
            <v>382921</v>
          </cell>
          <cell r="N23">
            <v>390891.04</v>
          </cell>
          <cell r="O23">
            <v>0.0208137971017519</v>
          </cell>
          <cell r="P23">
            <v>961379.28</v>
          </cell>
          <cell r="Q23">
            <v>864943.04</v>
          </cell>
          <cell r="R23">
            <v>-0.100310295849105</v>
          </cell>
          <cell r="S23">
            <v>427042.28</v>
          </cell>
          <cell r="T23">
            <v>414836.06</v>
          </cell>
          <cell r="U23">
            <v>-0.0285831651142365</v>
          </cell>
          <cell r="V23">
            <v>1388421.56</v>
          </cell>
          <cell r="W23">
            <v>1279779.1</v>
          </cell>
          <cell r="X23">
            <v>-0.0782489001395225</v>
          </cell>
          <cell r="Y23">
            <v>399949</v>
          </cell>
          <cell r="Z23">
            <v>411808.08</v>
          </cell>
          <cell r="AA23">
            <v>0.029651480563772</v>
          </cell>
          <cell r="AB23">
            <v>1788370.56</v>
          </cell>
          <cell r="AC23">
            <v>1691587.18</v>
          </cell>
          <cell r="AD23">
            <v>-0.0541181912545015</v>
          </cell>
          <cell r="AE23">
            <v>597544</v>
          </cell>
          <cell r="AF23">
            <v>404990</v>
          </cell>
          <cell r="AG23">
            <v>-0.322242378803904</v>
          </cell>
          <cell r="AH23">
            <v>2385914.56</v>
          </cell>
          <cell r="AI23">
            <v>2096577.18</v>
          </cell>
          <cell r="AJ23">
            <v>-0.121268961114852</v>
          </cell>
          <cell r="AK23">
            <v>442447</v>
          </cell>
          <cell r="AL23">
            <v>273945</v>
          </cell>
          <cell r="AM23">
            <v>-0.380841095091615</v>
          </cell>
          <cell r="AN23">
            <v>2828361.56</v>
          </cell>
          <cell r="AO23">
            <v>2370522.18</v>
          </cell>
          <cell r="AP23">
            <v>-0.161874417498447</v>
          </cell>
          <cell r="AQ23">
            <v>267076.26</v>
          </cell>
          <cell r="AR23">
            <v>314396</v>
          </cell>
        </row>
      </sheetData>
      <sheetData sheetId="4"/>
      <sheetData sheetId="5">
        <row r="1">
          <cell r="C1" t="str">
            <v>系统名称</v>
          </cell>
          <cell r="D1" t="str">
            <v>渠道</v>
          </cell>
          <cell r="E1" t="str">
            <v>渠道细分</v>
          </cell>
          <cell r="F1" t="str">
            <v>大区</v>
          </cell>
          <cell r="G1" t="str">
            <v>市/区/县</v>
          </cell>
          <cell r="H1" t="str">
            <v>业务员</v>
          </cell>
          <cell r="I1" t="str">
            <v>合同任务</v>
          </cell>
          <cell r="J1" t="str">
            <v>1月</v>
          </cell>
        </row>
        <row r="1">
          <cell r="L1" t="str">
            <v>同比</v>
          </cell>
          <cell r="M1" t="str">
            <v>2月</v>
          </cell>
        </row>
        <row r="1">
          <cell r="O1" t="str">
            <v>同比</v>
          </cell>
          <cell r="P1" t="str">
            <v>1-2月</v>
          </cell>
        </row>
        <row r="1">
          <cell r="R1" t="str">
            <v>同比</v>
          </cell>
          <cell r="S1" t="str">
            <v>3月</v>
          </cell>
        </row>
        <row r="1">
          <cell r="U1" t="str">
            <v>同比</v>
          </cell>
          <cell r="V1" t="str">
            <v>1-3月</v>
          </cell>
        </row>
        <row r="1">
          <cell r="X1" t="str">
            <v>同比</v>
          </cell>
          <cell r="Y1" t="str">
            <v>4月</v>
          </cell>
        </row>
        <row r="1">
          <cell r="AA1" t="str">
            <v>同比</v>
          </cell>
          <cell r="AB1" t="str">
            <v>1-4月</v>
          </cell>
        </row>
        <row r="1">
          <cell r="AD1" t="str">
            <v>同比</v>
          </cell>
          <cell r="AE1" t="str">
            <v>5月</v>
          </cell>
        </row>
        <row r="1">
          <cell r="AG1" t="str">
            <v>同比</v>
          </cell>
          <cell r="AH1" t="str">
            <v>1-5月</v>
          </cell>
        </row>
        <row r="1">
          <cell r="AJ1" t="str">
            <v>同比</v>
          </cell>
          <cell r="AK1" t="str">
            <v>6月</v>
          </cell>
        </row>
        <row r="1">
          <cell r="AM1" t="str">
            <v>同比</v>
          </cell>
          <cell r="AN1" t="str">
            <v>1-6月</v>
          </cell>
        </row>
        <row r="1">
          <cell r="AP1" t="str">
            <v>同比</v>
          </cell>
          <cell r="AQ1" t="str">
            <v>7月</v>
          </cell>
        </row>
        <row r="2">
          <cell r="J2" t="str">
            <v>2024年</v>
          </cell>
          <cell r="K2" t="str">
            <v>2025年</v>
          </cell>
        </row>
        <row r="2">
          <cell r="M2" t="str">
            <v>2024年</v>
          </cell>
          <cell r="N2" t="str">
            <v>2025年</v>
          </cell>
        </row>
        <row r="2">
          <cell r="P2" t="str">
            <v>2024年</v>
          </cell>
          <cell r="Q2" t="str">
            <v>2025年</v>
          </cell>
        </row>
        <row r="2">
          <cell r="S2" t="str">
            <v>2024年</v>
          </cell>
          <cell r="T2" t="str">
            <v>2025年</v>
          </cell>
        </row>
        <row r="2">
          <cell r="V2" t="str">
            <v>2024年</v>
          </cell>
          <cell r="W2" t="str">
            <v>2025年</v>
          </cell>
        </row>
        <row r="2">
          <cell r="Y2" t="str">
            <v>2024年</v>
          </cell>
          <cell r="Z2" t="str">
            <v>2025年</v>
          </cell>
        </row>
        <row r="2">
          <cell r="AB2" t="str">
            <v>2024年</v>
          </cell>
          <cell r="AC2" t="str">
            <v>2025年</v>
          </cell>
        </row>
        <row r="2">
          <cell r="AE2" t="str">
            <v>2024年</v>
          </cell>
          <cell r="AF2" t="str">
            <v>2025年</v>
          </cell>
        </row>
        <row r="2">
          <cell r="AH2" t="str">
            <v>2024年</v>
          </cell>
          <cell r="AI2" t="str">
            <v>2025年</v>
          </cell>
        </row>
        <row r="2">
          <cell r="AK2" t="str">
            <v>2024年</v>
          </cell>
          <cell r="AL2" t="str">
            <v>2025年</v>
          </cell>
        </row>
        <row r="2">
          <cell r="AN2" t="str">
            <v>2024年</v>
          </cell>
          <cell r="AO2" t="str">
            <v>2025年</v>
          </cell>
        </row>
        <row r="2">
          <cell r="AQ2" t="str">
            <v>2024年</v>
          </cell>
          <cell r="AR2" t="str">
            <v>2025年</v>
          </cell>
        </row>
        <row r="3">
          <cell r="C3" t="str">
            <v>义乌市荣昌家电维修部</v>
          </cell>
          <cell r="D3" t="str">
            <v>加盟</v>
          </cell>
          <cell r="E3" t="str">
            <v>加盟</v>
          </cell>
          <cell r="F3" t="str">
            <v>义乌市</v>
          </cell>
          <cell r="G3" t="str">
            <v>义乌市</v>
          </cell>
          <cell r="H3" t="str">
            <v>林青云</v>
          </cell>
          <cell r="I3">
            <v>220</v>
          </cell>
          <cell r="J3">
            <v>365000</v>
          </cell>
          <cell r="K3">
            <v>84500</v>
          </cell>
          <cell r="L3">
            <v>-0.768493150684932</v>
          </cell>
          <cell r="M3">
            <v>30000</v>
          </cell>
          <cell r="N3">
            <v>36876</v>
          </cell>
          <cell r="O3">
            <v>0.2292</v>
          </cell>
          <cell r="P3">
            <v>395000</v>
          </cell>
          <cell r="Q3">
            <v>121376</v>
          </cell>
          <cell r="R3">
            <v>-0.692718987341772</v>
          </cell>
          <cell r="S3">
            <v>148000</v>
          </cell>
          <cell r="T3">
            <v>114573.54</v>
          </cell>
          <cell r="U3">
            <v>-0.225854459459459</v>
          </cell>
          <cell r="V3">
            <v>543000</v>
          </cell>
          <cell r="W3">
            <v>235949.54</v>
          </cell>
          <cell r="X3">
            <v>-0.565470460405157</v>
          </cell>
          <cell r="Y3">
            <v>115000</v>
          </cell>
          <cell r="Z3">
            <v>156103</v>
          </cell>
          <cell r="AA3">
            <v>0.357417391304348</v>
          </cell>
          <cell r="AB3">
            <v>658000</v>
          </cell>
          <cell r="AC3">
            <v>392052.54</v>
          </cell>
          <cell r="AD3">
            <v>-0.40417547112462</v>
          </cell>
          <cell r="AE3">
            <v>171600</v>
          </cell>
          <cell r="AF3">
            <v>51953</v>
          </cell>
          <cell r="AG3">
            <v>-0.69724358974359</v>
          </cell>
          <cell r="AH3">
            <v>829600</v>
          </cell>
          <cell r="AI3">
            <v>444005.54</v>
          </cell>
          <cell r="AJ3">
            <v>-0.464795636451302</v>
          </cell>
          <cell r="AK3">
            <v>165430.3</v>
          </cell>
          <cell r="AL3">
            <v>113309</v>
          </cell>
          <cell r="AM3">
            <v>-0.315065015296472</v>
          </cell>
          <cell r="AN3">
            <v>995030.3</v>
          </cell>
          <cell r="AO3">
            <v>557314.54</v>
          </cell>
          <cell r="AP3">
            <v>-0.43990194067457</v>
          </cell>
          <cell r="AQ3">
            <v>130000</v>
          </cell>
          <cell r="AR3">
            <v>18500</v>
          </cell>
        </row>
        <row r="4">
          <cell r="C4" t="str">
            <v>浙江普农家电有限公司</v>
          </cell>
          <cell r="D4" t="str">
            <v>TOP渠道</v>
          </cell>
          <cell r="E4" t="str">
            <v>TOP渠道</v>
          </cell>
          <cell r="F4" t="str">
            <v>衢州市区</v>
          </cell>
          <cell r="G4" t="str">
            <v>衢州市</v>
          </cell>
          <cell r="H4" t="str">
            <v>江雯</v>
          </cell>
          <cell r="I4">
            <v>200</v>
          </cell>
          <cell r="J4">
            <v>203140.4</v>
          </cell>
          <cell r="K4">
            <v>211568</v>
          </cell>
          <cell r="L4">
            <v>0.0414865777560742</v>
          </cell>
          <cell r="M4">
            <v>108325</v>
          </cell>
          <cell r="N4">
            <v>126251</v>
          </cell>
          <cell r="O4">
            <v>0.165483498730672</v>
          </cell>
          <cell r="P4">
            <v>311465.4</v>
          </cell>
          <cell r="Q4">
            <v>337819</v>
          </cell>
          <cell r="R4">
            <v>0.0846116454668799</v>
          </cell>
          <cell r="S4">
            <v>64094</v>
          </cell>
          <cell r="T4">
            <v>164562</v>
          </cell>
          <cell r="U4">
            <v>1.56751021936531</v>
          </cell>
          <cell r="V4">
            <v>375559.4</v>
          </cell>
          <cell r="W4">
            <v>502381</v>
          </cell>
          <cell r="X4">
            <v>0.33768719408967</v>
          </cell>
          <cell r="Y4">
            <v>66218</v>
          </cell>
          <cell r="Z4">
            <v>103867</v>
          </cell>
          <cell r="AA4">
            <v>0.568561418345465</v>
          </cell>
          <cell r="AB4">
            <v>441777.4</v>
          </cell>
          <cell r="AC4">
            <v>606248</v>
          </cell>
          <cell r="AD4">
            <v>0.372292923992943</v>
          </cell>
          <cell r="AE4">
            <v>62805</v>
          </cell>
          <cell r="AF4">
            <v>136346</v>
          </cell>
          <cell r="AG4">
            <v>1.1709418039965</v>
          </cell>
          <cell r="AH4">
            <v>504582.4</v>
          </cell>
          <cell r="AI4">
            <v>742594</v>
          </cell>
          <cell r="AJ4">
            <v>0.471700162352076</v>
          </cell>
          <cell r="AK4">
            <v>109740</v>
          </cell>
          <cell r="AL4">
            <v>208633</v>
          </cell>
          <cell r="AM4">
            <v>0.901157280845635</v>
          </cell>
          <cell r="AN4">
            <v>614322.4</v>
          </cell>
          <cell r="AO4">
            <v>951227</v>
          </cell>
          <cell r="AP4">
            <v>0.548416596887888</v>
          </cell>
          <cell r="AQ4">
            <v>81839</v>
          </cell>
          <cell r="AR4">
            <v>124398</v>
          </cell>
        </row>
        <row r="5">
          <cell r="C5" t="str">
            <v>金华五星</v>
          </cell>
          <cell r="D5" t="str">
            <v>五星</v>
          </cell>
          <cell r="E5" t="str">
            <v>五星</v>
          </cell>
          <cell r="F5" t="str">
            <v>金华市区</v>
          </cell>
          <cell r="G5" t="str">
            <v>市区</v>
          </cell>
          <cell r="H5" t="str">
            <v>潘杏</v>
          </cell>
        </row>
        <row r="5">
          <cell r="J5">
            <v>97567.31</v>
          </cell>
          <cell r="K5">
            <v>170180.19</v>
          </cell>
          <cell r="L5">
            <v>0.744233698766523</v>
          </cell>
        </row>
        <row r="5">
          <cell r="N5">
            <v>33500.8</v>
          </cell>
          <cell r="O5" t="e">
            <v>#DIV/0!</v>
          </cell>
          <cell r="P5">
            <v>97567.31</v>
          </cell>
          <cell r="Q5">
            <v>203680.99</v>
          </cell>
          <cell r="R5">
            <v>1.08759460520127</v>
          </cell>
        </row>
        <row r="5">
          <cell r="T5">
            <v>337846.67</v>
          </cell>
          <cell r="U5" t="e">
            <v>#DIV/0!</v>
          </cell>
          <cell r="V5">
            <v>97567.31</v>
          </cell>
          <cell r="W5">
            <v>541527.66</v>
          </cell>
          <cell r="X5">
            <v>4.55029814801699</v>
          </cell>
          <cell r="Y5">
            <v>240583.45</v>
          </cell>
          <cell r="Z5">
            <v>244513.1</v>
          </cell>
          <cell r="AA5">
            <v>0.0163338334370049</v>
          </cell>
          <cell r="AB5">
            <v>338150.76</v>
          </cell>
          <cell r="AC5">
            <v>786040.76</v>
          </cell>
          <cell r="AD5">
            <v>1.32452755688025</v>
          </cell>
          <cell r="AE5">
            <v>100835.81</v>
          </cell>
          <cell r="AF5">
            <v>193019.03</v>
          </cell>
          <cell r="AG5">
            <v>0.914191297714572</v>
          </cell>
          <cell r="AH5">
            <v>438986.57</v>
          </cell>
          <cell r="AI5">
            <v>979059.79</v>
          </cell>
          <cell r="AJ5">
            <v>1.23027276210295</v>
          </cell>
          <cell r="AK5">
            <v>64337.91</v>
          </cell>
          <cell r="AL5">
            <v>241756.98</v>
          </cell>
          <cell r="AM5">
            <v>2.75761320192092</v>
          </cell>
          <cell r="AN5">
            <v>503324.48</v>
          </cell>
          <cell r="AO5">
            <v>1220816.77</v>
          </cell>
          <cell r="AP5">
            <v>1.42550644466965</v>
          </cell>
          <cell r="AQ5">
            <v>130913.08</v>
          </cell>
          <cell r="AR5">
            <v>124862.42</v>
          </cell>
        </row>
        <row r="6">
          <cell r="C6" t="str">
            <v>（新）金华八一南街专卖店</v>
          </cell>
          <cell r="D6" t="str">
            <v>直营</v>
          </cell>
          <cell r="E6" t="str">
            <v>直营</v>
          </cell>
          <cell r="F6" t="str">
            <v>金华市区</v>
          </cell>
          <cell r="G6" t="str">
            <v>婺城区</v>
          </cell>
          <cell r="H6" t="str">
            <v>姜卫</v>
          </cell>
        </row>
        <row r="6">
          <cell r="J6">
            <v>17958</v>
          </cell>
        </row>
        <row r="6">
          <cell r="L6">
            <v>-1</v>
          </cell>
          <cell r="M6">
            <v>3966</v>
          </cell>
        </row>
        <row r="6">
          <cell r="O6">
            <v>-1</v>
          </cell>
          <cell r="P6">
            <v>21924</v>
          </cell>
          <cell r="Q6">
            <v>0</v>
          </cell>
          <cell r="R6">
            <v>-1</v>
          </cell>
          <cell r="S6">
            <v>6800</v>
          </cell>
        </row>
        <row r="6">
          <cell r="U6">
            <v>-1</v>
          </cell>
          <cell r="V6">
            <v>28724</v>
          </cell>
          <cell r="W6">
            <v>0</v>
          </cell>
          <cell r="X6">
            <v>-1</v>
          </cell>
        </row>
        <row r="6">
          <cell r="AA6" t="e">
            <v>#DIV/0!</v>
          </cell>
          <cell r="AB6">
            <v>28724</v>
          </cell>
          <cell r="AC6">
            <v>0</v>
          </cell>
          <cell r="AD6">
            <v>-1</v>
          </cell>
        </row>
        <row r="6">
          <cell r="AG6" t="e">
            <v>#DIV/0!</v>
          </cell>
          <cell r="AH6">
            <v>28724</v>
          </cell>
          <cell r="AI6">
            <v>0</v>
          </cell>
          <cell r="AJ6">
            <v>-1</v>
          </cell>
        </row>
        <row r="6">
          <cell r="AM6" t="e">
            <v>#DIV/0!</v>
          </cell>
          <cell r="AN6">
            <v>28724</v>
          </cell>
          <cell r="AO6">
            <v>0</v>
          </cell>
          <cell r="AP6">
            <v>-1</v>
          </cell>
        </row>
        <row r="7">
          <cell r="C7" t="str">
            <v>衢州市柯城汇鑫家用电器商行</v>
          </cell>
          <cell r="D7" t="str">
            <v>加盟</v>
          </cell>
          <cell r="E7" t="str">
            <v>加盟</v>
          </cell>
          <cell r="F7" t="str">
            <v>衢州市区</v>
          </cell>
          <cell r="G7" t="str">
            <v>柯城区</v>
          </cell>
          <cell r="H7" t="str">
            <v>江雯</v>
          </cell>
          <cell r="I7">
            <v>80</v>
          </cell>
          <cell r="J7">
            <v>25400</v>
          </cell>
          <cell r="K7">
            <v>30730</v>
          </cell>
          <cell r="L7">
            <v>0.209842519685039</v>
          </cell>
          <cell r="M7">
            <v>10400</v>
          </cell>
        </row>
        <row r="7">
          <cell r="O7">
            <v>-1</v>
          </cell>
          <cell r="P7">
            <v>35800</v>
          </cell>
          <cell r="Q7">
            <v>30730</v>
          </cell>
          <cell r="R7">
            <v>-0.141620111731844</v>
          </cell>
          <cell r="S7">
            <v>30900</v>
          </cell>
          <cell r="T7">
            <v>31852</v>
          </cell>
          <cell r="U7">
            <v>0.0308090614886731</v>
          </cell>
          <cell r="V7">
            <v>66700</v>
          </cell>
          <cell r="W7">
            <v>62582</v>
          </cell>
          <cell r="X7">
            <v>-0.0617391304347826</v>
          </cell>
          <cell r="Y7">
            <v>32900</v>
          </cell>
          <cell r="Z7">
            <v>39671</v>
          </cell>
          <cell r="AA7">
            <v>0.20580547112462</v>
          </cell>
          <cell r="AB7">
            <v>99600</v>
          </cell>
          <cell r="AC7">
            <v>102253</v>
          </cell>
          <cell r="AD7">
            <v>0.0266365461847389</v>
          </cell>
          <cell r="AE7">
            <v>65953</v>
          </cell>
          <cell r="AF7">
            <v>48396</v>
          </cell>
          <cell r="AG7">
            <v>-0.26620472154413</v>
          </cell>
          <cell r="AH7">
            <v>165553</v>
          </cell>
          <cell r="AI7">
            <v>150649</v>
          </cell>
          <cell r="AJ7">
            <v>-0.0900255507299778</v>
          </cell>
          <cell r="AK7">
            <v>14600</v>
          </cell>
          <cell r="AL7">
            <v>79258</v>
          </cell>
          <cell r="AM7">
            <v>4.4286301369863</v>
          </cell>
          <cell r="AN7">
            <v>180153</v>
          </cell>
          <cell r="AO7">
            <v>229907</v>
          </cell>
          <cell r="AP7">
            <v>0.276176361204088</v>
          </cell>
          <cell r="AQ7">
            <v>20800</v>
          </cell>
        </row>
        <row r="8">
          <cell r="C8" t="str">
            <v>东阳市国美电器有限公司</v>
          </cell>
          <cell r="D8" t="str">
            <v>经销</v>
          </cell>
          <cell r="E8" t="str">
            <v>经销</v>
          </cell>
          <cell r="F8" t="str">
            <v>东阳市</v>
          </cell>
          <cell r="G8" t="str">
            <v>东阳市</v>
          </cell>
          <cell r="H8" t="str">
            <v>林青云</v>
          </cell>
          <cell r="I8">
            <v>20</v>
          </cell>
          <cell r="J8">
            <v>25000</v>
          </cell>
          <cell r="K8">
            <v>4298</v>
          </cell>
          <cell r="L8">
            <v>-0.82808</v>
          </cell>
        </row>
        <row r="8">
          <cell r="N8">
            <v>5186</v>
          </cell>
          <cell r="O8" t="e">
            <v>#DIV/0!</v>
          </cell>
          <cell r="P8">
            <v>25000</v>
          </cell>
          <cell r="Q8">
            <v>9484</v>
          </cell>
          <cell r="R8">
            <v>-0.62064</v>
          </cell>
        </row>
        <row r="8">
          <cell r="U8" t="e">
            <v>#DIV/0!</v>
          </cell>
          <cell r="V8">
            <v>25000</v>
          </cell>
          <cell r="W8">
            <v>9484</v>
          </cell>
          <cell r="X8">
            <v>-0.62064</v>
          </cell>
          <cell r="Y8">
            <v>800</v>
          </cell>
          <cell r="Z8">
            <v>2766</v>
          </cell>
          <cell r="AA8">
            <v>2.4575</v>
          </cell>
          <cell r="AB8">
            <v>25800</v>
          </cell>
          <cell r="AC8">
            <v>12250</v>
          </cell>
          <cell r="AD8">
            <v>-0.525193798449612</v>
          </cell>
          <cell r="AE8">
            <v>18078</v>
          </cell>
        </row>
        <row r="8">
          <cell r="AG8">
            <v>-1</v>
          </cell>
          <cell r="AH8">
            <v>43878</v>
          </cell>
          <cell r="AI8">
            <v>12250</v>
          </cell>
          <cell r="AJ8">
            <v>-0.720816810246593</v>
          </cell>
        </row>
        <row r="8">
          <cell r="AM8" t="e">
            <v>#DIV/0!</v>
          </cell>
          <cell r="AN8">
            <v>43878</v>
          </cell>
          <cell r="AO8">
            <v>12250</v>
          </cell>
          <cell r="AP8">
            <v>-0.720816810246593</v>
          </cell>
        </row>
        <row r="9">
          <cell r="C9" t="str">
            <v>兰溪市福祥家电经营部</v>
          </cell>
          <cell r="D9" t="str">
            <v>加盟</v>
          </cell>
          <cell r="E9" t="str">
            <v>加盟</v>
          </cell>
          <cell r="F9" t="str">
            <v>兰溪市</v>
          </cell>
          <cell r="G9" t="str">
            <v>兰溪市</v>
          </cell>
          <cell r="H9" t="str">
            <v>潘杏</v>
          </cell>
        </row>
        <row r="9">
          <cell r="J9">
            <v>149023</v>
          </cell>
        </row>
        <row r="9">
          <cell r="L9">
            <v>-1</v>
          </cell>
          <cell r="M9">
            <v>3015</v>
          </cell>
        </row>
        <row r="9">
          <cell r="O9">
            <v>-1</v>
          </cell>
          <cell r="P9">
            <v>152038</v>
          </cell>
          <cell r="Q9">
            <v>0</v>
          </cell>
          <cell r="R9">
            <v>-1</v>
          </cell>
          <cell r="S9">
            <v>19327</v>
          </cell>
        </row>
        <row r="9">
          <cell r="U9">
            <v>-1</v>
          </cell>
          <cell r="V9">
            <v>171365</v>
          </cell>
          <cell r="W9">
            <v>0</v>
          </cell>
          <cell r="X9">
            <v>-1</v>
          </cell>
          <cell r="Y9">
            <v>13493</v>
          </cell>
        </row>
        <row r="9">
          <cell r="AA9">
            <v>-1</v>
          </cell>
          <cell r="AB9">
            <v>184858</v>
          </cell>
          <cell r="AC9">
            <v>0</v>
          </cell>
          <cell r="AD9">
            <v>-1</v>
          </cell>
          <cell r="AE9">
            <v>36809</v>
          </cell>
        </row>
        <row r="9">
          <cell r="AG9">
            <v>-1</v>
          </cell>
          <cell r="AH9">
            <v>221667</v>
          </cell>
          <cell r="AI9">
            <v>0</v>
          </cell>
          <cell r="AJ9">
            <v>-1</v>
          </cell>
          <cell r="AK9">
            <v>34615</v>
          </cell>
        </row>
        <row r="9">
          <cell r="AM9">
            <v>-1</v>
          </cell>
          <cell r="AN9">
            <v>256282</v>
          </cell>
          <cell r="AO9">
            <v>0</v>
          </cell>
          <cell r="AP9">
            <v>-1</v>
          </cell>
          <cell r="AQ9">
            <v>58454</v>
          </cell>
        </row>
        <row r="10">
          <cell r="C10" t="str">
            <v>金华龙腾建材市场专卖店</v>
          </cell>
          <cell r="D10" t="str">
            <v>直营</v>
          </cell>
          <cell r="E10" t="str">
            <v>直营</v>
          </cell>
          <cell r="F10" t="str">
            <v>金华市区</v>
          </cell>
          <cell r="G10" t="str">
            <v>婺城区</v>
          </cell>
          <cell r="H10" t="str">
            <v>姜卫</v>
          </cell>
          <cell r="I10">
            <v>200</v>
          </cell>
          <cell r="J10">
            <v>84544</v>
          </cell>
          <cell r="K10">
            <v>270657</v>
          </cell>
          <cell r="L10">
            <v>2.2013744322483</v>
          </cell>
          <cell r="M10">
            <v>15592</v>
          </cell>
          <cell r="N10">
            <v>114255</v>
          </cell>
          <cell r="O10">
            <v>6.32779630579785</v>
          </cell>
          <cell r="P10">
            <v>100136</v>
          </cell>
          <cell r="Q10">
            <v>384912</v>
          </cell>
          <cell r="R10">
            <v>2.84389230646321</v>
          </cell>
          <cell r="S10">
            <v>40421</v>
          </cell>
          <cell r="T10">
            <v>272412</v>
          </cell>
          <cell r="U10">
            <v>5.73936815021895</v>
          </cell>
          <cell r="V10">
            <v>140557</v>
          </cell>
          <cell r="W10">
            <v>657324</v>
          </cell>
          <cell r="X10">
            <v>3.67656537917002</v>
          </cell>
          <cell r="Y10">
            <v>95170</v>
          </cell>
          <cell r="Z10">
            <v>144687</v>
          </cell>
          <cell r="AA10">
            <v>0.520300514868131</v>
          </cell>
          <cell r="AB10">
            <v>235727</v>
          </cell>
          <cell r="AC10">
            <v>802011</v>
          </cell>
          <cell r="AD10">
            <v>2.40228739177099</v>
          </cell>
          <cell r="AE10">
            <v>66978</v>
          </cell>
          <cell r="AF10">
            <v>201219</v>
          </cell>
          <cell r="AG10">
            <v>2.00425512854967</v>
          </cell>
          <cell r="AH10">
            <v>302705</v>
          </cell>
          <cell r="AI10">
            <v>1003230</v>
          </cell>
          <cell r="AJ10">
            <v>2.31421681174741</v>
          </cell>
          <cell r="AK10">
            <v>187833</v>
          </cell>
          <cell r="AL10">
            <v>310376</v>
          </cell>
          <cell r="AM10">
            <v>0.652403997167697</v>
          </cell>
          <cell r="AN10">
            <v>490538</v>
          </cell>
          <cell r="AO10">
            <v>1313606</v>
          </cell>
          <cell r="AP10">
            <v>1.67788835931161</v>
          </cell>
          <cell r="AQ10">
            <v>88914</v>
          </cell>
          <cell r="AR10">
            <v>82249</v>
          </cell>
        </row>
        <row r="11">
          <cell r="C11" t="str">
            <v>兰溪市小严家电经营部</v>
          </cell>
          <cell r="D11" t="str">
            <v>经销</v>
          </cell>
          <cell r="E11" t="str">
            <v>经销</v>
          </cell>
          <cell r="F11" t="str">
            <v>兰溪市</v>
          </cell>
          <cell r="G11" t="str">
            <v>兰溪市</v>
          </cell>
          <cell r="H11" t="str">
            <v>潘杏</v>
          </cell>
          <cell r="I11">
            <v>30</v>
          </cell>
          <cell r="J11">
            <v>30425</v>
          </cell>
          <cell r="K11">
            <v>21359</v>
          </cell>
          <cell r="L11">
            <v>-0.29797863599014</v>
          </cell>
          <cell r="M11">
            <v>10451</v>
          </cell>
          <cell r="N11">
            <v>8805</v>
          </cell>
          <cell r="O11">
            <v>-0.157496890249737</v>
          </cell>
          <cell r="P11">
            <v>40876</v>
          </cell>
          <cell r="Q11">
            <v>30164</v>
          </cell>
          <cell r="R11">
            <v>-0.262060867012428</v>
          </cell>
        </row>
        <row r="11">
          <cell r="T11">
            <v>3203</v>
          </cell>
          <cell r="U11" t="e">
            <v>#DIV/0!</v>
          </cell>
          <cell r="V11">
            <v>40876</v>
          </cell>
          <cell r="W11">
            <v>33367</v>
          </cell>
          <cell r="X11">
            <v>-0.183701927781583</v>
          </cell>
          <cell r="Y11">
            <v>7276</v>
          </cell>
          <cell r="Z11">
            <v>1479</v>
          </cell>
          <cell r="AA11">
            <v>-0.796728971962617</v>
          </cell>
          <cell r="AB11">
            <v>48152</v>
          </cell>
          <cell r="AC11">
            <v>34846</v>
          </cell>
          <cell r="AD11">
            <v>-0.276333277953148</v>
          </cell>
          <cell r="AE11">
            <v>21993</v>
          </cell>
        </row>
        <row r="11">
          <cell r="AG11">
            <v>-1</v>
          </cell>
          <cell r="AH11">
            <v>70145</v>
          </cell>
          <cell r="AI11">
            <v>34846</v>
          </cell>
          <cell r="AJ11">
            <v>-0.50322902558985</v>
          </cell>
        </row>
        <row r="11">
          <cell r="AM11" t="e">
            <v>#DIV/0!</v>
          </cell>
          <cell r="AN11">
            <v>70145</v>
          </cell>
          <cell r="AO11">
            <v>34846</v>
          </cell>
          <cell r="AP11">
            <v>-0.50322902558985</v>
          </cell>
          <cell r="AQ11">
            <v>12632</v>
          </cell>
        </row>
        <row r="12">
          <cell r="C12" t="str">
            <v>金华金蝶零售</v>
          </cell>
          <cell r="D12" t="str">
            <v>零售</v>
          </cell>
          <cell r="E12" t="str">
            <v>零售</v>
          </cell>
          <cell r="F12" t="str">
            <v>金华市区</v>
          </cell>
          <cell r="G12" t="str">
            <v>市区</v>
          </cell>
          <cell r="H12" t="str">
            <v>姜卫</v>
          </cell>
        </row>
        <row r="12">
          <cell r="J12">
            <v>3850</v>
          </cell>
          <cell r="K12">
            <v>4018</v>
          </cell>
          <cell r="L12">
            <v>0.0436363636363637</v>
          </cell>
        </row>
        <row r="12">
          <cell r="O12" t="e">
            <v>#DIV/0!</v>
          </cell>
          <cell r="P12">
            <v>3850</v>
          </cell>
          <cell r="Q12">
            <v>4018</v>
          </cell>
          <cell r="R12">
            <v>0.0436363636363637</v>
          </cell>
          <cell r="S12">
            <v>8800</v>
          </cell>
          <cell r="T12">
            <v>6295</v>
          </cell>
          <cell r="U12">
            <v>-0.284659090909091</v>
          </cell>
          <cell r="V12">
            <v>12650</v>
          </cell>
          <cell r="W12">
            <v>10313</v>
          </cell>
          <cell r="X12">
            <v>-0.184743083003953</v>
          </cell>
        </row>
        <row r="12">
          <cell r="Z12">
            <v>12000</v>
          </cell>
          <cell r="AA12" t="e">
            <v>#DIV/0!</v>
          </cell>
          <cell r="AB12">
            <v>12650</v>
          </cell>
          <cell r="AC12">
            <v>22313</v>
          </cell>
          <cell r="AD12">
            <v>0.763873517786561</v>
          </cell>
          <cell r="AE12">
            <v>1800</v>
          </cell>
        </row>
        <row r="12">
          <cell r="AG12">
            <v>-1</v>
          </cell>
          <cell r="AH12">
            <v>14450</v>
          </cell>
          <cell r="AI12">
            <v>22313</v>
          </cell>
          <cell r="AJ12">
            <v>0.544152249134948</v>
          </cell>
          <cell r="AK12">
            <v>10093</v>
          </cell>
          <cell r="AL12">
            <v>2502</v>
          </cell>
          <cell r="AM12">
            <v>-0.752105419597741</v>
          </cell>
          <cell r="AN12">
            <v>24543</v>
          </cell>
          <cell r="AO12">
            <v>24815</v>
          </cell>
          <cell r="AP12">
            <v>0.0110825897404556</v>
          </cell>
          <cell r="AQ12">
            <v>20900</v>
          </cell>
          <cell r="AR12">
            <v>3253</v>
          </cell>
        </row>
        <row r="13">
          <cell r="C13" t="str">
            <v>磐安县洪昌家电商场</v>
          </cell>
          <cell r="D13" t="str">
            <v>经销</v>
          </cell>
          <cell r="E13" t="str">
            <v>经销</v>
          </cell>
          <cell r="F13" t="str">
            <v>磐安县</v>
          </cell>
          <cell r="G13" t="str">
            <v>磐安县</v>
          </cell>
          <cell r="H13" t="str">
            <v>林青云</v>
          </cell>
        </row>
        <row r="13">
          <cell r="J13">
            <v>6649</v>
          </cell>
        </row>
        <row r="13">
          <cell r="L13">
            <v>-1</v>
          </cell>
        </row>
        <row r="13">
          <cell r="O13" t="e">
            <v>#DIV/0!</v>
          </cell>
          <cell r="P13">
            <v>6649</v>
          </cell>
          <cell r="Q13">
            <v>0</v>
          </cell>
          <cell r="R13">
            <v>-1</v>
          </cell>
        </row>
        <row r="13">
          <cell r="U13" t="e">
            <v>#DIV/0!</v>
          </cell>
          <cell r="V13">
            <v>6649</v>
          </cell>
          <cell r="W13">
            <v>0</v>
          </cell>
          <cell r="X13">
            <v>-1</v>
          </cell>
        </row>
        <row r="13">
          <cell r="AA13" t="e">
            <v>#DIV/0!</v>
          </cell>
          <cell r="AB13">
            <v>6649</v>
          </cell>
          <cell r="AC13">
            <v>0</v>
          </cell>
          <cell r="AD13">
            <v>-1</v>
          </cell>
        </row>
        <row r="13">
          <cell r="AG13" t="e">
            <v>#DIV/0!</v>
          </cell>
          <cell r="AH13">
            <v>6649</v>
          </cell>
          <cell r="AI13">
            <v>0</v>
          </cell>
          <cell r="AJ13">
            <v>-1</v>
          </cell>
        </row>
        <row r="13">
          <cell r="AM13" t="e">
            <v>#DIV/0!</v>
          </cell>
          <cell r="AN13">
            <v>6649</v>
          </cell>
          <cell r="AO13">
            <v>0</v>
          </cell>
          <cell r="AP13">
            <v>-1</v>
          </cell>
        </row>
        <row r="14">
          <cell r="C14" t="str">
            <v>江山硕邦家电有限公司</v>
          </cell>
          <cell r="D14" t="str">
            <v>经销</v>
          </cell>
          <cell r="E14" t="str">
            <v>经销</v>
          </cell>
          <cell r="F14" t="str">
            <v>江山市</v>
          </cell>
          <cell r="G14" t="str">
            <v>江山市</v>
          </cell>
          <cell r="H14" t="str">
            <v>江雯</v>
          </cell>
        </row>
        <row r="14">
          <cell r="L14" t="e">
            <v>#DIV/0!</v>
          </cell>
          <cell r="M14">
            <v>19218</v>
          </cell>
        </row>
        <row r="14">
          <cell r="O14">
            <v>-1</v>
          </cell>
          <cell r="P14">
            <v>19218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19218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19218</v>
          </cell>
          <cell r="AC14">
            <v>0</v>
          </cell>
          <cell r="AD14">
            <v>-1</v>
          </cell>
        </row>
        <row r="14">
          <cell r="AG14" t="e">
            <v>#DIV/0!</v>
          </cell>
          <cell r="AH14">
            <v>19218</v>
          </cell>
          <cell r="AI14">
            <v>0</v>
          </cell>
          <cell r="AJ14">
            <v>-1</v>
          </cell>
        </row>
        <row r="14">
          <cell r="AM14" t="e">
            <v>#DIV/0!</v>
          </cell>
          <cell r="AN14">
            <v>19218</v>
          </cell>
          <cell r="AO14">
            <v>0</v>
          </cell>
          <cell r="AP14">
            <v>-1</v>
          </cell>
        </row>
        <row r="15">
          <cell r="C15" t="str">
            <v>义乌艾欧机电设备有限公司</v>
          </cell>
          <cell r="D15" t="str">
            <v>加盟</v>
          </cell>
          <cell r="E15" t="str">
            <v>加盟</v>
          </cell>
          <cell r="F15" t="str">
            <v>义乌市</v>
          </cell>
          <cell r="G15" t="str">
            <v>义乌市</v>
          </cell>
          <cell r="H15" t="str">
            <v>林青云</v>
          </cell>
        </row>
        <row r="15">
          <cell r="J15">
            <v>95208</v>
          </cell>
        </row>
        <row r="15">
          <cell r="L15">
            <v>-1</v>
          </cell>
          <cell r="M15">
            <v>23568</v>
          </cell>
        </row>
        <row r="15">
          <cell r="O15">
            <v>-1</v>
          </cell>
          <cell r="P15">
            <v>118776</v>
          </cell>
          <cell r="Q15">
            <v>0</v>
          </cell>
          <cell r="R15">
            <v>-1</v>
          </cell>
          <cell r="S15">
            <v>27546</v>
          </cell>
        </row>
        <row r="15">
          <cell r="U15">
            <v>-1</v>
          </cell>
          <cell r="V15">
            <v>146322</v>
          </cell>
          <cell r="W15">
            <v>0</v>
          </cell>
          <cell r="X15">
            <v>-1</v>
          </cell>
          <cell r="Y15">
            <v>48756</v>
          </cell>
        </row>
        <row r="15">
          <cell r="AA15">
            <v>-1</v>
          </cell>
          <cell r="AB15">
            <v>195078</v>
          </cell>
          <cell r="AC15">
            <v>0</v>
          </cell>
          <cell r="AD15">
            <v>-1</v>
          </cell>
          <cell r="AE15">
            <v>57457</v>
          </cell>
        </row>
        <row r="15">
          <cell r="AG15">
            <v>-1</v>
          </cell>
          <cell r="AH15">
            <v>252535</v>
          </cell>
          <cell r="AI15">
            <v>0</v>
          </cell>
          <cell r="AJ15">
            <v>-1</v>
          </cell>
          <cell r="AK15">
            <v>34276</v>
          </cell>
        </row>
        <row r="15">
          <cell r="AM15">
            <v>-1</v>
          </cell>
          <cell r="AN15">
            <v>286811</v>
          </cell>
          <cell r="AO15">
            <v>0</v>
          </cell>
          <cell r="AP15">
            <v>-1</v>
          </cell>
          <cell r="AQ15">
            <v>66284</v>
          </cell>
        </row>
        <row r="16">
          <cell r="C16" t="str">
            <v>东阳市大中商贸有限公司</v>
          </cell>
          <cell r="D16" t="str">
            <v>经销</v>
          </cell>
          <cell r="E16" t="str">
            <v>经销</v>
          </cell>
          <cell r="F16" t="str">
            <v>东阳市</v>
          </cell>
          <cell r="G16" t="str">
            <v>东阳市</v>
          </cell>
          <cell r="H16" t="str">
            <v>林青云</v>
          </cell>
        </row>
        <row r="16">
          <cell r="J16">
            <v>1690</v>
          </cell>
        </row>
        <row r="16">
          <cell r="L16">
            <v>-1</v>
          </cell>
        </row>
        <row r="16">
          <cell r="O16" t="e">
            <v>#DIV/0!</v>
          </cell>
          <cell r="P16">
            <v>1690</v>
          </cell>
          <cell r="Q16">
            <v>0</v>
          </cell>
          <cell r="R16">
            <v>-1</v>
          </cell>
        </row>
        <row r="16">
          <cell r="U16" t="e">
            <v>#DIV/0!</v>
          </cell>
          <cell r="V16">
            <v>1690</v>
          </cell>
          <cell r="W16">
            <v>0</v>
          </cell>
          <cell r="X16">
            <v>-1</v>
          </cell>
          <cell r="Y16">
            <v>3375</v>
          </cell>
        </row>
        <row r="16">
          <cell r="AA16">
            <v>-1</v>
          </cell>
          <cell r="AB16">
            <v>5065</v>
          </cell>
          <cell r="AC16">
            <v>0</v>
          </cell>
          <cell r="AD16">
            <v>-1</v>
          </cell>
        </row>
        <row r="16">
          <cell r="AG16" t="e">
            <v>#DIV/0!</v>
          </cell>
          <cell r="AH16">
            <v>5065</v>
          </cell>
          <cell r="AI16">
            <v>0</v>
          </cell>
          <cell r="AJ16">
            <v>-1</v>
          </cell>
        </row>
        <row r="16">
          <cell r="AM16" t="e">
            <v>#DIV/0!</v>
          </cell>
          <cell r="AN16">
            <v>5065</v>
          </cell>
          <cell r="AO16">
            <v>0</v>
          </cell>
          <cell r="AP16">
            <v>-1</v>
          </cell>
        </row>
        <row r="17">
          <cell r="C17" t="str">
            <v>金华市万普电器销售有限公司</v>
          </cell>
          <cell r="D17" t="str">
            <v>经销</v>
          </cell>
          <cell r="E17" t="str">
            <v>经销</v>
          </cell>
          <cell r="F17" t="str">
            <v>金华市区</v>
          </cell>
          <cell r="G17" t="str">
            <v>金东区</v>
          </cell>
          <cell r="H17" t="str">
            <v>潘杏</v>
          </cell>
          <cell r="I17">
            <v>30</v>
          </cell>
          <cell r="J17">
            <v>5412</v>
          </cell>
          <cell r="K17">
            <v>-8765</v>
          </cell>
          <cell r="L17">
            <v>-2.61954915003695</v>
          </cell>
          <cell r="M17">
            <v>729</v>
          </cell>
          <cell r="N17">
            <v>2310</v>
          </cell>
          <cell r="O17">
            <v>2.16872427983539</v>
          </cell>
          <cell r="P17">
            <v>6141</v>
          </cell>
          <cell r="Q17">
            <v>-6455</v>
          </cell>
          <cell r="R17">
            <v>-2.05113173750204</v>
          </cell>
          <cell r="S17">
            <v>20000</v>
          </cell>
          <cell r="T17">
            <v>5229</v>
          </cell>
          <cell r="U17">
            <v>-0.73855</v>
          </cell>
          <cell r="V17">
            <v>26141</v>
          </cell>
          <cell r="W17">
            <v>-1226</v>
          </cell>
          <cell r="X17">
            <v>-1.04689950652232</v>
          </cell>
        </row>
        <row r="17">
          <cell r="AA17" t="e">
            <v>#DIV/0!</v>
          </cell>
          <cell r="AB17">
            <v>26141</v>
          </cell>
          <cell r="AC17">
            <v>-1226</v>
          </cell>
          <cell r="AD17">
            <v>-1.04689950652232</v>
          </cell>
        </row>
        <row r="17">
          <cell r="AG17" t="e">
            <v>#DIV/0!</v>
          </cell>
          <cell r="AH17">
            <v>26141</v>
          </cell>
          <cell r="AI17">
            <v>-1226</v>
          </cell>
          <cell r="AJ17">
            <v>-1.04689950652232</v>
          </cell>
          <cell r="AK17">
            <v>47792</v>
          </cell>
          <cell r="AL17">
            <v>3242</v>
          </cell>
          <cell r="AM17">
            <v>-0.932164378975561</v>
          </cell>
          <cell r="AN17">
            <v>73933</v>
          </cell>
          <cell r="AO17">
            <v>2016</v>
          </cell>
          <cell r="AP17">
            <v>-0.972732068223932</v>
          </cell>
          <cell r="AQ17">
            <v>37572</v>
          </cell>
          <cell r="AR17">
            <v>1535</v>
          </cell>
        </row>
        <row r="18">
          <cell r="C18" t="str">
            <v>龙游博美电器有限公司</v>
          </cell>
          <cell r="D18" t="str">
            <v>经销</v>
          </cell>
          <cell r="E18" t="str">
            <v>经销</v>
          </cell>
          <cell r="F18" t="str">
            <v>龙游县</v>
          </cell>
          <cell r="G18" t="str">
            <v>龙游县</v>
          </cell>
          <cell r="H18" t="str">
            <v>江雯</v>
          </cell>
          <cell r="I18">
            <v>5</v>
          </cell>
        </row>
        <row r="18">
          <cell r="K18">
            <v>2310</v>
          </cell>
          <cell r="L18" t="e">
            <v>#DIV/0!</v>
          </cell>
        </row>
        <row r="18">
          <cell r="N18">
            <v>3302</v>
          </cell>
          <cell r="O18" t="e">
            <v>#DIV/0!</v>
          </cell>
          <cell r="P18">
            <v>0</v>
          </cell>
          <cell r="Q18">
            <v>5612</v>
          </cell>
          <cell r="R18" t="e">
            <v>#DIV/0!</v>
          </cell>
        </row>
        <row r="18">
          <cell r="U18" t="e">
            <v>#DIV/0!</v>
          </cell>
          <cell r="V18">
            <v>0</v>
          </cell>
          <cell r="W18">
            <v>5612</v>
          </cell>
          <cell r="X18" t="e">
            <v>#DIV/0!</v>
          </cell>
          <cell r="Y18">
            <v>2998</v>
          </cell>
        </row>
        <row r="18">
          <cell r="AA18">
            <v>-1</v>
          </cell>
          <cell r="AB18">
            <v>2998</v>
          </cell>
          <cell r="AC18">
            <v>5612</v>
          </cell>
          <cell r="AD18">
            <v>0.871914609739826</v>
          </cell>
        </row>
        <row r="18">
          <cell r="AG18" t="e">
            <v>#DIV/0!</v>
          </cell>
          <cell r="AH18">
            <v>2998</v>
          </cell>
          <cell r="AI18">
            <v>5612</v>
          </cell>
          <cell r="AJ18">
            <v>0.871914609739826</v>
          </cell>
        </row>
        <row r="18">
          <cell r="AM18" t="e">
            <v>#DIV/0!</v>
          </cell>
          <cell r="AN18">
            <v>2998</v>
          </cell>
          <cell r="AO18">
            <v>5612</v>
          </cell>
          <cell r="AP18">
            <v>0.871914609739826</v>
          </cell>
        </row>
        <row r="18">
          <cell r="AR18">
            <v>4354</v>
          </cell>
        </row>
        <row r="19">
          <cell r="C19" t="str">
            <v>衢州众冠电器有限公司</v>
          </cell>
          <cell r="D19" t="str">
            <v>经销</v>
          </cell>
          <cell r="E19" t="str">
            <v>经销</v>
          </cell>
          <cell r="F19" t="str">
            <v>常山县</v>
          </cell>
          <cell r="G19" t="str">
            <v>常山县</v>
          </cell>
          <cell r="H19" t="str">
            <v>江雯</v>
          </cell>
          <cell r="I19">
            <v>30</v>
          </cell>
        </row>
        <row r="19">
          <cell r="L19" t="e">
            <v>#DIV/0!</v>
          </cell>
        </row>
        <row r="19">
          <cell r="O19" t="e">
            <v>#DIV/0!</v>
          </cell>
          <cell r="P19">
            <v>0</v>
          </cell>
          <cell r="Q19">
            <v>0</v>
          </cell>
          <cell r="R19" t="e">
            <v>#DIV/0!</v>
          </cell>
        </row>
        <row r="19">
          <cell r="U19" t="e">
            <v>#DIV/0!</v>
          </cell>
          <cell r="V19">
            <v>0</v>
          </cell>
          <cell r="W19">
            <v>0</v>
          </cell>
          <cell r="X19" t="e">
            <v>#DIV/0!</v>
          </cell>
          <cell r="Y19">
            <v>20000</v>
          </cell>
        </row>
        <row r="19">
          <cell r="AA19">
            <v>-1</v>
          </cell>
          <cell r="AB19">
            <v>20000</v>
          </cell>
          <cell r="AC19">
            <v>0</v>
          </cell>
          <cell r="AD19">
            <v>-1</v>
          </cell>
        </row>
        <row r="19">
          <cell r="AG19" t="e">
            <v>#DIV/0!</v>
          </cell>
          <cell r="AH19">
            <v>20000</v>
          </cell>
          <cell r="AI19">
            <v>0</v>
          </cell>
          <cell r="AJ19">
            <v>-1</v>
          </cell>
        </row>
        <row r="19">
          <cell r="AM19" t="e">
            <v>#DIV/0!</v>
          </cell>
          <cell r="AN19">
            <v>20000</v>
          </cell>
          <cell r="AO19">
            <v>0</v>
          </cell>
          <cell r="AP19">
            <v>-1</v>
          </cell>
          <cell r="AQ19">
            <v>10000</v>
          </cell>
        </row>
        <row r="20">
          <cell r="C20" t="str">
            <v>金华市婺美电器有限公司</v>
          </cell>
          <cell r="D20" t="str">
            <v>经销</v>
          </cell>
          <cell r="E20" t="str">
            <v>经销</v>
          </cell>
          <cell r="F20" t="str">
            <v>金华市区</v>
          </cell>
          <cell r="G20" t="str">
            <v>婺城区</v>
          </cell>
          <cell r="H20" t="str">
            <v>潘杏</v>
          </cell>
          <cell r="I20">
            <v>10</v>
          </cell>
        </row>
        <row r="20">
          <cell r="K20">
            <v>840</v>
          </cell>
          <cell r="L20" t="e">
            <v>#DIV/0!</v>
          </cell>
        </row>
        <row r="20">
          <cell r="N20">
            <v>10504</v>
          </cell>
          <cell r="O20" t="e">
            <v>#DIV/0!</v>
          </cell>
          <cell r="P20">
            <v>0</v>
          </cell>
          <cell r="Q20">
            <v>11344</v>
          </cell>
          <cell r="R20" t="e">
            <v>#DIV/0!</v>
          </cell>
        </row>
        <row r="20">
          <cell r="T20">
            <v>3070</v>
          </cell>
          <cell r="U20" t="e">
            <v>#DIV/0!</v>
          </cell>
          <cell r="V20">
            <v>0</v>
          </cell>
          <cell r="W20">
            <v>14414</v>
          </cell>
          <cell r="X20" t="e">
            <v>#DIV/0!</v>
          </cell>
          <cell r="Y20">
            <v>1810</v>
          </cell>
        </row>
        <row r="20">
          <cell r="AA20">
            <v>-1</v>
          </cell>
          <cell r="AB20">
            <v>1810</v>
          </cell>
          <cell r="AC20">
            <v>14414</v>
          </cell>
          <cell r="AD20">
            <v>6.96353591160221</v>
          </cell>
          <cell r="AE20">
            <v>4787</v>
          </cell>
        </row>
        <row r="20">
          <cell r="AG20">
            <v>-1</v>
          </cell>
          <cell r="AH20">
            <v>6597</v>
          </cell>
          <cell r="AI20">
            <v>14414</v>
          </cell>
          <cell r="AJ20">
            <v>1.18493254509626</v>
          </cell>
          <cell r="AK20">
            <v>8454</v>
          </cell>
        </row>
        <row r="20">
          <cell r="AM20">
            <v>-1</v>
          </cell>
          <cell r="AN20">
            <v>15051</v>
          </cell>
          <cell r="AO20">
            <v>14414</v>
          </cell>
          <cell r="AP20">
            <v>-0.0423227692512126</v>
          </cell>
        </row>
        <row r="21">
          <cell r="C21" t="str">
            <v>兰溪市升美电器商行</v>
          </cell>
          <cell r="D21" t="str">
            <v>经销</v>
          </cell>
          <cell r="E21" t="str">
            <v>经销</v>
          </cell>
          <cell r="F21" t="str">
            <v>兰溪市</v>
          </cell>
          <cell r="G21" t="str">
            <v>兰溪市</v>
          </cell>
          <cell r="H21" t="str">
            <v>潘杏</v>
          </cell>
        </row>
        <row r="21">
          <cell r="L21" t="e">
            <v>#DIV/0!</v>
          </cell>
        </row>
        <row r="21">
          <cell r="O21" t="e">
            <v>#DIV/0!</v>
          </cell>
          <cell r="P21">
            <v>0</v>
          </cell>
          <cell r="Q21">
            <v>0</v>
          </cell>
          <cell r="R21" t="e">
            <v>#DIV/0!</v>
          </cell>
        </row>
        <row r="21">
          <cell r="U21" t="e">
            <v>#DIV/0!</v>
          </cell>
          <cell r="V21">
            <v>0</v>
          </cell>
          <cell r="W21">
            <v>0</v>
          </cell>
          <cell r="X21" t="e">
            <v>#DIV/0!</v>
          </cell>
        </row>
        <row r="21">
          <cell r="AA21" t="e">
            <v>#DIV/0!</v>
          </cell>
          <cell r="AB21">
            <v>0</v>
          </cell>
          <cell r="AC21">
            <v>0</v>
          </cell>
          <cell r="AD21" t="e">
            <v>#DIV/0!</v>
          </cell>
          <cell r="AE21">
            <v>30000</v>
          </cell>
        </row>
        <row r="21">
          <cell r="AG21">
            <v>-1</v>
          </cell>
          <cell r="AH21">
            <v>30000</v>
          </cell>
          <cell r="AI21">
            <v>0</v>
          </cell>
          <cell r="AJ21">
            <v>-1</v>
          </cell>
        </row>
        <row r="21">
          <cell r="AM21" t="e">
            <v>#DIV/0!</v>
          </cell>
          <cell r="AN21">
            <v>30000</v>
          </cell>
          <cell r="AO21">
            <v>0</v>
          </cell>
          <cell r="AP21">
            <v>-1</v>
          </cell>
        </row>
        <row r="22">
          <cell r="C22" t="str">
            <v>杭州中博智能电器有限公司</v>
          </cell>
          <cell r="D22" t="str">
            <v>家装</v>
          </cell>
          <cell r="E22" t="str">
            <v>家装</v>
          </cell>
          <cell r="F22" t="str">
            <v>金华市区</v>
          </cell>
        </row>
        <row r="22">
          <cell r="H22" t="str">
            <v>潘杏</v>
          </cell>
        </row>
        <row r="22">
          <cell r="L22" t="e">
            <v>#DIV/0!</v>
          </cell>
        </row>
        <row r="22">
          <cell r="O22" t="e">
            <v>#DIV/0!</v>
          </cell>
          <cell r="P22">
            <v>0</v>
          </cell>
          <cell r="Q22">
            <v>0</v>
          </cell>
          <cell r="R22" t="e">
            <v>#DIV/0!</v>
          </cell>
        </row>
        <row r="22">
          <cell r="T22">
            <v>1732</v>
          </cell>
          <cell r="U22" t="e">
            <v>#DIV/0!</v>
          </cell>
          <cell r="V22">
            <v>0</v>
          </cell>
          <cell r="W22">
            <v>1732</v>
          </cell>
          <cell r="X22" t="e">
            <v>#DIV/0!</v>
          </cell>
        </row>
        <row r="22">
          <cell r="Z22">
            <v>2701</v>
          </cell>
          <cell r="AA22" t="e">
            <v>#DIV/0!</v>
          </cell>
          <cell r="AB22">
            <v>0</v>
          </cell>
          <cell r="AC22">
            <v>4433</v>
          </cell>
          <cell r="AD22" t="e">
            <v>#DIV/0!</v>
          </cell>
        </row>
        <row r="22">
          <cell r="AG22" t="e">
            <v>#DIV/0!</v>
          </cell>
          <cell r="AH22">
            <v>0</v>
          </cell>
          <cell r="AI22">
            <v>4433</v>
          </cell>
          <cell r="AJ22" t="e">
            <v>#DIV/0!</v>
          </cell>
        </row>
        <row r="22">
          <cell r="AM22" t="e">
            <v>#DIV/0!</v>
          </cell>
          <cell r="AN22">
            <v>0</v>
          </cell>
          <cell r="AO22">
            <v>4433</v>
          </cell>
          <cell r="AP22" t="e">
            <v>#DIV/0!</v>
          </cell>
        </row>
        <row r="23">
          <cell r="C23" t="str">
            <v>苏宁易购集团股份有限公司苏宁采购中心</v>
          </cell>
          <cell r="D23" t="str">
            <v>经销</v>
          </cell>
          <cell r="E23" t="str">
            <v>经销</v>
          </cell>
          <cell r="F23" t="str">
            <v>金华市区</v>
          </cell>
        </row>
        <row r="23">
          <cell r="H23" t="str">
            <v>潘杏</v>
          </cell>
        </row>
        <row r="23">
          <cell r="L23" t="e">
            <v>#DIV/0!</v>
          </cell>
        </row>
        <row r="23">
          <cell r="N23">
            <v>12400.68</v>
          </cell>
          <cell r="O23" t="e">
            <v>#DIV/0!</v>
          </cell>
          <cell r="P23">
            <v>0</v>
          </cell>
          <cell r="Q23">
            <v>12400.68</v>
          </cell>
          <cell r="R23" t="e">
            <v>#DIV/0!</v>
          </cell>
        </row>
        <row r="23">
          <cell r="T23">
            <v>3939.44</v>
          </cell>
          <cell r="U23" t="e">
            <v>#DIV/0!</v>
          </cell>
          <cell r="V23">
            <v>0</v>
          </cell>
          <cell r="W23">
            <v>16340.12</v>
          </cell>
          <cell r="X23" t="e">
            <v>#DIV/0!</v>
          </cell>
        </row>
        <row r="23">
          <cell r="AA23" t="e">
            <v>#DIV/0!</v>
          </cell>
          <cell r="AB23">
            <v>0</v>
          </cell>
          <cell r="AC23">
            <v>16340.12</v>
          </cell>
          <cell r="AD23" t="e">
            <v>#DIV/0!</v>
          </cell>
        </row>
        <row r="23">
          <cell r="AG23" t="e">
            <v>#DIV/0!</v>
          </cell>
          <cell r="AH23">
            <v>0</v>
          </cell>
          <cell r="AI23">
            <v>16340.12</v>
          </cell>
          <cell r="AJ23" t="e">
            <v>#DIV/0!</v>
          </cell>
        </row>
        <row r="23">
          <cell r="AM23" t="e">
            <v>#DIV/0!</v>
          </cell>
          <cell r="AN23">
            <v>0</v>
          </cell>
          <cell r="AO23">
            <v>16340.12</v>
          </cell>
          <cell r="AP23" t="e">
            <v>#DIV/0!</v>
          </cell>
        </row>
        <row r="24">
          <cell r="C24" t="str">
            <v>衢州万恒电器有限公司</v>
          </cell>
          <cell r="D24" t="str">
            <v>经销</v>
          </cell>
          <cell r="E24" t="str">
            <v>经销</v>
          </cell>
          <cell r="F24" t="str">
            <v>衢州市区</v>
          </cell>
          <cell r="G24" t="str">
            <v>柯城区</v>
          </cell>
          <cell r="H24" t="str">
            <v>江雯</v>
          </cell>
        </row>
        <row r="24">
          <cell r="K24">
            <v>5688</v>
          </cell>
          <cell r="L24" t="e">
            <v>#DIV/0!</v>
          </cell>
        </row>
        <row r="24">
          <cell r="O24" t="e">
            <v>#DIV/0!</v>
          </cell>
          <cell r="P24">
            <v>0</v>
          </cell>
          <cell r="Q24">
            <v>5688</v>
          </cell>
          <cell r="R24" t="e">
            <v>#DIV/0!</v>
          </cell>
        </row>
        <row r="24">
          <cell r="T24">
            <v>2300</v>
          </cell>
          <cell r="U24" t="e">
            <v>#DIV/0!</v>
          </cell>
          <cell r="V24">
            <v>0</v>
          </cell>
          <cell r="W24">
            <v>7988</v>
          </cell>
          <cell r="X24" t="e">
            <v>#DIV/0!</v>
          </cell>
        </row>
        <row r="24">
          <cell r="AA24" t="e">
            <v>#DIV/0!</v>
          </cell>
          <cell r="AB24">
            <v>0</v>
          </cell>
          <cell r="AC24">
            <v>7988</v>
          </cell>
          <cell r="AD24" t="e">
            <v>#DIV/0!</v>
          </cell>
        </row>
        <row r="24">
          <cell r="AG24" t="e">
            <v>#DIV/0!</v>
          </cell>
          <cell r="AH24">
            <v>0</v>
          </cell>
          <cell r="AI24">
            <v>7988</v>
          </cell>
          <cell r="AJ24" t="e">
            <v>#DIV/0!</v>
          </cell>
        </row>
        <row r="24">
          <cell r="AM24" t="e">
            <v>#DIV/0!</v>
          </cell>
          <cell r="AN24">
            <v>0</v>
          </cell>
          <cell r="AO24">
            <v>7988</v>
          </cell>
          <cell r="AP24" t="e">
            <v>#DIV/0!</v>
          </cell>
        </row>
        <row r="25">
          <cell r="C25" t="str">
            <v>金华市汇诚电器有限公司</v>
          </cell>
          <cell r="D25" t="str">
            <v>经销</v>
          </cell>
          <cell r="E25" t="str">
            <v>经销</v>
          </cell>
          <cell r="F25" t="str">
            <v>金华市区</v>
          </cell>
          <cell r="G25" t="str">
            <v>金东区</v>
          </cell>
          <cell r="H25" t="str">
            <v>潘杏</v>
          </cell>
        </row>
        <row r="25">
          <cell r="L25" t="e">
            <v>#DIV/0!</v>
          </cell>
        </row>
        <row r="25"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</row>
        <row r="25"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</row>
        <row r="25">
          <cell r="AA25" t="e">
            <v>#DIV/0!</v>
          </cell>
          <cell r="AB25">
            <v>0</v>
          </cell>
          <cell r="AC25">
            <v>0</v>
          </cell>
          <cell r="AD25" t="e">
            <v>#DIV/0!</v>
          </cell>
        </row>
        <row r="25">
          <cell r="AG25" t="e">
            <v>#DIV/0!</v>
          </cell>
          <cell r="AH25">
            <v>0</v>
          </cell>
          <cell r="AI25">
            <v>0</v>
          </cell>
          <cell r="AJ25" t="e">
            <v>#DIV/0!</v>
          </cell>
        </row>
        <row r="25">
          <cell r="AM25" t="e">
            <v>#DIV/0!</v>
          </cell>
          <cell r="AN25">
            <v>0</v>
          </cell>
          <cell r="AO25">
            <v>0</v>
          </cell>
          <cell r="AP25" t="e">
            <v>#DIV/0!</v>
          </cell>
        </row>
        <row r="26">
          <cell r="C26" t="str">
            <v>兰溪市泽胜电器有限公司</v>
          </cell>
          <cell r="D26" t="str">
            <v>经销</v>
          </cell>
          <cell r="E26" t="str">
            <v>经销</v>
          </cell>
          <cell r="F26" t="str">
            <v>金华市区</v>
          </cell>
          <cell r="G26" t="str">
            <v>金东区</v>
          </cell>
          <cell r="H26" t="str">
            <v>潘杏</v>
          </cell>
        </row>
        <row r="26">
          <cell r="AF26">
            <v>10781</v>
          </cell>
          <cell r="AG26" t="e">
            <v>#DIV/0!</v>
          </cell>
          <cell r="AH26">
            <v>0</v>
          </cell>
          <cell r="AI26">
            <v>10781</v>
          </cell>
          <cell r="AJ26" t="e">
            <v>#DIV/0!</v>
          </cell>
        </row>
        <row r="26">
          <cell r="AL26">
            <v>11769</v>
          </cell>
          <cell r="AM26" t="e">
            <v>#DIV/0!</v>
          </cell>
          <cell r="AN26">
            <v>0</v>
          </cell>
          <cell r="AO26">
            <v>22550</v>
          </cell>
          <cell r="AP26" t="e">
            <v>#DIV/0!</v>
          </cell>
        </row>
        <row r="26">
          <cell r="AR26">
            <v>22469</v>
          </cell>
        </row>
        <row r="27">
          <cell r="C27" t="str">
            <v>义乌国创空调设备有限公司</v>
          </cell>
          <cell r="D27" t="str">
            <v>经销</v>
          </cell>
          <cell r="E27" t="str">
            <v>经销</v>
          </cell>
          <cell r="F27" t="str">
            <v>义乌市</v>
          </cell>
        </row>
        <row r="27">
          <cell r="H27" t="str">
            <v>林青云</v>
          </cell>
          <cell r="I27">
            <v>10</v>
          </cell>
        </row>
        <row r="27">
          <cell r="AF27">
            <v>20000</v>
          </cell>
          <cell r="AG27" t="e">
            <v>#DIV/0!</v>
          </cell>
          <cell r="AH27">
            <v>0</v>
          </cell>
          <cell r="AI27">
            <v>20000</v>
          </cell>
          <cell r="AJ27" t="e">
            <v>#DIV/0!</v>
          </cell>
        </row>
        <row r="27">
          <cell r="AM27" t="e">
            <v>#DIV/0!</v>
          </cell>
          <cell r="AN27">
            <v>0</v>
          </cell>
          <cell r="AO27">
            <v>20000</v>
          </cell>
          <cell r="AP27" t="e">
            <v>#DIV/0!</v>
          </cell>
        </row>
        <row r="28">
          <cell r="C28" t="str">
            <v>永康立格暖通设备有限公司</v>
          </cell>
          <cell r="D28" t="str">
            <v>经销</v>
          </cell>
          <cell r="E28" t="str">
            <v>经销</v>
          </cell>
          <cell r="F28" t="str">
            <v>金华市区</v>
          </cell>
        </row>
        <row r="28">
          <cell r="H28" t="str">
            <v>潘杏</v>
          </cell>
          <cell r="I28">
            <v>10</v>
          </cell>
        </row>
        <row r="28">
          <cell r="K28">
            <v>4928</v>
          </cell>
          <cell r="L28" t="e">
            <v>#DIV/0!</v>
          </cell>
        </row>
        <row r="28">
          <cell r="O28" t="e">
            <v>#DIV/0!</v>
          </cell>
          <cell r="P28">
            <v>0</v>
          </cell>
          <cell r="Q28">
            <v>4928</v>
          </cell>
          <cell r="R28" t="e">
            <v>#DIV/0!</v>
          </cell>
        </row>
        <row r="28">
          <cell r="T28">
            <v>22339</v>
          </cell>
          <cell r="U28" t="e">
            <v>#DIV/0!</v>
          </cell>
          <cell r="V28">
            <v>0</v>
          </cell>
          <cell r="W28">
            <v>27267</v>
          </cell>
          <cell r="X28" t="e">
            <v>#DIV/0!</v>
          </cell>
        </row>
        <row r="28">
          <cell r="AA28" t="e">
            <v>#DIV/0!</v>
          </cell>
          <cell r="AB28">
            <v>0</v>
          </cell>
          <cell r="AC28">
            <v>27267</v>
          </cell>
          <cell r="AD28" t="e">
            <v>#DIV/0!</v>
          </cell>
        </row>
        <row r="28">
          <cell r="AG28" t="e">
            <v>#DIV/0!</v>
          </cell>
          <cell r="AH28">
            <v>0</v>
          </cell>
          <cell r="AI28">
            <v>27267</v>
          </cell>
          <cell r="AJ28" t="e">
            <v>#DIV/0!</v>
          </cell>
        </row>
        <row r="28">
          <cell r="AM28" t="e">
            <v>#DIV/0!</v>
          </cell>
          <cell r="AN28">
            <v>0</v>
          </cell>
          <cell r="AO28">
            <v>27267</v>
          </cell>
          <cell r="AP28" t="e">
            <v>#DIV/0!</v>
          </cell>
        </row>
        <row r="29">
          <cell r="C29" t="str">
            <v>金华一启家电有限公司</v>
          </cell>
          <cell r="D29" t="str">
            <v>经销</v>
          </cell>
          <cell r="E29" t="str">
            <v>经销</v>
          </cell>
          <cell r="F29" t="str">
            <v>金华市区</v>
          </cell>
        </row>
        <row r="29">
          <cell r="H29" t="str">
            <v>潘杏</v>
          </cell>
          <cell r="I29">
            <v>54</v>
          </cell>
        </row>
        <row r="29">
          <cell r="Z29">
            <v>150000</v>
          </cell>
          <cell r="AA29" t="e">
            <v>#DIV/0!</v>
          </cell>
          <cell r="AB29">
            <v>0</v>
          </cell>
          <cell r="AC29">
            <v>150000</v>
          </cell>
          <cell r="AD29" t="e">
            <v>#DIV/0!</v>
          </cell>
        </row>
        <row r="29">
          <cell r="AG29" t="e">
            <v>#DIV/0!</v>
          </cell>
          <cell r="AH29">
            <v>0</v>
          </cell>
          <cell r="AI29">
            <v>150000</v>
          </cell>
          <cell r="AJ29" t="e">
            <v>#DIV/0!</v>
          </cell>
        </row>
        <row r="29">
          <cell r="AM29" t="e">
            <v>#DIV/0!</v>
          </cell>
          <cell r="AN29">
            <v>0</v>
          </cell>
          <cell r="AO29">
            <v>150000</v>
          </cell>
          <cell r="AP29" t="e">
            <v>#DIV/0!</v>
          </cell>
        </row>
        <row r="30">
          <cell r="C30" t="str">
            <v>永康市荣浪家用电器有限公司</v>
          </cell>
          <cell r="D30" t="str">
            <v>经销</v>
          </cell>
          <cell r="E30" t="str">
            <v>经销</v>
          </cell>
          <cell r="F30" t="str">
            <v>金华市区</v>
          </cell>
        </row>
        <row r="30">
          <cell r="H30" t="str">
            <v>潘杏</v>
          </cell>
        </row>
        <row r="30">
          <cell r="AR30">
            <v>1918</v>
          </cell>
        </row>
        <row r="31">
          <cell r="C31" t="str">
            <v>合计</v>
          </cell>
        </row>
        <row r="31">
          <cell r="I31">
            <v>899</v>
          </cell>
          <cell r="J31">
            <v>1110866.71</v>
          </cell>
          <cell r="K31">
            <v>802311.19</v>
          </cell>
          <cell r="L31">
            <v>-0.277761064601531</v>
          </cell>
          <cell r="M31">
            <v>225264</v>
          </cell>
          <cell r="N31">
            <v>353390.48</v>
          </cell>
          <cell r="O31">
            <v>0.568783649406918</v>
          </cell>
          <cell r="P31">
            <v>1336130.71</v>
          </cell>
          <cell r="Q31">
            <v>1155701.67</v>
          </cell>
          <cell r="R31">
            <v>-0.135038464911865</v>
          </cell>
          <cell r="S31">
            <v>365888</v>
          </cell>
          <cell r="T31">
            <v>969353.65</v>
          </cell>
          <cell r="U31">
            <v>1.64931796068742</v>
          </cell>
          <cell r="V31">
            <v>1702018.71</v>
          </cell>
          <cell r="W31">
            <v>2125055.32</v>
          </cell>
          <cell r="X31">
            <v>0.248549917527052</v>
          </cell>
          <cell r="Y31">
            <v>648379.45</v>
          </cell>
          <cell r="Z31">
            <v>857787.1</v>
          </cell>
          <cell r="AA31">
            <v>0.322970831355004</v>
          </cell>
          <cell r="AB31">
            <v>2350398.16</v>
          </cell>
          <cell r="AC31">
            <v>2982842.42</v>
          </cell>
          <cell r="AD31">
            <v>0.269079626917339</v>
          </cell>
          <cell r="AE31">
            <v>639095.81</v>
          </cell>
          <cell r="AF31">
            <v>661714.03</v>
          </cell>
          <cell r="AG31">
            <v>0.0353909690004071</v>
          </cell>
          <cell r="AH31">
            <v>2989493.97</v>
          </cell>
          <cell r="AI31">
            <v>3644556.45</v>
          </cell>
          <cell r="AJ31">
            <v>0.219121525774478</v>
          </cell>
          <cell r="AK31">
            <v>677171.21</v>
          </cell>
          <cell r="AL31">
            <v>970845.98</v>
          </cell>
          <cell r="AM31">
            <v>0.43367875902462</v>
          </cell>
          <cell r="AN31">
            <v>3666665.18</v>
          </cell>
          <cell r="AO31">
            <v>4615402.43</v>
          </cell>
          <cell r="AP31">
            <v>0.258746627637269</v>
          </cell>
          <cell r="AQ31">
            <v>658308.08</v>
          </cell>
          <cell r="AR31">
            <v>383538.42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汇总1"/>
      <sheetName val="杭州"/>
      <sheetName val="湖州"/>
      <sheetName val="嘉兴"/>
      <sheetName val="金衢"/>
      <sheetName val="绍兴"/>
      <sheetName val="台州"/>
      <sheetName val="温丽 "/>
      <sheetName val="电商 以旧换新"/>
      <sheetName val="区域数据"/>
      <sheetName val="客户汇总1"/>
    </sheetNames>
    <sheetDataSet>
      <sheetData sheetId="0"/>
      <sheetData sheetId="1">
        <row r="1">
          <cell r="I1" t="str">
            <v>合同任务</v>
          </cell>
          <cell r="J1" t="str">
            <v>1月</v>
          </cell>
        </row>
        <row r="1">
          <cell r="L1" t="str">
            <v>同比</v>
          </cell>
          <cell r="M1" t="str">
            <v>2月</v>
          </cell>
        </row>
        <row r="1">
          <cell r="O1" t="str">
            <v>同比</v>
          </cell>
          <cell r="P1" t="str">
            <v>1-2月</v>
          </cell>
        </row>
        <row r="1">
          <cell r="R1" t="str">
            <v>同比</v>
          </cell>
          <cell r="S1" t="str">
            <v>3月</v>
          </cell>
        </row>
        <row r="1">
          <cell r="U1" t="str">
            <v>同比</v>
          </cell>
          <cell r="V1" t="str">
            <v>1-3月</v>
          </cell>
        </row>
        <row r="1">
          <cell r="X1" t="str">
            <v>同比</v>
          </cell>
          <cell r="Y1" t="str">
            <v>4月</v>
          </cell>
        </row>
        <row r="1">
          <cell r="AA1" t="str">
            <v>同比</v>
          </cell>
          <cell r="AB1" t="str">
            <v>1-4月</v>
          </cell>
        </row>
        <row r="1">
          <cell r="AD1" t="str">
            <v>同比</v>
          </cell>
          <cell r="AE1" t="str">
            <v>5月</v>
          </cell>
        </row>
        <row r="1">
          <cell r="AG1" t="str">
            <v>同比</v>
          </cell>
          <cell r="AH1" t="str">
            <v>1-5月</v>
          </cell>
        </row>
        <row r="1">
          <cell r="AJ1" t="str">
            <v>同比</v>
          </cell>
          <cell r="AK1" t="str">
            <v>6月</v>
          </cell>
        </row>
        <row r="1">
          <cell r="AM1" t="str">
            <v>同比</v>
          </cell>
          <cell r="AN1" t="str">
            <v>1-6月</v>
          </cell>
        </row>
        <row r="1">
          <cell r="AP1" t="str">
            <v>同比</v>
          </cell>
          <cell r="AQ1" t="str">
            <v>7月</v>
          </cell>
        </row>
        <row r="1">
          <cell r="AS1" t="str">
            <v>同比</v>
          </cell>
          <cell r="AT1" t="str">
            <v>1-7月</v>
          </cell>
        </row>
        <row r="1">
          <cell r="AV1" t="str">
            <v>同比</v>
          </cell>
          <cell r="AW1" t="str">
            <v>8月</v>
          </cell>
        </row>
        <row r="2">
          <cell r="C2" t="str">
            <v>门店</v>
          </cell>
          <cell r="D2" t="str">
            <v>渠道</v>
          </cell>
          <cell r="E2" t="str">
            <v>渠道细分</v>
          </cell>
          <cell r="F2" t="str">
            <v>大区</v>
          </cell>
          <cell r="G2" t="str">
            <v>市/区/县</v>
          </cell>
          <cell r="H2" t="str">
            <v>业务员</v>
          </cell>
        </row>
        <row r="2">
          <cell r="J2" t="str">
            <v>2024年</v>
          </cell>
          <cell r="K2" t="str">
            <v>2025年</v>
          </cell>
        </row>
        <row r="2">
          <cell r="M2" t="str">
            <v>2024年</v>
          </cell>
          <cell r="N2" t="str">
            <v>2025年</v>
          </cell>
        </row>
        <row r="2">
          <cell r="P2" t="str">
            <v>2024年</v>
          </cell>
          <cell r="Q2" t="str">
            <v>2025年</v>
          </cell>
        </row>
        <row r="2">
          <cell r="S2" t="str">
            <v>2024年</v>
          </cell>
          <cell r="T2" t="str">
            <v>2025年</v>
          </cell>
        </row>
        <row r="2">
          <cell r="V2" t="str">
            <v>2024年</v>
          </cell>
          <cell r="W2" t="str">
            <v>2025年</v>
          </cell>
        </row>
        <row r="2">
          <cell r="Y2" t="str">
            <v>2024年</v>
          </cell>
          <cell r="Z2" t="str">
            <v>2025年</v>
          </cell>
        </row>
        <row r="2">
          <cell r="AB2" t="str">
            <v>2024年</v>
          </cell>
          <cell r="AC2" t="str">
            <v>2025年</v>
          </cell>
        </row>
        <row r="2">
          <cell r="AE2" t="str">
            <v>2024年</v>
          </cell>
          <cell r="AF2" t="str">
            <v>2025年</v>
          </cell>
        </row>
        <row r="2">
          <cell r="AH2" t="str">
            <v>2024年</v>
          </cell>
          <cell r="AI2" t="str">
            <v>2025年</v>
          </cell>
        </row>
        <row r="2">
          <cell r="AK2" t="str">
            <v>2024年</v>
          </cell>
          <cell r="AL2" t="str">
            <v>2025年</v>
          </cell>
        </row>
        <row r="2">
          <cell r="AN2" t="str">
            <v>2024年</v>
          </cell>
          <cell r="AO2" t="str">
            <v>2025年</v>
          </cell>
        </row>
        <row r="2">
          <cell r="AQ2" t="str">
            <v>2024年</v>
          </cell>
          <cell r="AR2" t="str">
            <v>2025年</v>
          </cell>
        </row>
        <row r="2">
          <cell r="AT2" t="str">
            <v>2024年</v>
          </cell>
          <cell r="AU2" t="str">
            <v>2025年</v>
          </cell>
        </row>
        <row r="2">
          <cell r="AW2" t="str">
            <v>2024年</v>
          </cell>
          <cell r="AX2" t="str">
            <v>2025年</v>
          </cell>
        </row>
        <row r="3">
          <cell r="C3" t="str">
            <v>汇德隆</v>
          </cell>
          <cell r="D3" t="str">
            <v>TOP渠道</v>
          </cell>
          <cell r="E3" t="str">
            <v>TOP渠道</v>
          </cell>
          <cell r="F3" t="str">
            <v>萧山区</v>
          </cell>
          <cell r="G3" t="str">
            <v>萧山区</v>
          </cell>
          <cell r="H3" t="str">
            <v>董培培</v>
          </cell>
          <cell r="I3">
            <v>800</v>
          </cell>
          <cell r="J3">
            <v>100000</v>
          </cell>
          <cell r="K3">
            <v>180000</v>
          </cell>
          <cell r="L3">
            <v>0.8</v>
          </cell>
        </row>
        <row r="3">
          <cell r="N3">
            <v>90000</v>
          </cell>
          <cell r="O3" t="e">
            <v>#DIV/0!</v>
          </cell>
          <cell r="P3">
            <v>100000</v>
          </cell>
          <cell r="Q3">
            <v>270000</v>
          </cell>
          <cell r="R3">
            <v>1.7</v>
          </cell>
          <cell r="S3">
            <v>540000</v>
          </cell>
          <cell r="T3">
            <v>200000</v>
          </cell>
          <cell r="U3">
            <v>-0.62962962962963</v>
          </cell>
          <cell r="V3">
            <v>640000</v>
          </cell>
          <cell r="W3">
            <v>470000</v>
          </cell>
          <cell r="X3">
            <v>-0.265625</v>
          </cell>
          <cell r="Y3">
            <v>550000</v>
          </cell>
          <cell r="Z3">
            <v>692800</v>
          </cell>
          <cell r="AA3">
            <v>0.259636363636364</v>
          </cell>
          <cell r="AB3">
            <v>1190000</v>
          </cell>
          <cell r="AC3">
            <v>1162800</v>
          </cell>
          <cell r="AD3">
            <v>-0.0228571428571429</v>
          </cell>
          <cell r="AE3">
            <v>513000</v>
          </cell>
          <cell r="AF3">
            <v>480000</v>
          </cell>
          <cell r="AG3">
            <v>-0.064327485380117</v>
          </cell>
          <cell r="AH3">
            <v>1703000</v>
          </cell>
          <cell r="AI3">
            <v>1642800</v>
          </cell>
          <cell r="AJ3">
            <v>-0.0353493834409865</v>
          </cell>
          <cell r="AK3">
            <v>350000</v>
          </cell>
          <cell r="AL3">
            <v>180000</v>
          </cell>
          <cell r="AM3">
            <v>-0.485714285714286</v>
          </cell>
          <cell r="AN3">
            <v>2053000</v>
          </cell>
          <cell r="AO3">
            <v>1822800</v>
          </cell>
          <cell r="AP3">
            <v>-0.112128592303945</v>
          </cell>
          <cell r="AQ3">
            <v>200000</v>
          </cell>
          <cell r="AR3">
            <v>420000</v>
          </cell>
          <cell r="AS3">
            <v>1.1</v>
          </cell>
          <cell r="AT3">
            <v>2253000</v>
          </cell>
          <cell r="AU3">
            <v>2242800</v>
          </cell>
          <cell r="AV3">
            <v>-0.00452729693741682</v>
          </cell>
          <cell r="AW3">
            <v>190000</v>
          </cell>
          <cell r="AX3">
            <v>310000</v>
          </cell>
        </row>
        <row r="4">
          <cell r="C4" t="str">
            <v>萧山汇德隆净水</v>
          </cell>
          <cell r="D4" t="str">
            <v>TOP渠道</v>
          </cell>
          <cell r="E4" t="str">
            <v>TOP渠道</v>
          </cell>
          <cell r="F4" t="str">
            <v>萧山区</v>
          </cell>
          <cell r="G4" t="str">
            <v>萧山区</v>
          </cell>
          <cell r="H4" t="str">
            <v>董培培</v>
          </cell>
        </row>
        <row r="4">
          <cell r="J4">
            <v>109082.35</v>
          </cell>
          <cell r="K4">
            <v>85017.95</v>
          </cell>
          <cell r="L4">
            <v>-0.220607641841233</v>
          </cell>
        </row>
        <row r="4">
          <cell r="N4">
            <v>124698.5</v>
          </cell>
          <cell r="O4" t="e">
            <v>#DIV/0!</v>
          </cell>
          <cell r="P4">
            <v>109082.35</v>
          </cell>
          <cell r="Q4">
            <v>209716.45</v>
          </cell>
          <cell r="R4">
            <v>0.92255163186345</v>
          </cell>
          <cell r="S4">
            <v>98942.87</v>
          </cell>
        </row>
        <row r="4">
          <cell r="U4">
            <v>-1</v>
          </cell>
          <cell r="V4">
            <v>208025.22</v>
          </cell>
          <cell r="W4">
            <v>209716.45</v>
          </cell>
          <cell r="X4">
            <v>0.00812992770780396</v>
          </cell>
          <cell r="Y4">
            <v>96183.1</v>
          </cell>
          <cell r="Z4">
            <v>277266.5</v>
          </cell>
          <cell r="AA4">
            <v>1.88269456900433</v>
          </cell>
          <cell r="AB4">
            <v>304208.32</v>
          </cell>
          <cell r="AC4">
            <v>486982.95</v>
          </cell>
          <cell r="AD4">
            <v>0.600820615294151</v>
          </cell>
          <cell r="AE4">
            <v>108234.5</v>
          </cell>
          <cell r="AF4">
            <v>108269.25</v>
          </cell>
          <cell r="AG4">
            <v>0.00032106213822769</v>
          </cell>
          <cell r="AH4">
            <v>412442.82</v>
          </cell>
          <cell r="AI4">
            <v>595252.2</v>
          </cell>
          <cell r="AJ4">
            <v>0.443235695071622</v>
          </cell>
          <cell r="AK4">
            <v>329415.3</v>
          </cell>
          <cell r="AL4">
            <v>173565</v>
          </cell>
          <cell r="AM4">
            <v>-0.473111904638309</v>
          </cell>
          <cell r="AN4">
            <v>741858.12</v>
          </cell>
          <cell r="AO4">
            <v>768817.2</v>
          </cell>
          <cell r="AP4">
            <v>0.036339940580552</v>
          </cell>
          <cell r="AQ4">
            <v>83070</v>
          </cell>
          <cell r="AR4">
            <v>256417.7</v>
          </cell>
          <cell r="AS4">
            <v>2.08676658240039</v>
          </cell>
          <cell r="AT4">
            <v>824928.12</v>
          </cell>
          <cell r="AU4">
            <v>1025234.9</v>
          </cell>
          <cell r="AV4">
            <v>0.24281725297472</v>
          </cell>
          <cell r="AW4">
            <v>170557.8</v>
          </cell>
          <cell r="AX4">
            <v>110759</v>
          </cell>
        </row>
        <row r="5">
          <cell r="C5" t="str">
            <v>杭州兴达京昀电器有限公司</v>
          </cell>
          <cell r="D5" t="str">
            <v>经销</v>
          </cell>
          <cell r="E5" t="str">
            <v>TOP渠道</v>
          </cell>
          <cell r="F5" t="str">
            <v>临平区</v>
          </cell>
          <cell r="G5" t="str">
            <v>临平区</v>
          </cell>
          <cell r="H5" t="str">
            <v>吴海林</v>
          </cell>
          <cell r="I5">
            <v>130</v>
          </cell>
        </row>
        <row r="5">
          <cell r="K5">
            <v>100000</v>
          </cell>
          <cell r="L5" t="e">
            <v>#DIV/0!</v>
          </cell>
        </row>
        <row r="5">
          <cell r="O5" t="e">
            <v>#DIV/0!</v>
          </cell>
          <cell r="P5">
            <v>0</v>
          </cell>
          <cell r="Q5">
            <v>100000</v>
          </cell>
          <cell r="R5" t="e">
            <v>#DIV/0!</v>
          </cell>
        </row>
        <row r="5">
          <cell r="T5">
            <v>60000</v>
          </cell>
          <cell r="U5" t="e">
            <v>#DIV/0!</v>
          </cell>
          <cell r="V5">
            <v>0</v>
          </cell>
          <cell r="W5">
            <v>160000</v>
          </cell>
          <cell r="X5" t="e">
            <v>#DIV/0!</v>
          </cell>
          <cell r="Y5">
            <v>100000</v>
          </cell>
          <cell r="Z5">
            <v>50000</v>
          </cell>
          <cell r="AA5">
            <v>-0.5</v>
          </cell>
          <cell r="AB5">
            <v>100000</v>
          </cell>
          <cell r="AC5">
            <v>210000</v>
          </cell>
          <cell r="AD5">
            <v>1.1</v>
          </cell>
          <cell r="AE5">
            <v>100000</v>
          </cell>
          <cell r="AF5">
            <v>60000</v>
          </cell>
          <cell r="AG5">
            <v>-0.4</v>
          </cell>
          <cell r="AH5">
            <v>200000</v>
          </cell>
          <cell r="AI5">
            <v>270000</v>
          </cell>
          <cell r="AJ5">
            <v>0.35</v>
          </cell>
          <cell r="AK5">
            <v>100000</v>
          </cell>
          <cell r="AL5">
            <v>120000</v>
          </cell>
          <cell r="AM5">
            <v>0.2</v>
          </cell>
          <cell r="AN5">
            <v>300000</v>
          </cell>
          <cell r="AO5">
            <v>390000</v>
          </cell>
          <cell r="AP5">
            <v>0.3</v>
          </cell>
          <cell r="AQ5">
            <v>100000</v>
          </cell>
          <cell r="AR5">
            <v>100000</v>
          </cell>
          <cell r="AS5">
            <v>0</v>
          </cell>
          <cell r="AT5">
            <v>400000</v>
          </cell>
          <cell r="AU5">
            <v>490000</v>
          </cell>
          <cell r="AV5">
            <v>0.225</v>
          </cell>
          <cell r="AW5">
            <v>100000</v>
          </cell>
          <cell r="AX5">
            <v>50000</v>
          </cell>
        </row>
        <row r="6">
          <cell r="C6" t="str">
            <v>杭州临安一栋电器有限公司</v>
          </cell>
          <cell r="D6" t="str">
            <v>加盟</v>
          </cell>
          <cell r="E6" t="str">
            <v>加盟</v>
          </cell>
          <cell r="F6" t="str">
            <v>临安区</v>
          </cell>
          <cell r="G6" t="str">
            <v>临安区</v>
          </cell>
          <cell r="H6" t="str">
            <v>吴海林</v>
          </cell>
          <cell r="I6">
            <v>190</v>
          </cell>
          <cell r="J6">
            <v>140000</v>
          </cell>
          <cell r="K6">
            <v>41700</v>
          </cell>
          <cell r="L6">
            <v>-0.702142857142857</v>
          </cell>
          <cell r="M6">
            <v>60000</v>
          </cell>
          <cell r="N6">
            <v>27875</v>
          </cell>
          <cell r="O6">
            <v>-0.535416666666667</v>
          </cell>
          <cell r="P6">
            <v>200000</v>
          </cell>
          <cell r="Q6">
            <v>69575</v>
          </cell>
          <cell r="R6">
            <v>-0.652125</v>
          </cell>
          <cell r="S6">
            <v>60000</v>
          </cell>
          <cell r="T6">
            <v>94786</v>
          </cell>
          <cell r="U6">
            <v>0.579766666666667</v>
          </cell>
          <cell r="V6">
            <v>260000</v>
          </cell>
          <cell r="W6">
            <v>164361</v>
          </cell>
          <cell r="X6">
            <v>-0.367842307692308</v>
          </cell>
          <cell r="Y6">
            <v>270219</v>
          </cell>
          <cell r="Z6">
            <v>67000</v>
          </cell>
          <cell r="AA6">
            <v>-0.752052964447356</v>
          </cell>
          <cell r="AB6">
            <v>530219</v>
          </cell>
          <cell r="AC6">
            <v>231361</v>
          </cell>
          <cell r="AD6">
            <v>-0.563650114386697</v>
          </cell>
          <cell r="AE6">
            <v>61019</v>
          </cell>
        </row>
        <row r="6">
          <cell r="AG6">
            <v>-1</v>
          </cell>
          <cell r="AH6">
            <v>591238</v>
          </cell>
          <cell r="AI6">
            <v>231361</v>
          </cell>
          <cell r="AJ6">
            <v>-0.60868381261015</v>
          </cell>
          <cell r="AK6">
            <v>501898</v>
          </cell>
          <cell r="AL6">
            <v>30253.74</v>
          </cell>
          <cell r="AM6">
            <v>-0.939721337801705</v>
          </cell>
          <cell r="AN6">
            <v>1093136</v>
          </cell>
          <cell r="AO6">
            <v>261614.74</v>
          </cell>
          <cell r="AP6">
            <v>-0.760675030371335</v>
          </cell>
        </row>
        <row r="6">
          <cell r="AR6">
            <v>40000</v>
          </cell>
          <cell r="AS6" t="e">
            <v>#DIV/0!</v>
          </cell>
          <cell r="AT6">
            <v>1093136</v>
          </cell>
          <cell r="AU6">
            <v>301614.74</v>
          </cell>
          <cell r="AV6">
            <v>-0.724083060113289</v>
          </cell>
        </row>
        <row r="6">
          <cell r="AX6">
            <v>70000</v>
          </cell>
        </row>
        <row r="7">
          <cell r="C7" t="str">
            <v>杭州宏信机电有限公司</v>
          </cell>
          <cell r="D7" t="str">
            <v>加盟</v>
          </cell>
          <cell r="E7" t="str">
            <v>加盟</v>
          </cell>
          <cell r="F7" t="str">
            <v>富阳区</v>
          </cell>
          <cell r="G7" t="str">
            <v>富阳区</v>
          </cell>
          <cell r="H7" t="str">
            <v>吴海林</v>
          </cell>
          <cell r="I7">
            <v>270</v>
          </cell>
          <cell r="J7">
            <v>215180.88</v>
          </cell>
          <cell r="K7">
            <v>10000</v>
          </cell>
          <cell r="L7">
            <v>-0.953527469540974</v>
          </cell>
          <cell r="M7">
            <v>146500</v>
          </cell>
          <cell r="N7">
            <v>83000</v>
          </cell>
          <cell r="O7">
            <v>-0.433447098976109</v>
          </cell>
          <cell r="P7">
            <v>361680.88</v>
          </cell>
          <cell r="Q7">
            <v>93000</v>
          </cell>
          <cell r="R7">
            <v>-0.7428672480558</v>
          </cell>
          <cell r="S7">
            <v>280836</v>
          </cell>
          <cell r="T7">
            <v>71000</v>
          </cell>
          <cell r="U7">
            <v>-0.74718340953439</v>
          </cell>
          <cell r="V7">
            <v>642516.88</v>
          </cell>
          <cell r="W7">
            <v>164000</v>
          </cell>
          <cell r="X7">
            <v>-0.744753787635898</v>
          </cell>
          <cell r="Y7">
            <v>201000</v>
          </cell>
          <cell r="Z7">
            <v>140000</v>
          </cell>
          <cell r="AA7">
            <v>-0.303482587064677</v>
          </cell>
          <cell r="AB7">
            <v>843516.88</v>
          </cell>
          <cell r="AC7">
            <v>304000</v>
          </cell>
          <cell r="AD7">
            <v>-0.639604129795245</v>
          </cell>
          <cell r="AE7">
            <v>182933</v>
          </cell>
          <cell r="AF7">
            <v>70000</v>
          </cell>
          <cell r="AG7">
            <v>-0.617346241520119</v>
          </cell>
          <cell r="AH7">
            <v>1026449.88</v>
          </cell>
          <cell r="AI7">
            <v>374000</v>
          </cell>
          <cell r="AJ7">
            <v>-0.635637348411011</v>
          </cell>
          <cell r="AK7">
            <v>205000</v>
          </cell>
          <cell r="AL7">
            <v>65840</v>
          </cell>
          <cell r="AM7">
            <v>-0.678829268292683</v>
          </cell>
          <cell r="AN7">
            <v>1231449.88</v>
          </cell>
          <cell r="AO7">
            <v>439840</v>
          </cell>
          <cell r="AP7">
            <v>-0.642827526200254</v>
          </cell>
          <cell r="AQ7">
            <v>157000</v>
          </cell>
          <cell r="AR7">
            <v>39000</v>
          </cell>
          <cell r="AS7">
            <v>-0.751592356687898</v>
          </cell>
          <cell r="AT7">
            <v>1388449.88</v>
          </cell>
          <cell r="AU7">
            <v>478840</v>
          </cell>
          <cell r="AV7">
            <v>-0.655126190078968</v>
          </cell>
          <cell r="AW7">
            <v>106000</v>
          </cell>
          <cell r="AX7">
            <v>95500</v>
          </cell>
        </row>
        <row r="8">
          <cell r="C8" t="str">
            <v>桐庐佳尼特水处理设备有限公司</v>
          </cell>
          <cell r="D8" t="str">
            <v>加盟</v>
          </cell>
          <cell r="E8" t="str">
            <v>加盟</v>
          </cell>
          <cell r="F8" t="str">
            <v>桐庐县</v>
          </cell>
          <cell r="G8" t="str">
            <v>桐庐县</v>
          </cell>
          <cell r="H8" t="str">
            <v>吴海林</v>
          </cell>
          <cell r="I8">
            <v>190</v>
          </cell>
          <cell r="J8">
            <v>100000</v>
          </cell>
          <cell r="K8">
            <v>149040</v>
          </cell>
          <cell r="L8">
            <v>0.4904</v>
          </cell>
          <cell r="M8">
            <v>30000</v>
          </cell>
          <cell r="N8">
            <v>72140</v>
          </cell>
          <cell r="O8">
            <v>1.40466666666667</v>
          </cell>
          <cell r="P8">
            <v>130000</v>
          </cell>
          <cell r="Q8">
            <v>221180</v>
          </cell>
          <cell r="R8">
            <v>0.701384615384615</v>
          </cell>
          <cell r="S8">
            <v>70000</v>
          </cell>
          <cell r="T8">
            <v>160000</v>
          </cell>
          <cell r="U8">
            <v>1.28571428571429</v>
          </cell>
          <cell r="V8">
            <v>200000</v>
          </cell>
          <cell r="W8">
            <v>381180</v>
          </cell>
          <cell r="X8">
            <v>0.9059</v>
          </cell>
          <cell r="Y8">
            <v>90000</v>
          </cell>
          <cell r="Z8">
            <v>100000</v>
          </cell>
          <cell r="AA8">
            <v>0.111111111111111</v>
          </cell>
          <cell r="AB8">
            <v>290000</v>
          </cell>
          <cell r="AC8">
            <v>481180</v>
          </cell>
          <cell r="AD8">
            <v>0.659241379310345</v>
          </cell>
          <cell r="AE8">
            <v>65253</v>
          </cell>
          <cell r="AF8">
            <v>90000</v>
          </cell>
          <cell r="AG8">
            <v>0.379246931175578</v>
          </cell>
          <cell r="AH8">
            <v>355253</v>
          </cell>
          <cell r="AI8">
            <v>571180</v>
          </cell>
          <cell r="AJ8">
            <v>0.607811897436475</v>
          </cell>
          <cell r="AK8">
            <v>555000</v>
          </cell>
          <cell r="AL8">
            <v>275000</v>
          </cell>
          <cell r="AM8">
            <v>-0.504504504504504</v>
          </cell>
          <cell r="AN8">
            <v>910253</v>
          </cell>
          <cell r="AO8">
            <v>846180</v>
          </cell>
          <cell r="AP8">
            <v>-0.0703903200538751</v>
          </cell>
        </row>
        <row r="8">
          <cell r="AS8" t="e">
            <v>#DIV/0!</v>
          </cell>
          <cell r="AT8">
            <v>910253</v>
          </cell>
          <cell r="AU8">
            <v>846180</v>
          </cell>
          <cell r="AV8">
            <v>-0.0703903200538751</v>
          </cell>
        </row>
        <row r="8">
          <cell r="AX8">
            <v>30000</v>
          </cell>
        </row>
        <row r="9">
          <cell r="C9" t="str">
            <v>杭州佳威信息科技有限公司</v>
          </cell>
          <cell r="D9" t="str">
            <v>经销</v>
          </cell>
          <cell r="E9" t="str">
            <v>经销</v>
          </cell>
          <cell r="F9" t="str">
            <v>建德市</v>
          </cell>
          <cell r="G9" t="str">
            <v>建德市</v>
          </cell>
          <cell r="H9" t="str">
            <v>吴海林</v>
          </cell>
        </row>
        <row r="9">
          <cell r="J9">
            <v>10000</v>
          </cell>
        </row>
        <row r="9">
          <cell r="L9">
            <v>-1</v>
          </cell>
        </row>
        <row r="9">
          <cell r="O9" t="e">
            <v>#DIV/0!</v>
          </cell>
          <cell r="P9">
            <v>10000</v>
          </cell>
          <cell r="Q9">
            <v>0</v>
          </cell>
          <cell r="R9">
            <v>-1</v>
          </cell>
          <cell r="S9">
            <v>10000</v>
          </cell>
        </row>
        <row r="9">
          <cell r="U9">
            <v>-1</v>
          </cell>
          <cell r="V9">
            <v>20000</v>
          </cell>
          <cell r="W9">
            <v>0</v>
          </cell>
          <cell r="X9">
            <v>-1</v>
          </cell>
          <cell r="Y9">
            <v>10000</v>
          </cell>
        </row>
        <row r="9">
          <cell r="AA9">
            <v>-1</v>
          </cell>
          <cell r="AB9">
            <v>30000</v>
          </cell>
          <cell r="AC9">
            <v>0</v>
          </cell>
          <cell r="AD9">
            <v>-1</v>
          </cell>
        </row>
        <row r="9">
          <cell r="AG9" t="e">
            <v>#DIV/0!</v>
          </cell>
          <cell r="AH9">
            <v>30000</v>
          </cell>
          <cell r="AI9">
            <v>0</v>
          </cell>
          <cell r="AJ9">
            <v>-1</v>
          </cell>
        </row>
        <row r="9">
          <cell r="AM9" t="e">
            <v>#DIV/0!</v>
          </cell>
          <cell r="AN9">
            <v>30000</v>
          </cell>
          <cell r="AO9">
            <v>0</v>
          </cell>
          <cell r="AP9">
            <v>-1</v>
          </cell>
        </row>
        <row r="9">
          <cell r="AS9" t="e">
            <v>#DIV/0!</v>
          </cell>
          <cell r="AT9">
            <v>30000</v>
          </cell>
          <cell r="AU9">
            <v>0</v>
          </cell>
          <cell r="AV9">
            <v>-1</v>
          </cell>
        </row>
        <row r="10">
          <cell r="C10" t="str">
            <v>杭州京品满屋家电有限公司</v>
          </cell>
          <cell r="D10" t="str">
            <v>经销</v>
          </cell>
          <cell r="E10" t="str">
            <v>经销</v>
          </cell>
          <cell r="F10" t="str">
            <v>淳安县</v>
          </cell>
          <cell r="G10" t="str">
            <v>淳安县</v>
          </cell>
          <cell r="H10" t="str">
            <v>吴海林</v>
          </cell>
          <cell r="I10">
            <v>60</v>
          </cell>
          <cell r="J10">
            <v>10980</v>
          </cell>
          <cell r="K10">
            <v>1887</v>
          </cell>
          <cell r="L10">
            <v>-0.828142076502732</v>
          </cell>
          <cell r="M10">
            <v>10390</v>
          </cell>
        </row>
        <row r="10">
          <cell r="O10">
            <v>-1</v>
          </cell>
          <cell r="P10">
            <v>21370</v>
          </cell>
          <cell r="Q10">
            <v>1887</v>
          </cell>
          <cell r="R10">
            <v>-0.911698642957417</v>
          </cell>
          <cell r="S10">
            <v>20613</v>
          </cell>
          <cell r="T10">
            <v>21472</v>
          </cell>
          <cell r="U10">
            <v>0.0416727308009508</v>
          </cell>
          <cell r="V10">
            <v>41983</v>
          </cell>
          <cell r="W10">
            <v>23359</v>
          </cell>
          <cell r="X10">
            <v>-0.443608127099064</v>
          </cell>
          <cell r="Y10">
            <v>14343</v>
          </cell>
          <cell r="Z10">
            <v>24592</v>
          </cell>
          <cell r="AA10">
            <v>0.71456459597016</v>
          </cell>
          <cell r="AB10">
            <v>56326</v>
          </cell>
          <cell r="AC10">
            <v>47951</v>
          </cell>
          <cell r="AD10">
            <v>-0.148687994886908</v>
          </cell>
          <cell r="AE10">
            <v>10168</v>
          </cell>
          <cell r="AF10">
            <v>35823</v>
          </cell>
          <cell r="AG10">
            <v>2.52311172305271</v>
          </cell>
          <cell r="AH10">
            <v>66494</v>
          </cell>
          <cell r="AI10">
            <v>83774</v>
          </cell>
          <cell r="AJ10">
            <v>0.259873071254549</v>
          </cell>
          <cell r="AK10">
            <v>6124</v>
          </cell>
          <cell r="AL10">
            <v>40090</v>
          </cell>
          <cell r="AM10">
            <v>5.54637491835402</v>
          </cell>
          <cell r="AN10">
            <v>72618</v>
          </cell>
          <cell r="AO10">
            <v>123864</v>
          </cell>
          <cell r="AP10">
            <v>0.705692803437164</v>
          </cell>
        </row>
        <row r="10">
          <cell r="AR10">
            <v>5841</v>
          </cell>
          <cell r="AS10" t="e">
            <v>#DIV/0!</v>
          </cell>
          <cell r="AT10">
            <v>72618</v>
          </cell>
          <cell r="AU10">
            <v>129705</v>
          </cell>
          <cell r="AV10">
            <v>0.786127406428158</v>
          </cell>
          <cell r="AW10">
            <v>9927</v>
          </cell>
          <cell r="AX10">
            <v>19585</v>
          </cell>
        </row>
        <row r="11">
          <cell r="C11" t="str">
            <v>杭州司亿博环境设备有限公司</v>
          </cell>
          <cell r="D11" t="str">
            <v>经销</v>
          </cell>
          <cell r="E11" t="str">
            <v>经销</v>
          </cell>
          <cell r="F11" t="str">
            <v>杭州市区</v>
          </cell>
          <cell r="G11" t="str">
            <v>钱塘区</v>
          </cell>
          <cell r="H11" t="str">
            <v>董培培</v>
          </cell>
          <cell r="I11">
            <v>10</v>
          </cell>
          <cell r="J11">
            <v>11748</v>
          </cell>
        </row>
        <row r="11">
          <cell r="L11">
            <v>-1</v>
          </cell>
          <cell r="M11">
            <v>16445</v>
          </cell>
          <cell r="N11">
            <v>2274</v>
          </cell>
          <cell r="O11">
            <v>-0.861720887807844</v>
          </cell>
          <cell r="P11">
            <v>28193</v>
          </cell>
          <cell r="Q11">
            <v>2274</v>
          </cell>
          <cell r="R11">
            <v>-0.919341680559004</v>
          </cell>
          <cell r="S11">
            <v>800</v>
          </cell>
        </row>
        <row r="11">
          <cell r="U11">
            <v>-1</v>
          </cell>
          <cell r="V11">
            <v>28993</v>
          </cell>
          <cell r="W11">
            <v>2274</v>
          </cell>
          <cell r="X11">
            <v>-0.921567274859449</v>
          </cell>
        </row>
        <row r="11">
          <cell r="Z11">
            <v>2217</v>
          </cell>
          <cell r="AA11" t="e">
            <v>#DIV/0!</v>
          </cell>
          <cell r="AB11">
            <v>28993</v>
          </cell>
          <cell r="AC11">
            <v>4491</v>
          </cell>
          <cell r="AD11">
            <v>-0.84510054151002</v>
          </cell>
          <cell r="AE11">
            <v>19214</v>
          </cell>
          <cell r="AF11">
            <v>13140</v>
          </cell>
          <cell r="AG11">
            <v>-0.316123659831373</v>
          </cell>
          <cell r="AH11">
            <v>48207</v>
          </cell>
          <cell r="AI11">
            <v>17631</v>
          </cell>
          <cell r="AJ11">
            <v>-0.634264733337482</v>
          </cell>
        </row>
        <row r="11">
          <cell r="AM11" t="e">
            <v>#DIV/0!</v>
          </cell>
          <cell r="AN11">
            <v>48207</v>
          </cell>
          <cell r="AO11">
            <v>17631</v>
          </cell>
          <cell r="AP11">
            <v>-0.634264733337482</v>
          </cell>
          <cell r="AQ11">
            <v>4009</v>
          </cell>
          <cell r="AR11">
            <v>3043</v>
          </cell>
          <cell r="AS11">
            <v>-0.24095784484909</v>
          </cell>
          <cell r="AT11">
            <v>52216</v>
          </cell>
          <cell r="AU11">
            <v>20674</v>
          </cell>
          <cell r="AV11">
            <v>-0.60406771870691</v>
          </cell>
          <cell r="AW11">
            <v>10575</v>
          </cell>
        </row>
        <row r="12">
          <cell r="C12" t="str">
            <v>杭州五星</v>
          </cell>
          <cell r="D12" t="str">
            <v>五星</v>
          </cell>
          <cell r="E12" t="str">
            <v>五星</v>
          </cell>
          <cell r="F12" t="str">
            <v>杭州市区</v>
          </cell>
          <cell r="G12" t="str">
            <v>市区</v>
          </cell>
          <cell r="H12" t="str">
            <v>李燕霞</v>
          </cell>
          <cell r="I12">
            <v>560</v>
          </cell>
          <cell r="J12">
            <v>-55370.32</v>
          </cell>
          <cell r="K12">
            <v>513987.69</v>
          </cell>
          <cell r="L12">
            <v>-10.282729267232</v>
          </cell>
        </row>
        <row r="12">
          <cell r="N12">
            <v>456944.83</v>
          </cell>
          <cell r="O12" t="e">
            <v>#DIV/0!</v>
          </cell>
          <cell r="P12">
            <v>-55370.32</v>
          </cell>
          <cell r="Q12">
            <v>970932.52</v>
          </cell>
          <cell r="R12">
            <v>-18.5352520989584</v>
          </cell>
        </row>
        <row r="12">
          <cell r="T12">
            <v>639327.2</v>
          </cell>
          <cell r="U12" t="e">
            <v>#DIV/0!</v>
          </cell>
          <cell r="V12">
            <v>-55370.32</v>
          </cell>
          <cell r="W12">
            <v>1610259.72</v>
          </cell>
          <cell r="X12">
            <v>-30.0816401277796</v>
          </cell>
          <cell r="Y12">
            <v>442229.3</v>
          </cell>
          <cell r="Z12">
            <v>380375.22</v>
          </cell>
          <cell r="AA12">
            <v>-0.139868796572276</v>
          </cell>
          <cell r="AB12">
            <v>386858.98</v>
          </cell>
          <cell r="AC12">
            <v>1990634.94</v>
          </cell>
          <cell r="AD12">
            <v>4.1456345668905</v>
          </cell>
          <cell r="AE12">
            <v>309190.52</v>
          </cell>
          <cell r="AF12">
            <v>403454.03</v>
          </cell>
          <cell r="AG12">
            <v>0.304871928156141</v>
          </cell>
          <cell r="AH12">
            <v>696049.5</v>
          </cell>
          <cell r="AI12">
            <v>2394088.97</v>
          </cell>
          <cell r="AJ12">
            <v>2.43953838053184</v>
          </cell>
          <cell r="AK12">
            <v>319675.55</v>
          </cell>
          <cell r="AL12">
            <v>521128.98</v>
          </cell>
          <cell r="AM12">
            <v>0.63018091311644</v>
          </cell>
          <cell r="AN12">
            <v>1015725.05</v>
          </cell>
          <cell r="AO12">
            <v>2915217.95</v>
          </cell>
          <cell r="AP12">
            <v>1.870085708726</v>
          </cell>
          <cell r="AQ12">
            <v>528891.84</v>
          </cell>
          <cell r="AR12">
            <v>152639.86</v>
          </cell>
          <cell r="AS12">
            <v>-0.711396833046243</v>
          </cell>
          <cell r="AT12">
            <v>1544616.89</v>
          </cell>
          <cell r="AU12">
            <v>3067857.81</v>
          </cell>
          <cell r="AV12">
            <v>0.986160989085132</v>
          </cell>
          <cell r="AW12">
            <v>226314.07</v>
          </cell>
        </row>
        <row r="13">
          <cell r="C13" t="str">
            <v>杭州临平江南家居专卖店</v>
          </cell>
          <cell r="D13" t="str">
            <v>直营</v>
          </cell>
          <cell r="E13" t="str">
            <v>直营</v>
          </cell>
          <cell r="F13" t="str">
            <v>临平区</v>
          </cell>
          <cell r="G13" t="str">
            <v>临平区</v>
          </cell>
          <cell r="H13" t="str">
            <v>专卖店</v>
          </cell>
          <cell r="I13">
            <v>180</v>
          </cell>
          <cell r="J13">
            <v>103977</v>
          </cell>
          <cell r="K13">
            <v>22066</v>
          </cell>
          <cell r="L13">
            <v>-0.787779989805438</v>
          </cell>
          <cell r="M13">
            <v>19500</v>
          </cell>
          <cell r="N13">
            <v>49149</v>
          </cell>
          <cell r="O13">
            <v>1.52046153846154</v>
          </cell>
          <cell r="P13">
            <v>123477</v>
          </cell>
          <cell r="Q13">
            <v>71215</v>
          </cell>
          <cell r="R13">
            <v>-0.42325291349806</v>
          </cell>
          <cell r="S13">
            <v>113494</v>
          </cell>
          <cell r="T13">
            <v>91366</v>
          </cell>
          <cell r="U13">
            <v>-0.194970659241898</v>
          </cell>
          <cell r="V13">
            <v>236971</v>
          </cell>
          <cell r="W13">
            <v>162581</v>
          </cell>
          <cell r="X13">
            <v>-0.313920268724865</v>
          </cell>
          <cell r="Y13">
            <v>109059</v>
          </cell>
          <cell r="Z13">
            <v>67817</v>
          </cell>
          <cell r="AA13">
            <v>-0.378162279133313</v>
          </cell>
          <cell r="AB13">
            <v>346030</v>
          </cell>
          <cell r="AC13">
            <v>230398</v>
          </cell>
          <cell r="AD13">
            <v>-0.334167557726209</v>
          </cell>
          <cell r="AE13">
            <v>111723</v>
          </cell>
          <cell r="AF13">
            <v>71689</v>
          </cell>
          <cell r="AG13">
            <v>-0.3583326620302</v>
          </cell>
          <cell r="AH13">
            <v>457753</v>
          </cell>
          <cell r="AI13">
            <v>302087</v>
          </cell>
          <cell r="AJ13">
            <v>-0.340065493836196</v>
          </cell>
          <cell r="AK13">
            <v>173284</v>
          </cell>
          <cell r="AL13">
            <v>123804</v>
          </cell>
          <cell r="AM13">
            <v>-0.285542808337758</v>
          </cell>
          <cell r="AN13">
            <v>631037</v>
          </cell>
          <cell r="AO13">
            <v>425891</v>
          </cell>
          <cell r="AP13">
            <v>-0.325093457277466</v>
          </cell>
          <cell r="AQ13">
            <v>72134</v>
          </cell>
          <cell r="AR13">
            <v>47933</v>
          </cell>
          <cell r="AS13">
            <v>-0.33550059611279</v>
          </cell>
          <cell r="AT13">
            <v>703171</v>
          </cell>
          <cell r="AU13">
            <v>473824</v>
          </cell>
          <cell r="AV13">
            <v>-0.326161061818533</v>
          </cell>
          <cell r="AW13">
            <v>94856</v>
          </cell>
          <cell r="AX13">
            <v>51793</v>
          </cell>
        </row>
        <row r="14">
          <cell r="C14" t="str">
            <v>杭州华泓电器有限公司</v>
          </cell>
          <cell r="D14" t="str">
            <v>经销</v>
          </cell>
          <cell r="E14" t="str">
            <v>经销</v>
          </cell>
          <cell r="F14" t="str">
            <v>萧山区</v>
          </cell>
          <cell r="G14" t="str">
            <v>萧山区</v>
          </cell>
          <cell r="H14" t="str">
            <v>董培培</v>
          </cell>
        </row>
        <row r="14">
          <cell r="J14">
            <v>800</v>
          </cell>
        </row>
        <row r="14">
          <cell r="L14">
            <v>-1</v>
          </cell>
        </row>
        <row r="14">
          <cell r="O14" t="e">
            <v>#DIV/0!</v>
          </cell>
          <cell r="P14">
            <v>800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800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800</v>
          </cell>
          <cell r="AC14">
            <v>0</v>
          </cell>
          <cell r="AD14">
            <v>-1</v>
          </cell>
        </row>
        <row r="14">
          <cell r="AG14" t="e">
            <v>#DIV/0!</v>
          </cell>
          <cell r="AH14">
            <v>800</v>
          </cell>
          <cell r="AI14">
            <v>0</v>
          </cell>
          <cell r="AJ14">
            <v>-1</v>
          </cell>
          <cell r="AK14">
            <v>6071</v>
          </cell>
        </row>
        <row r="14">
          <cell r="AM14">
            <v>-1</v>
          </cell>
          <cell r="AN14">
            <v>6871</v>
          </cell>
          <cell r="AO14">
            <v>0</v>
          </cell>
          <cell r="AP14">
            <v>-1</v>
          </cell>
        </row>
        <row r="14">
          <cell r="AR14">
            <v>4498</v>
          </cell>
          <cell r="AS14" t="e">
            <v>#DIV/0!</v>
          </cell>
          <cell r="AT14">
            <v>6871</v>
          </cell>
          <cell r="AU14">
            <v>4498</v>
          </cell>
          <cell r="AV14">
            <v>-0.345364575753165</v>
          </cell>
          <cell r="AW14">
            <v>6599</v>
          </cell>
          <cell r="AX14">
            <v>13050</v>
          </cell>
        </row>
        <row r="15">
          <cell r="C15" t="str">
            <v>杭州金蝶零售</v>
          </cell>
          <cell r="D15" t="str">
            <v>零售</v>
          </cell>
          <cell r="E15" t="str">
            <v>零售</v>
          </cell>
          <cell r="F15" t="str">
            <v>杭州市区</v>
          </cell>
          <cell r="G15" t="str">
            <v>市区</v>
          </cell>
          <cell r="H15" t="str">
            <v>杭州零售</v>
          </cell>
        </row>
        <row r="15">
          <cell r="J15">
            <v>111956.28</v>
          </cell>
          <cell r="K15">
            <v>76873.34</v>
          </cell>
          <cell r="L15">
            <v>-0.313362859144659</v>
          </cell>
          <cell r="M15">
            <v>43919</v>
          </cell>
          <cell r="N15">
            <v>43284.9</v>
          </cell>
          <cell r="O15">
            <v>-0.014437942576106</v>
          </cell>
          <cell r="P15">
            <v>155875.28</v>
          </cell>
          <cell r="Q15">
            <v>120158.24</v>
          </cell>
          <cell r="R15">
            <v>-0.229138577970798</v>
          </cell>
          <cell r="S15">
            <v>80405.08</v>
          </cell>
          <cell r="T15">
            <v>119148.66</v>
          </cell>
          <cell r="U15">
            <v>0.481854877826127</v>
          </cell>
          <cell r="V15">
            <v>236280.36</v>
          </cell>
          <cell r="W15">
            <v>239306.9</v>
          </cell>
          <cell r="X15">
            <v>0.012809105251067</v>
          </cell>
          <cell r="Y15">
            <v>82108.64</v>
          </cell>
          <cell r="Z15">
            <v>310195.38</v>
          </cell>
          <cell r="AA15">
            <v>2.77786527702809</v>
          </cell>
          <cell r="AB15">
            <v>318389</v>
          </cell>
          <cell r="AC15">
            <v>549502.28</v>
          </cell>
          <cell r="AD15">
            <v>0.725883369086244</v>
          </cell>
          <cell r="AE15">
            <v>209042.8</v>
          </cell>
          <cell r="AF15">
            <v>36281.12</v>
          </cell>
          <cell r="AG15">
            <v>-0.826441666491264</v>
          </cell>
          <cell r="AH15">
            <v>527431.8</v>
          </cell>
          <cell r="AI15">
            <v>585783.4</v>
          </cell>
          <cell r="AJ15">
            <v>0.110633450618639</v>
          </cell>
          <cell r="AK15">
            <v>78620.76</v>
          </cell>
          <cell r="AL15">
            <v>30684.4</v>
          </cell>
          <cell r="AM15">
            <v>-0.609716314113473</v>
          </cell>
          <cell r="AN15">
            <v>606052.56</v>
          </cell>
          <cell r="AO15">
            <v>616467.8</v>
          </cell>
          <cell r="AP15">
            <v>0.0171853741530272</v>
          </cell>
          <cell r="AQ15">
            <v>153937.2</v>
          </cell>
          <cell r="AR15">
            <v>271358.5</v>
          </cell>
          <cell r="AS15">
            <v>0.762787032634087</v>
          </cell>
          <cell r="AT15">
            <v>759989.76</v>
          </cell>
          <cell r="AU15">
            <v>887826.3</v>
          </cell>
          <cell r="AV15">
            <v>0.168208240068919</v>
          </cell>
          <cell r="AW15">
            <v>172756.46</v>
          </cell>
          <cell r="AX15">
            <v>91767.56</v>
          </cell>
        </row>
        <row r="16">
          <cell r="C16" t="str">
            <v>杭州金蝶零售（李燕霞）</v>
          </cell>
          <cell r="D16" t="str">
            <v>零售</v>
          </cell>
          <cell r="E16" t="str">
            <v>零售</v>
          </cell>
          <cell r="F16" t="str">
            <v>杭州市区</v>
          </cell>
          <cell r="G16" t="str">
            <v>市区</v>
          </cell>
          <cell r="H16" t="str">
            <v>李燕霞</v>
          </cell>
        </row>
        <row r="16">
          <cell r="L16" t="e">
            <v>#DIV/0!</v>
          </cell>
        </row>
        <row r="16">
          <cell r="N16">
            <v>6125</v>
          </cell>
          <cell r="O16" t="e">
            <v>#DIV/0!</v>
          </cell>
          <cell r="P16">
            <v>0</v>
          </cell>
          <cell r="Q16">
            <v>6125</v>
          </cell>
          <cell r="R16" t="e">
            <v>#DIV/0!</v>
          </cell>
        </row>
        <row r="16">
          <cell r="U16" t="e">
            <v>#DIV/0!</v>
          </cell>
          <cell r="V16">
            <v>0</v>
          </cell>
          <cell r="W16">
            <v>6125</v>
          </cell>
          <cell r="X16" t="e">
            <v>#DIV/0!</v>
          </cell>
        </row>
        <row r="16">
          <cell r="AA16" t="e">
            <v>#DIV/0!</v>
          </cell>
          <cell r="AB16">
            <v>0</v>
          </cell>
          <cell r="AC16">
            <v>6125</v>
          </cell>
          <cell r="AD16" t="e">
            <v>#DIV/0!</v>
          </cell>
          <cell r="AE16">
            <v>3636</v>
          </cell>
        </row>
        <row r="16">
          <cell r="AG16">
            <v>-1</v>
          </cell>
          <cell r="AH16">
            <v>3636</v>
          </cell>
          <cell r="AI16">
            <v>6125</v>
          </cell>
          <cell r="AJ16">
            <v>0.684543454345435</v>
          </cell>
          <cell r="AK16">
            <v>25759</v>
          </cell>
        </row>
        <row r="16">
          <cell r="AM16">
            <v>-1</v>
          </cell>
          <cell r="AN16">
            <v>29395</v>
          </cell>
          <cell r="AO16">
            <v>6125</v>
          </cell>
          <cell r="AP16">
            <v>-0.791631229800987</v>
          </cell>
        </row>
        <row r="16">
          <cell r="AS16" t="e">
            <v>#DIV/0!</v>
          </cell>
          <cell r="AT16">
            <v>29395</v>
          </cell>
          <cell r="AU16">
            <v>6125</v>
          </cell>
          <cell r="AV16">
            <v>-0.791631229800987</v>
          </cell>
          <cell r="AW16">
            <v>2400</v>
          </cell>
        </row>
        <row r="17">
          <cell r="C17" t="str">
            <v>萧山世纪龙建材专卖店</v>
          </cell>
          <cell r="D17" t="str">
            <v>直营</v>
          </cell>
          <cell r="E17" t="str">
            <v>直营</v>
          </cell>
          <cell r="F17" t="str">
            <v>萧山区</v>
          </cell>
          <cell r="G17" t="str">
            <v>萧山区</v>
          </cell>
          <cell r="H17" t="str">
            <v>专卖店</v>
          </cell>
        </row>
        <row r="17">
          <cell r="J17">
            <v>52801</v>
          </cell>
        </row>
        <row r="17">
          <cell r="L17">
            <v>-1</v>
          </cell>
        </row>
        <row r="17">
          <cell r="O17" t="e">
            <v>#DIV/0!</v>
          </cell>
          <cell r="P17">
            <v>52801</v>
          </cell>
          <cell r="Q17">
            <v>0</v>
          </cell>
          <cell r="R17">
            <v>-1</v>
          </cell>
        </row>
        <row r="17">
          <cell r="U17" t="e">
            <v>#DIV/0!</v>
          </cell>
          <cell r="V17">
            <v>52801</v>
          </cell>
          <cell r="W17">
            <v>0</v>
          </cell>
          <cell r="X17">
            <v>-1</v>
          </cell>
        </row>
        <row r="17">
          <cell r="AA17" t="e">
            <v>#DIV/0!</v>
          </cell>
          <cell r="AB17">
            <v>52801</v>
          </cell>
          <cell r="AC17">
            <v>0</v>
          </cell>
          <cell r="AD17">
            <v>-1</v>
          </cell>
        </row>
        <row r="17">
          <cell r="AG17" t="e">
            <v>#DIV/0!</v>
          </cell>
          <cell r="AH17">
            <v>52801</v>
          </cell>
          <cell r="AI17">
            <v>0</v>
          </cell>
          <cell r="AJ17">
            <v>-1</v>
          </cell>
        </row>
        <row r="17">
          <cell r="AM17" t="e">
            <v>#DIV/0!</v>
          </cell>
          <cell r="AN17">
            <v>52801</v>
          </cell>
          <cell r="AO17">
            <v>0</v>
          </cell>
          <cell r="AP17">
            <v>-1</v>
          </cell>
        </row>
        <row r="17">
          <cell r="AS17" t="e">
            <v>#DIV/0!</v>
          </cell>
          <cell r="AT17">
            <v>52801</v>
          </cell>
          <cell r="AU17">
            <v>0</v>
          </cell>
          <cell r="AV17">
            <v>-1</v>
          </cell>
        </row>
        <row r="18">
          <cell r="C18" t="str">
            <v>（新）古墩新时代专卖店</v>
          </cell>
          <cell r="D18" t="str">
            <v>直营</v>
          </cell>
          <cell r="E18" t="str">
            <v>直营</v>
          </cell>
          <cell r="F18" t="str">
            <v>杭州市区</v>
          </cell>
          <cell r="G18" t="str">
            <v>西湖风景名胜区</v>
          </cell>
          <cell r="H18" t="str">
            <v>专卖店</v>
          </cell>
        </row>
        <row r="18">
          <cell r="J18">
            <v>-16596</v>
          </cell>
        </row>
        <row r="18">
          <cell r="L18">
            <v>-1</v>
          </cell>
        </row>
        <row r="18">
          <cell r="O18" t="e">
            <v>#DIV/0!</v>
          </cell>
          <cell r="P18">
            <v>-16596</v>
          </cell>
          <cell r="Q18">
            <v>0</v>
          </cell>
          <cell r="R18">
            <v>-1</v>
          </cell>
        </row>
        <row r="18">
          <cell r="U18" t="e">
            <v>#DIV/0!</v>
          </cell>
          <cell r="V18">
            <v>-16596</v>
          </cell>
          <cell r="W18">
            <v>0</v>
          </cell>
          <cell r="X18">
            <v>-1</v>
          </cell>
        </row>
        <row r="18">
          <cell r="AA18" t="e">
            <v>#DIV/0!</v>
          </cell>
          <cell r="AB18">
            <v>-16596</v>
          </cell>
          <cell r="AC18">
            <v>0</v>
          </cell>
          <cell r="AD18">
            <v>-1</v>
          </cell>
        </row>
        <row r="18">
          <cell r="AG18" t="e">
            <v>#DIV/0!</v>
          </cell>
          <cell r="AH18">
            <v>-16596</v>
          </cell>
          <cell r="AI18">
            <v>0</v>
          </cell>
          <cell r="AJ18">
            <v>-1</v>
          </cell>
        </row>
        <row r="18">
          <cell r="AM18" t="e">
            <v>#DIV/0!</v>
          </cell>
          <cell r="AN18">
            <v>-16596</v>
          </cell>
          <cell r="AO18">
            <v>0</v>
          </cell>
          <cell r="AP18">
            <v>-1</v>
          </cell>
          <cell r="AQ18">
            <v>500</v>
          </cell>
        </row>
        <row r="18">
          <cell r="AS18">
            <v>-1</v>
          </cell>
          <cell r="AT18">
            <v>-16096</v>
          </cell>
          <cell r="AU18">
            <v>0</v>
          </cell>
          <cell r="AV18">
            <v>-1</v>
          </cell>
        </row>
        <row r="19">
          <cell r="C19" t="str">
            <v>（新）宏丰专卖店</v>
          </cell>
          <cell r="D19" t="str">
            <v>直营</v>
          </cell>
          <cell r="E19" t="str">
            <v>直营</v>
          </cell>
          <cell r="F19" t="str">
            <v>杭州市区</v>
          </cell>
          <cell r="G19" t="str">
            <v>市区</v>
          </cell>
          <cell r="H19" t="str">
            <v>专卖店</v>
          </cell>
        </row>
        <row r="19">
          <cell r="L19" t="e">
            <v>#DIV/0!</v>
          </cell>
          <cell r="M19">
            <v>-3358</v>
          </cell>
        </row>
        <row r="19">
          <cell r="O19">
            <v>-1</v>
          </cell>
          <cell r="P19">
            <v>-3358</v>
          </cell>
          <cell r="Q19">
            <v>0</v>
          </cell>
          <cell r="R19">
            <v>-1</v>
          </cell>
        </row>
        <row r="19">
          <cell r="U19" t="e">
            <v>#DIV/0!</v>
          </cell>
          <cell r="V19">
            <v>-3358</v>
          </cell>
          <cell r="W19">
            <v>0</v>
          </cell>
          <cell r="X19">
            <v>-1</v>
          </cell>
        </row>
        <row r="19">
          <cell r="AA19" t="e">
            <v>#DIV/0!</v>
          </cell>
          <cell r="AB19">
            <v>-3358</v>
          </cell>
          <cell r="AC19">
            <v>0</v>
          </cell>
          <cell r="AD19">
            <v>-1</v>
          </cell>
        </row>
        <row r="19">
          <cell r="AG19" t="e">
            <v>#DIV/0!</v>
          </cell>
          <cell r="AH19">
            <v>-3358</v>
          </cell>
          <cell r="AI19">
            <v>0</v>
          </cell>
          <cell r="AJ19">
            <v>-1</v>
          </cell>
        </row>
        <row r="19">
          <cell r="AM19" t="e">
            <v>#DIV/0!</v>
          </cell>
          <cell r="AN19">
            <v>-3358</v>
          </cell>
          <cell r="AO19">
            <v>0</v>
          </cell>
          <cell r="AP19">
            <v>-1</v>
          </cell>
        </row>
        <row r="19">
          <cell r="AS19" t="e">
            <v>#DIV/0!</v>
          </cell>
          <cell r="AT19">
            <v>-3358</v>
          </cell>
          <cell r="AU19">
            <v>0</v>
          </cell>
          <cell r="AV19">
            <v>-1</v>
          </cell>
        </row>
        <row r="20">
          <cell r="C20" t="str">
            <v>杭州月星家居超级旗舰店</v>
          </cell>
          <cell r="D20" t="str">
            <v>直营</v>
          </cell>
          <cell r="E20" t="str">
            <v>直营</v>
          </cell>
          <cell r="F20" t="str">
            <v>杭州市区</v>
          </cell>
          <cell r="G20" t="str">
            <v>拱墅区</v>
          </cell>
          <cell r="H20" t="str">
            <v>专卖店</v>
          </cell>
        </row>
        <row r="20">
          <cell r="L20" t="e">
            <v>#DIV/0!</v>
          </cell>
        </row>
        <row r="20">
          <cell r="O20" t="e">
            <v>#DIV/0!</v>
          </cell>
          <cell r="P20">
            <v>0</v>
          </cell>
          <cell r="Q20">
            <v>0</v>
          </cell>
          <cell r="R20" t="e">
            <v>#DIV/0!</v>
          </cell>
        </row>
        <row r="20">
          <cell r="U20" t="e">
            <v>#DIV/0!</v>
          </cell>
          <cell r="V20">
            <v>0</v>
          </cell>
          <cell r="W20">
            <v>0</v>
          </cell>
          <cell r="X20" t="e">
            <v>#DIV/0!</v>
          </cell>
        </row>
        <row r="20">
          <cell r="AA20" t="e">
            <v>#DIV/0!</v>
          </cell>
          <cell r="AB20">
            <v>0</v>
          </cell>
          <cell r="AC20">
            <v>0</v>
          </cell>
          <cell r="AD20" t="e">
            <v>#DIV/0!</v>
          </cell>
        </row>
        <row r="20">
          <cell r="AG20" t="e">
            <v>#DIV/0!</v>
          </cell>
          <cell r="AH20">
            <v>0</v>
          </cell>
          <cell r="AI20">
            <v>0</v>
          </cell>
          <cell r="AJ20" t="e">
            <v>#DIV/0!</v>
          </cell>
        </row>
        <row r="20">
          <cell r="AM20" t="e">
            <v>#DIV/0!</v>
          </cell>
          <cell r="AN20">
            <v>0</v>
          </cell>
          <cell r="AO20">
            <v>0</v>
          </cell>
          <cell r="AP20" t="e">
            <v>#DIV/0!</v>
          </cell>
        </row>
        <row r="20">
          <cell r="AS20" t="e">
            <v>#DIV/0!</v>
          </cell>
          <cell r="AT20">
            <v>0</v>
          </cell>
          <cell r="AU20">
            <v>0</v>
          </cell>
          <cell r="AV20" t="e">
            <v>#DIV/0!</v>
          </cell>
        </row>
        <row r="21">
          <cell r="C21" t="str">
            <v>杭州恒大建材超级旗舰店</v>
          </cell>
          <cell r="D21" t="str">
            <v>直营</v>
          </cell>
          <cell r="E21" t="str">
            <v>直营</v>
          </cell>
          <cell r="F21" t="str">
            <v>杭州市区</v>
          </cell>
          <cell r="G21" t="str">
            <v>钱塘区</v>
          </cell>
          <cell r="H21" t="str">
            <v>专卖店</v>
          </cell>
          <cell r="I21">
            <v>230</v>
          </cell>
          <cell r="J21">
            <v>164507</v>
          </cell>
          <cell r="K21">
            <v>108230.5</v>
          </cell>
          <cell r="L21">
            <v>-0.34209182587975</v>
          </cell>
          <cell r="M21">
            <v>107411</v>
          </cell>
          <cell r="N21">
            <v>59256.4</v>
          </cell>
          <cell r="O21">
            <v>-0.448320935472158</v>
          </cell>
          <cell r="P21">
            <v>271918</v>
          </cell>
          <cell r="Q21">
            <v>167486.9</v>
          </cell>
          <cell r="R21">
            <v>-0.384053648526394</v>
          </cell>
          <cell r="S21">
            <v>318901</v>
          </cell>
          <cell r="T21">
            <v>109309.1</v>
          </cell>
          <cell r="U21">
            <v>-0.65723186819734</v>
          </cell>
          <cell r="V21">
            <v>590819</v>
          </cell>
          <cell r="W21">
            <v>276796</v>
          </cell>
          <cell r="X21">
            <v>-0.531504572466356</v>
          </cell>
          <cell r="Y21">
            <v>286782</v>
          </cell>
          <cell r="Z21">
            <v>130231</v>
          </cell>
          <cell r="AA21">
            <v>-0.545888514620862</v>
          </cell>
          <cell r="AB21">
            <v>877601</v>
          </cell>
          <cell r="AC21">
            <v>407027</v>
          </cell>
          <cell r="AD21">
            <v>-0.536204949629729</v>
          </cell>
          <cell r="AE21">
            <v>277032</v>
          </cell>
          <cell r="AF21">
            <v>123067.1</v>
          </cell>
          <cell r="AG21">
            <v>-0.555765759912212</v>
          </cell>
          <cell r="AH21">
            <v>1154633</v>
          </cell>
          <cell r="AI21">
            <v>530094.1</v>
          </cell>
          <cell r="AJ21">
            <v>-0.540898190160856</v>
          </cell>
          <cell r="AK21">
            <v>219679</v>
          </cell>
          <cell r="AL21">
            <v>158341.8</v>
          </cell>
          <cell r="AM21">
            <v>-0.279212851478749</v>
          </cell>
          <cell r="AN21">
            <v>1374312</v>
          </cell>
          <cell r="AO21">
            <v>688435.9</v>
          </cell>
          <cell r="AP21">
            <v>-0.499068697646532</v>
          </cell>
          <cell r="AQ21">
            <v>159081</v>
          </cell>
          <cell r="AR21">
            <v>49102</v>
          </cell>
          <cell r="AS21">
            <v>-0.691339632011365</v>
          </cell>
          <cell r="AT21">
            <v>1533393</v>
          </cell>
          <cell r="AU21">
            <v>737537.9</v>
          </cell>
          <cell r="AV21">
            <v>-0.519015738300618</v>
          </cell>
          <cell r="AW21">
            <v>201109</v>
          </cell>
          <cell r="AX21">
            <v>28429</v>
          </cell>
        </row>
        <row r="22">
          <cell r="C22" t="str">
            <v>二轻爱威专卖店</v>
          </cell>
          <cell r="D22" t="str">
            <v>加盟</v>
          </cell>
          <cell r="E22" t="str">
            <v>加盟</v>
          </cell>
          <cell r="F22" t="str">
            <v>杭州市区</v>
          </cell>
          <cell r="G22" t="str">
            <v>拱墅区</v>
          </cell>
          <cell r="H22" t="str">
            <v>专卖店</v>
          </cell>
        </row>
        <row r="22">
          <cell r="J22">
            <v>78855</v>
          </cell>
          <cell r="K22">
            <v>24931</v>
          </cell>
          <cell r="L22">
            <v>-0.683837423118382</v>
          </cell>
          <cell r="M22">
            <v>39609</v>
          </cell>
          <cell r="N22">
            <v>30583</v>
          </cell>
          <cell r="O22">
            <v>-0.227877502587796</v>
          </cell>
          <cell r="P22">
            <v>118464</v>
          </cell>
          <cell r="Q22">
            <v>55514</v>
          </cell>
          <cell r="R22">
            <v>-0.531385062128579</v>
          </cell>
          <cell r="S22">
            <v>40486</v>
          </cell>
          <cell r="T22">
            <v>10700</v>
          </cell>
          <cell r="U22">
            <v>-0.735711110013338</v>
          </cell>
          <cell r="V22">
            <v>158950</v>
          </cell>
          <cell r="W22">
            <v>66214</v>
          </cell>
          <cell r="X22">
            <v>-0.583428751179616</v>
          </cell>
          <cell r="Y22">
            <v>45990</v>
          </cell>
        </row>
        <row r="22">
          <cell r="AA22">
            <v>-1</v>
          </cell>
          <cell r="AB22">
            <v>204940</v>
          </cell>
          <cell r="AC22">
            <v>66214</v>
          </cell>
          <cell r="AD22">
            <v>-0.676910315214209</v>
          </cell>
          <cell r="AE22">
            <v>26265</v>
          </cell>
          <cell r="AF22">
            <v>-3281.96</v>
          </cell>
          <cell r="AG22">
            <v>-1.12495564439368</v>
          </cell>
          <cell r="AH22">
            <v>231205</v>
          </cell>
          <cell r="AI22">
            <v>62932.04</v>
          </cell>
          <cell r="AJ22">
            <v>-0.727808481650483</v>
          </cell>
          <cell r="AK22">
            <v>67133</v>
          </cell>
        </row>
        <row r="22">
          <cell r="AM22">
            <v>-1</v>
          </cell>
          <cell r="AN22">
            <v>298338</v>
          </cell>
          <cell r="AO22">
            <v>62932.04</v>
          </cell>
          <cell r="AP22">
            <v>-0.789057914177879</v>
          </cell>
          <cell r="AQ22">
            <v>58226</v>
          </cell>
        </row>
        <row r="22">
          <cell r="AS22">
            <v>-1</v>
          </cell>
          <cell r="AT22">
            <v>356564</v>
          </cell>
          <cell r="AU22">
            <v>62932.04</v>
          </cell>
          <cell r="AV22">
            <v>-0.823504223645685</v>
          </cell>
          <cell r="AW22">
            <v>24848</v>
          </cell>
        </row>
        <row r="23">
          <cell r="C23" t="str">
            <v>（新）滨江第六空间专卖店</v>
          </cell>
          <cell r="D23" t="str">
            <v>直营</v>
          </cell>
          <cell r="E23" t="str">
            <v>直营</v>
          </cell>
          <cell r="F23" t="str">
            <v>杭州市区</v>
          </cell>
          <cell r="G23" t="str">
            <v>滨江区</v>
          </cell>
          <cell r="H23" t="str">
            <v>专卖店</v>
          </cell>
          <cell r="I23">
            <v>280</v>
          </cell>
          <cell r="J23">
            <v>155330</v>
          </cell>
          <cell r="K23">
            <v>156262</v>
          </cell>
          <cell r="L23">
            <v>0.00600012875812794</v>
          </cell>
          <cell r="M23">
            <v>84728</v>
          </cell>
          <cell r="N23">
            <v>143497</v>
          </cell>
          <cell r="O23">
            <v>0.693619582664526</v>
          </cell>
          <cell r="P23">
            <v>240058</v>
          </cell>
          <cell r="Q23">
            <v>299759</v>
          </cell>
          <cell r="R23">
            <v>0.248694065600813</v>
          </cell>
          <cell r="S23">
            <v>296842</v>
          </cell>
          <cell r="T23">
            <v>199854.6</v>
          </cell>
          <cell r="U23">
            <v>-0.326730718698836</v>
          </cell>
          <cell r="V23">
            <v>536900</v>
          </cell>
          <cell r="W23">
            <v>499613.6</v>
          </cell>
          <cell r="X23">
            <v>-0.0694475693797728</v>
          </cell>
          <cell r="Y23">
            <v>180500</v>
          </cell>
          <cell r="Z23">
            <v>131199.7</v>
          </cell>
          <cell r="AA23">
            <v>-0.273131855955679</v>
          </cell>
          <cell r="AB23">
            <v>717400</v>
          </cell>
          <cell r="AC23">
            <v>630813.3</v>
          </cell>
          <cell r="AD23">
            <v>-0.120695149149707</v>
          </cell>
          <cell r="AE23">
            <v>190972</v>
          </cell>
          <cell r="AF23">
            <v>160705</v>
          </cell>
          <cell r="AG23">
            <v>-0.158489202605618</v>
          </cell>
          <cell r="AH23">
            <v>908372</v>
          </cell>
          <cell r="AI23">
            <v>791518.3</v>
          </cell>
          <cell r="AJ23">
            <v>-0.128640799143963</v>
          </cell>
          <cell r="AK23">
            <v>207825</v>
          </cell>
          <cell r="AL23">
            <v>164883</v>
          </cell>
          <cell r="AM23">
            <v>-0.206625766871166</v>
          </cell>
          <cell r="AN23">
            <v>1116197</v>
          </cell>
          <cell r="AO23">
            <v>956401.3</v>
          </cell>
          <cell r="AP23">
            <v>-0.143160839887583</v>
          </cell>
          <cell r="AQ23">
            <v>114990</v>
          </cell>
          <cell r="AR23">
            <v>50432</v>
          </cell>
          <cell r="AS23">
            <v>-0.561422732411514</v>
          </cell>
          <cell r="AT23">
            <v>1231187</v>
          </cell>
          <cell r="AU23">
            <v>1006833.3</v>
          </cell>
          <cell r="AV23">
            <v>-0.182225527072654</v>
          </cell>
          <cell r="AW23">
            <v>62417</v>
          </cell>
          <cell r="AX23">
            <v>52672</v>
          </cell>
        </row>
        <row r="24">
          <cell r="C24" t="str">
            <v>杭州日新人工环境工程有限公司</v>
          </cell>
          <cell r="D24" t="str">
            <v>暖通</v>
          </cell>
          <cell r="E24" t="str">
            <v>暖通</v>
          </cell>
          <cell r="F24" t="str">
            <v>杭州市区</v>
          </cell>
          <cell r="G24" t="str">
            <v>西湖风景名胜区</v>
          </cell>
          <cell r="H24" t="str">
            <v>陈雪君</v>
          </cell>
        </row>
        <row r="24">
          <cell r="L24" t="e">
            <v>#DIV/0!</v>
          </cell>
        </row>
        <row r="24">
          <cell r="O24" t="e">
            <v>#DIV/0!</v>
          </cell>
          <cell r="P24">
            <v>0</v>
          </cell>
          <cell r="Q24">
            <v>0</v>
          </cell>
          <cell r="R24" t="e">
            <v>#DIV/0!</v>
          </cell>
          <cell r="S24">
            <v>790</v>
          </cell>
        </row>
        <row r="24">
          <cell r="U24">
            <v>-1</v>
          </cell>
          <cell r="V24">
            <v>790</v>
          </cell>
          <cell r="W24">
            <v>0</v>
          </cell>
          <cell r="X24">
            <v>-1</v>
          </cell>
        </row>
        <row r="24">
          <cell r="AA24" t="e">
            <v>#DIV/0!</v>
          </cell>
          <cell r="AB24">
            <v>790</v>
          </cell>
          <cell r="AC24">
            <v>0</v>
          </cell>
          <cell r="AD24">
            <v>-1</v>
          </cell>
        </row>
        <row r="24">
          <cell r="AG24" t="e">
            <v>#DIV/0!</v>
          </cell>
          <cell r="AH24">
            <v>790</v>
          </cell>
          <cell r="AI24">
            <v>0</v>
          </cell>
          <cell r="AJ24">
            <v>-1</v>
          </cell>
        </row>
        <row r="24">
          <cell r="AM24" t="e">
            <v>#DIV/0!</v>
          </cell>
          <cell r="AN24">
            <v>790</v>
          </cell>
          <cell r="AO24">
            <v>0</v>
          </cell>
          <cell r="AP24">
            <v>-1</v>
          </cell>
        </row>
        <row r="24">
          <cell r="AS24" t="e">
            <v>#DIV/0!</v>
          </cell>
          <cell r="AT24">
            <v>790</v>
          </cell>
          <cell r="AU24">
            <v>0</v>
          </cell>
          <cell r="AV24">
            <v>-1</v>
          </cell>
        </row>
        <row r="25">
          <cell r="C25" t="str">
            <v>杭州汇意商贸有限公司</v>
          </cell>
          <cell r="D25" t="str">
            <v>暖通</v>
          </cell>
          <cell r="E25" t="str">
            <v>暖通</v>
          </cell>
          <cell r="F25" t="str">
            <v>杭州市区</v>
          </cell>
          <cell r="G25" t="str">
            <v>拱墅区</v>
          </cell>
          <cell r="H25" t="str">
            <v>陈雪君</v>
          </cell>
        </row>
        <row r="25">
          <cell r="L25" t="e">
            <v>#DIV/0!</v>
          </cell>
        </row>
        <row r="25"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</row>
        <row r="25"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</row>
        <row r="25">
          <cell r="AA25" t="e">
            <v>#DIV/0!</v>
          </cell>
          <cell r="AB25">
            <v>0</v>
          </cell>
          <cell r="AC25">
            <v>0</v>
          </cell>
          <cell r="AD25" t="e">
            <v>#DIV/0!</v>
          </cell>
        </row>
        <row r="25">
          <cell r="AG25" t="e">
            <v>#DIV/0!</v>
          </cell>
          <cell r="AH25">
            <v>0</v>
          </cell>
          <cell r="AI25">
            <v>0</v>
          </cell>
          <cell r="AJ25" t="e">
            <v>#DIV/0!</v>
          </cell>
        </row>
        <row r="25">
          <cell r="AM25" t="e">
            <v>#DIV/0!</v>
          </cell>
          <cell r="AN25">
            <v>0</v>
          </cell>
          <cell r="AO25">
            <v>0</v>
          </cell>
          <cell r="AP25" t="e">
            <v>#DIV/0!</v>
          </cell>
        </row>
        <row r="25">
          <cell r="AS25" t="e">
            <v>#DIV/0!</v>
          </cell>
          <cell r="AT25">
            <v>0</v>
          </cell>
          <cell r="AU25">
            <v>0</v>
          </cell>
          <cell r="AV25" t="e">
            <v>#DIV/0!</v>
          </cell>
        </row>
        <row r="26">
          <cell r="C26" t="str">
            <v>浙江初韵供应链管理有限公司</v>
          </cell>
          <cell r="D26" t="str">
            <v>经销</v>
          </cell>
          <cell r="E26" t="str">
            <v>经销</v>
          </cell>
          <cell r="F26" t="str">
            <v>杭州市区</v>
          </cell>
          <cell r="G26" t="str">
            <v>上城区</v>
          </cell>
          <cell r="H26" t="str">
            <v>董培培</v>
          </cell>
          <cell r="I26">
            <v>24</v>
          </cell>
          <cell r="J26">
            <v>20000</v>
          </cell>
          <cell r="K26">
            <v>10000</v>
          </cell>
          <cell r="L26">
            <v>-0.5</v>
          </cell>
        </row>
        <row r="26">
          <cell r="O26" t="e">
            <v>#DIV/0!</v>
          </cell>
          <cell r="P26">
            <v>20000</v>
          </cell>
          <cell r="Q26">
            <v>10000</v>
          </cell>
          <cell r="R26">
            <v>-0.5</v>
          </cell>
          <cell r="S26">
            <v>40000</v>
          </cell>
          <cell r="T26">
            <v>24752.5</v>
          </cell>
          <cell r="U26">
            <v>-0.3811875</v>
          </cell>
          <cell r="V26">
            <v>60000</v>
          </cell>
          <cell r="W26">
            <v>34752.5</v>
          </cell>
          <cell r="X26">
            <v>-0.420791666666667</v>
          </cell>
          <cell r="Y26">
            <v>30000</v>
          </cell>
        </row>
        <row r="26">
          <cell r="AA26">
            <v>-1</v>
          </cell>
          <cell r="AB26">
            <v>90000</v>
          </cell>
          <cell r="AC26">
            <v>34752.5</v>
          </cell>
          <cell r="AD26">
            <v>-0.613861111111111</v>
          </cell>
          <cell r="AE26">
            <v>40100</v>
          </cell>
        </row>
        <row r="26">
          <cell r="AG26">
            <v>-1</v>
          </cell>
          <cell r="AH26">
            <v>130100</v>
          </cell>
          <cell r="AI26">
            <v>34752.5</v>
          </cell>
          <cell r="AJ26">
            <v>-0.732878554957725</v>
          </cell>
        </row>
        <row r="26">
          <cell r="AM26" t="e">
            <v>#DIV/0!</v>
          </cell>
          <cell r="AN26">
            <v>130100</v>
          </cell>
          <cell r="AO26">
            <v>34752.5</v>
          </cell>
          <cell r="AP26">
            <v>-0.732878554957725</v>
          </cell>
          <cell r="AQ26">
            <v>20000</v>
          </cell>
        </row>
        <row r="26">
          <cell r="AS26">
            <v>-1</v>
          </cell>
          <cell r="AT26">
            <v>150100</v>
          </cell>
          <cell r="AU26">
            <v>34752.5</v>
          </cell>
          <cell r="AV26">
            <v>-0.768471019320453</v>
          </cell>
          <cell r="AW26">
            <v>20000</v>
          </cell>
        </row>
        <row r="27">
          <cell r="C27" t="str">
            <v>杭州红星美凯龙一号店</v>
          </cell>
          <cell r="D27" t="str">
            <v>直营</v>
          </cell>
          <cell r="E27" t="str">
            <v>直营</v>
          </cell>
          <cell r="F27" t="str">
            <v>杭州市区</v>
          </cell>
          <cell r="G27" t="str">
            <v>西湖风景名胜区</v>
          </cell>
          <cell r="H27" t="str">
            <v>专卖店</v>
          </cell>
          <cell r="I27">
            <v>400</v>
          </cell>
          <cell r="J27">
            <v>304654</v>
          </cell>
          <cell r="K27">
            <v>248878.5</v>
          </cell>
          <cell r="L27">
            <v>-0.183078180493281</v>
          </cell>
          <cell r="M27">
            <v>67549</v>
          </cell>
          <cell r="N27">
            <v>359062</v>
          </cell>
          <cell r="O27">
            <v>4.31557832092259</v>
          </cell>
          <cell r="P27">
            <v>372203</v>
          </cell>
          <cell r="Q27">
            <v>607940.5</v>
          </cell>
          <cell r="R27">
            <v>0.6333573345728</v>
          </cell>
          <cell r="S27">
            <v>191851</v>
          </cell>
          <cell r="T27">
            <v>586860</v>
          </cell>
          <cell r="U27">
            <v>2.05893636207265</v>
          </cell>
          <cell r="V27">
            <v>564054</v>
          </cell>
          <cell r="W27">
            <v>1194800.5</v>
          </cell>
          <cell r="X27">
            <v>1.11823779283544</v>
          </cell>
          <cell r="Y27">
            <v>73138</v>
          </cell>
          <cell r="Z27">
            <v>381502</v>
          </cell>
          <cell r="AA27">
            <v>4.21619404413574</v>
          </cell>
          <cell r="AB27">
            <v>637192</v>
          </cell>
          <cell r="AC27">
            <v>1576302.5</v>
          </cell>
          <cell r="AD27">
            <v>1.47382657032731</v>
          </cell>
          <cell r="AE27">
            <v>208668</v>
          </cell>
          <cell r="AF27">
            <v>418566</v>
          </cell>
          <cell r="AG27">
            <v>1.00589453102536</v>
          </cell>
          <cell r="AH27">
            <v>845860</v>
          </cell>
          <cell r="AI27">
            <v>1994868.5</v>
          </cell>
          <cell r="AJ27">
            <v>1.35839086846523</v>
          </cell>
          <cell r="AK27">
            <v>296204</v>
          </cell>
          <cell r="AL27">
            <v>579201</v>
          </cell>
          <cell r="AM27">
            <v>0.955412485989386</v>
          </cell>
          <cell r="AN27">
            <v>1142064</v>
          </cell>
          <cell r="AO27">
            <v>2574069.5</v>
          </cell>
          <cell r="AP27">
            <v>1.25387500175122</v>
          </cell>
          <cell r="AQ27">
            <v>217892</v>
          </cell>
          <cell r="AR27">
            <v>250281</v>
          </cell>
          <cell r="AS27">
            <v>0.148647036146348</v>
          </cell>
          <cell r="AT27">
            <v>1359956</v>
          </cell>
          <cell r="AU27">
            <v>2824350.5</v>
          </cell>
          <cell r="AV27">
            <v>1.07679549926615</v>
          </cell>
          <cell r="AW27">
            <v>307848</v>
          </cell>
          <cell r="AX27">
            <v>403353</v>
          </cell>
        </row>
        <row r="28">
          <cell r="C28" t="str">
            <v>杭州德业电器有限公司</v>
          </cell>
          <cell r="D28" t="str">
            <v>经销</v>
          </cell>
          <cell r="E28" t="str">
            <v>经销</v>
          </cell>
          <cell r="F28" t="str">
            <v>杭州市区</v>
          </cell>
          <cell r="G28" t="str">
            <v>上城区</v>
          </cell>
          <cell r="H28" t="str">
            <v>吴海林</v>
          </cell>
          <cell r="I28">
            <v>0</v>
          </cell>
          <cell r="J28">
            <v>4124</v>
          </cell>
        </row>
        <row r="28">
          <cell r="L28">
            <v>-1</v>
          </cell>
        </row>
        <row r="28">
          <cell r="O28" t="e">
            <v>#DIV/0!</v>
          </cell>
          <cell r="P28">
            <v>4124</v>
          </cell>
          <cell r="Q28">
            <v>0</v>
          </cell>
          <cell r="R28">
            <v>-1</v>
          </cell>
          <cell r="S28">
            <v>4124</v>
          </cell>
        </row>
        <row r="28">
          <cell r="U28">
            <v>-1</v>
          </cell>
          <cell r="V28">
            <v>8248</v>
          </cell>
          <cell r="W28">
            <v>0</v>
          </cell>
          <cell r="X28">
            <v>-1</v>
          </cell>
        </row>
        <row r="28">
          <cell r="AA28" t="e">
            <v>#DIV/0!</v>
          </cell>
          <cell r="AB28">
            <v>8248</v>
          </cell>
          <cell r="AC28">
            <v>0</v>
          </cell>
          <cell r="AD28">
            <v>-1</v>
          </cell>
        </row>
        <row r="28">
          <cell r="AG28" t="e">
            <v>#DIV/0!</v>
          </cell>
          <cell r="AH28">
            <v>8248</v>
          </cell>
          <cell r="AI28">
            <v>0</v>
          </cell>
          <cell r="AJ28">
            <v>-1</v>
          </cell>
        </row>
        <row r="28">
          <cell r="AM28" t="e">
            <v>#DIV/0!</v>
          </cell>
          <cell r="AN28">
            <v>8248</v>
          </cell>
          <cell r="AO28">
            <v>0</v>
          </cell>
          <cell r="AP28">
            <v>-1</v>
          </cell>
        </row>
        <row r="28">
          <cell r="AS28" t="e">
            <v>#DIV/0!</v>
          </cell>
          <cell r="AT28">
            <v>8248</v>
          </cell>
          <cell r="AU28">
            <v>0</v>
          </cell>
          <cell r="AV28">
            <v>-1</v>
          </cell>
        </row>
        <row r="29">
          <cell r="C29" t="str">
            <v>杭州市余杭区临平街道泽晨材料商行</v>
          </cell>
          <cell r="D29" t="str">
            <v>经销</v>
          </cell>
          <cell r="E29" t="str">
            <v>经销</v>
          </cell>
          <cell r="F29" t="str">
            <v>临平区</v>
          </cell>
          <cell r="G29" t="str">
            <v>临平区</v>
          </cell>
          <cell r="H29" t="str">
            <v>吴海林</v>
          </cell>
        </row>
        <row r="29">
          <cell r="J29">
            <v>10000</v>
          </cell>
        </row>
        <row r="29">
          <cell r="L29">
            <v>-1</v>
          </cell>
        </row>
        <row r="29">
          <cell r="O29" t="e">
            <v>#DIV/0!</v>
          </cell>
          <cell r="P29">
            <v>10000</v>
          </cell>
          <cell r="Q29">
            <v>0</v>
          </cell>
          <cell r="R29">
            <v>-1</v>
          </cell>
        </row>
        <row r="29">
          <cell r="U29" t="e">
            <v>#DIV/0!</v>
          </cell>
          <cell r="V29">
            <v>10000</v>
          </cell>
          <cell r="W29">
            <v>0</v>
          </cell>
          <cell r="X29">
            <v>-1</v>
          </cell>
        </row>
        <row r="29">
          <cell r="AA29" t="e">
            <v>#DIV/0!</v>
          </cell>
          <cell r="AB29">
            <v>10000</v>
          </cell>
          <cell r="AC29">
            <v>0</v>
          </cell>
          <cell r="AD29">
            <v>-1</v>
          </cell>
        </row>
        <row r="29">
          <cell r="AG29" t="e">
            <v>#DIV/0!</v>
          </cell>
          <cell r="AH29">
            <v>10000</v>
          </cell>
          <cell r="AI29">
            <v>0</v>
          </cell>
          <cell r="AJ29">
            <v>-1</v>
          </cell>
        </row>
        <row r="29">
          <cell r="AM29" t="e">
            <v>#DIV/0!</v>
          </cell>
          <cell r="AN29">
            <v>10000</v>
          </cell>
          <cell r="AO29">
            <v>0</v>
          </cell>
          <cell r="AP29">
            <v>-1</v>
          </cell>
        </row>
        <row r="29">
          <cell r="AS29" t="e">
            <v>#DIV/0!</v>
          </cell>
          <cell r="AT29">
            <v>10000</v>
          </cell>
          <cell r="AU29">
            <v>0</v>
          </cell>
          <cell r="AV29">
            <v>-1</v>
          </cell>
          <cell r="AW29">
            <v>491</v>
          </cell>
        </row>
        <row r="30">
          <cell r="C30" t="str">
            <v>浙江顶戴环境设备有限公司</v>
          </cell>
          <cell r="D30" t="str">
            <v>暖通</v>
          </cell>
          <cell r="E30" t="str">
            <v>暖通</v>
          </cell>
          <cell r="F30" t="str">
            <v>杭州市区</v>
          </cell>
          <cell r="G30" t="str">
            <v>钱塘区</v>
          </cell>
          <cell r="H30" t="str">
            <v>陈雪君</v>
          </cell>
        </row>
        <row r="30">
          <cell r="J30">
            <v>2591</v>
          </cell>
        </row>
        <row r="30">
          <cell r="L30">
            <v>-1</v>
          </cell>
        </row>
        <row r="30">
          <cell r="O30" t="e">
            <v>#DIV/0!</v>
          </cell>
          <cell r="P30">
            <v>2591</v>
          </cell>
          <cell r="Q30">
            <v>0</v>
          </cell>
          <cell r="R30">
            <v>-1</v>
          </cell>
        </row>
        <row r="30">
          <cell r="U30" t="e">
            <v>#DIV/0!</v>
          </cell>
          <cell r="V30">
            <v>2591</v>
          </cell>
          <cell r="W30">
            <v>0</v>
          </cell>
          <cell r="X30">
            <v>-1</v>
          </cell>
        </row>
        <row r="30">
          <cell r="AA30" t="e">
            <v>#DIV/0!</v>
          </cell>
          <cell r="AB30">
            <v>2591</v>
          </cell>
          <cell r="AC30">
            <v>0</v>
          </cell>
          <cell r="AD30">
            <v>-1</v>
          </cell>
        </row>
        <row r="30">
          <cell r="AG30" t="e">
            <v>#DIV/0!</v>
          </cell>
          <cell r="AH30">
            <v>2591</v>
          </cell>
          <cell r="AI30">
            <v>0</v>
          </cell>
          <cell r="AJ30">
            <v>-1</v>
          </cell>
        </row>
        <row r="30">
          <cell r="AM30" t="e">
            <v>#DIV/0!</v>
          </cell>
          <cell r="AN30">
            <v>2591</v>
          </cell>
          <cell r="AO30">
            <v>0</v>
          </cell>
          <cell r="AP30">
            <v>-1</v>
          </cell>
        </row>
        <row r="30">
          <cell r="AS30" t="e">
            <v>#DIV/0!</v>
          </cell>
          <cell r="AT30">
            <v>2591</v>
          </cell>
          <cell r="AU30">
            <v>0</v>
          </cell>
          <cell r="AV30">
            <v>-1</v>
          </cell>
        </row>
        <row r="31">
          <cell r="C31" t="str">
            <v>浙江元天电子商务有限公司</v>
          </cell>
          <cell r="D31" t="str">
            <v>经销</v>
          </cell>
          <cell r="E31" t="str">
            <v>经销</v>
          </cell>
          <cell r="F31" t="str">
            <v>杭州市区</v>
          </cell>
          <cell r="G31" t="str">
            <v>滨江区</v>
          </cell>
          <cell r="H31" t="str">
            <v>黄颖</v>
          </cell>
          <cell r="I31">
            <v>30</v>
          </cell>
          <cell r="J31">
            <v>20582</v>
          </cell>
          <cell r="K31">
            <v>14679</v>
          </cell>
          <cell r="L31">
            <v>-0.286804003498202</v>
          </cell>
          <cell r="M31">
            <v>3939</v>
          </cell>
        </row>
        <row r="31">
          <cell r="O31">
            <v>-1</v>
          </cell>
          <cell r="P31">
            <v>24521</v>
          </cell>
          <cell r="Q31">
            <v>14679</v>
          </cell>
          <cell r="R31">
            <v>-0.401370254067942</v>
          </cell>
        </row>
        <row r="31">
          <cell r="T31">
            <v>3148</v>
          </cell>
          <cell r="U31" t="e">
            <v>#DIV/0!</v>
          </cell>
          <cell r="V31">
            <v>24521</v>
          </cell>
          <cell r="W31">
            <v>17827</v>
          </cell>
          <cell r="X31">
            <v>-0.272990497940541</v>
          </cell>
          <cell r="Y31">
            <v>23069</v>
          </cell>
          <cell r="Z31">
            <v>13909</v>
          </cell>
          <cell r="AA31">
            <v>-0.397069660583467</v>
          </cell>
          <cell r="AB31">
            <v>47590</v>
          </cell>
          <cell r="AC31">
            <v>31736</v>
          </cell>
          <cell r="AD31">
            <v>-0.333137213700357</v>
          </cell>
          <cell r="AE31">
            <v>27908</v>
          </cell>
          <cell r="AF31">
            <v>8765</v>
          </cell>
          <cell r="AG31">
            <v>-0.685932349147198</v>
          </cell>
          <cell r="AH31">
            <v>75498</v>
          </cell>
          <cell r="AI31">
            <v>40501</v>
          </cell>
          <cell r="AJ31">
            <v>-0.463548703276908</v>
          </cell>
          <cell r="AK31">
            <v>25192</v>
          </cell>
          <cell r="AL31">
            <v>9307</v>
          </cell>
          <cell r="AM31">
            <v>-0.630557319784058</v>
          </cell>
          <cell r="AN31">
            <v>100690</v>
          </cell>
          <cell r="AO31">
            <v>49808</v>
          </cell>
          <cell r="AP31">
            <v>-0.505333200913695</v>
          </cell>
        </row>
        <row r="31">
          <cell r="AR31">
            <v>11183</v>
          </cell>
          <cell r="AS31" t="e">
            <v>#DIV/0!</v>
          </cell>
          <cell r="AT31">
            <v>100690</v>
          </cell>
          <cell r="AU31">
            <v>60991</v>
          </cell>
          <cell r="AV31">
            <v>-0.394269540172808</v>
          </cell>
          <cell r="AW31">
            <v>16800</v>
          </cell>
          <cell r="AX31">
            <v>6109</v>
          </cell>
        </row>
        <row r="32">
          <cell r="C32" t="str">
            <v>杭州澎湃电器有限公司</v>
          </cell>
          <cell r="D32" t="str">
            <v>家装</v>
          </cell>
          <cell r="E32" t="str">
            <v>家装</v>
          </cell>
          <cell r="F32" t="str">
            <v>杭州市区</v>
          </cell>
          <cell r="G32" t="str">
            <v>上城区</v>
          </cell>
          <cell r="H32" t="str">
            <v>黄颖</v>
          </cell>
        </row>
        <row r="32">
          <cell r="J32">
            <v>7088</v>
          </cell>
        </row>
        <row r="32">
          <cell r="L32">
            <v>-1</v>
          </cell>
        </row>
        <row r="32">
          <cell r="O32" t="e">
            <v>#DIV/0!</v>
          </cell>
          <cell r="P32">
            <v>7088</v>
          </cell>
          <cell r="Q32">
            <v>0</v>
          </cell>
          <cell r="R32">
            <v>-1</v>
          </cell>
        </row>
        <row r="32">
          <cell r="U32" t="e">
            <v>#DIV/0!</v>
          </cell>
          <cell r="V32">
            <v>7088</v>
          </cell>
          <cell r="W32">
            <v>0</v>
          </cell>
          <cell r="X32">
            <v>-1</v>
          </cell>
        </row>
        <row r="32">
          <cell r="AA32" t="e">
            <v>#DIV/0!</v>
          </cell>
          <cell r="AB32">
            <v>7088</v>
          </cell>
          <cell r="AC32">
            <v>0</v>
          </cell>
          <cell r="AD32">
            <v>-1</v>
          </cell>
        </row>
        <row r="32">
          <cell r="AG32" t="e">
            <v>#DIV/0!</v>
          </cell>
          <cell r="AH32">
            <v>7088</v>
          </cell>
          <cell r="AI32">
            <v>0</v>
          </cell>
          <cell r="AJ32">
            <v>-1</v>
          </cell>
        </row>
        <row r="32">
          <cell r="AM32" t="e">
            <v>#DIV/0!</v>
          </cell>
          <cell r="AN32">
            <v>7088</v>
          </cell>
          <cell r="AO32">
            <v>0</v>
          </cell>
          <cell r="AP32">
            <v>-1</v>
          </cell>
        </row>
        <row r="32">
          <cell r="AS32" t="e">
            <v>#DIV/0!</v>
          </cell>
          <cell r="AT32">
            <v>7088</v>
          </cell>
          <cell r="AU32">
            <v>0</v>
          </cell>
          <cell r="AV32">
            <v>-1</v>
          </cell>
        </row>
        <row r="33">
          <cell r="C33" t="str">
            <v>杭州中博智能电器有限公司</v>
          </cell>
          <cell r="D33" t="str">
            <v>家装</v>
          </cell>
          <cell r="E33" t="str">
            <v>家装</v>
          </cell>
          <cell r="F33" t="str">
            <v>杭州市区</v>
          </cell>
          <cell r="G33" t="str">
            <v>上城区</v>
          </cell>
          <cell r="H33" t="str">
            <v>黄颖</v>
          </cell>
          <cell r="I33">
            <v>200</v>
          </cell>
          <cell r="J33">
            <v>91657.28</v>
          </cell>
          <cell r="K33">
            <v>218873.82</v>
          </cell>
          <cell r="L33">
            <v>1.38795892699412</v>
          </cell>
        </row>
        <row r="33">
          <cell r="N33">
            <v>131893.4</v>
          </cell>
          <cell r="O33" t="e">
            <v>#DIV/0!</v>
          </cell>
          <cell r="P33">
            <v>91657.28</v>
          </cell>
          <cell r="Q33">
            <v>350767.22</v>
          </cell>
          <cell r="R33">
            <v>2.82694336991017</v>
          </cell>
          <cell r="S33">
            <v>98407.6</v>
          </cell>
          <cell r="T33">
            <v>143496.71</v>
          </cell>
          <cell r="U33">
            <v>0.458187274153622</v>
          </cell>
          <cell r="V33">
            <v>190064.88</v>
          </cell>
          <cell r="W33">
            <v>494263.93</v>
          </cell>
          <cell r="X33">
            <v>1.60050110257087</v>
          </cell>
          <cell r="Y33">
            <v>88389.8</v>
          </cell>
          <cell r="Z33">
            <v>34200.39</v>
          </cell>
          <cell r="AA33">
            <v>-0.613073114771161</v>
          </cell>
          <cell r="AB33">
            <v>278454.68</v>
          </cell>
          <cell r="AC33">
            <v>528464.32</v>
          </cell>
          <cell r="AD33">
            <v>0.897846787850719</v>
          </cell>
          <cell r="AE33">
            <v>181882.45</v>
          </cell>
          <cell r="AF33">
            <v>134290.18</v>
          </cell>
          <cell r="AG33">
            <v>-0.261664992966611</v>
          </cell>
          <cell r="AH33">
            <v>460337.13</v>
          </cell>
          <cell r="AI33">
            <v>662754.5</v>
          </cell>
          <cell r="AJ33">
            <v>0.439715497205277</v>
          </cell>
          <cell r="AK33">
            <v>187566.88</v>
          </cell>
          <cell r="AL33">
            <v>128859.37</v>
          </cell>
          <cell r="AM33">
            <v>-0.31299507674276</v>
          </cell>
          <cell r="AN33">
            <v>647904.01</v>
          </cell>
          <cell r="AO33">
            <v>791613.87</v>
          </cell>
          <cell r="AP33">
            <v>0.221807332231205</v>
          </cell>
          <cell r="AQ33">
            <v>130044.44</v>
          </cell>
          <cell r="AR33">
            <v>273758.72</v>
          </cell>
          <cell r="AS33">
            <v>1.10511668165129</v>
          </cell>
          <cell r="AT33">
            <v>777948.45</v>
          </cell>
          <cell r="AU33">
            <v>1065372.59</v>
          </cell>
          <cell r="AV33">
            <v>0.369464249205715</v>
          </cell>
          <cell r="AW33">
            <v>128967.95</v>
          </cell>
          <cell r="AX33">
            <v>121546.09</v>
          </cell>
        </row>
        <row r="34">
          <cell r="C34" t="str">
            <v>浙江都都装饰有限公司</v>
          </cell>
          <cell r="D34" t="str">
            <v>家装</v>
          </cell>
          <cell r="E34" t="str">
            <v>家装</v>
          </cell>
          <cell r="F34" t="str">
            <v>杭州市区</v>
          </cell>
          <cell r="G34" t="str">
            <v>拱墅区</v>
          </cell>
          <cell r="H34" t="str">
            <v>黄颖</v>
          </cell>
          <cell r="I34">
            <v>60</v>
          </cell>
          <cell r="J34">
            <v>16779</v>
          </cell>
          <cell r="K34">
            <v>37387</v>
          </cell>
          <cell r="L34">
            <v>1.2282019190655</v>
          </cell>
        </row>
        <row r="34">
          <cell r="O34" t="e">
            <v>#DIV/0!</v>
          </cell>
          <cell r="P34">
            <v>16779</v>
          </cell>
          <cell r="Q34">
            <v>37387</v>
          </cell>
          <cell r="R34">
            <v>1.2282019190655</v>
          </cell>
          <cell r="S34">
            <v>7332</v>
          </cell>
        </row>
        <row r="34">
          <cell r="U34">
            <v>-1</v>
          </cell>
          <cell r="V34">
            <v>24111</v>
          </cell>
          <cell r="W34">
            <v>37387</v>
          </cell>
          <cell r="X34">
            <v>0.550620048940318</v>
          </cell>
          <cell r="Y34">
            <v>49926</v>
          </cell>
          <cell r="Z34">
            <v>71744</v>
          </cell>
          <cell r="AA34">
            <v>0.437006770019629</v>
          </cell>
          <cell r="AB34">
            <v>74037</v>
          </cell>
          <cell r="AC34">
            <v>109131</v>
          </cell>
          <cell r="AD34">
            <v>0.474006240123182</v>
          </cell>
          <cell r="AE34">
            <v>57887</v>
          </cell>
          <cell r="AF34">
            <v>84847</v>
          </cell>
          <cell r="AG34">
            <v>0.465734966400055</v>
          </cell>
          <cell r="AH34">
            <v>131924</v>
          </cell>
          <cell r="AI34">
            <v>193978</v>
          </cell>
          <cell r="AJ34">
            <v>0.470376883660289</v>
          </cell>
          <cell r="AK34">
            <v>40556</v>
          </cell>
          <cell r="AL34">
            <v>161547</v>
          </cell>
          <cell r="AM34">
            <v>2.9833070322517</v>
          </cell>
          <cell r="AN34">
            <v>172480</v>
          </cell>
          <cell r="AO34">
            <v>355525</v>
          </cell>
          <cell r="AP34">
            <v>1.06125347866419</v>
          </cell>
          <cell r="AQ34">
            <v>50598</v>
          </cell>
          <cell r="AR34">
            <v>25131</v>
          </cell>
          <cell r="AS34">
            <v>-0.5033202893395</v>
          </cell>
          <cell r="AT34">
            <v>223078</v>
          </cell>
          <cell r="AU34">
            <v>380656</v>
          </cell>
          <cell r="AV34">
            <v>0.706380727817176</v>
          </cell>
          <cell r="AW34">
            <v>56103</v>
          </cell>
          <cell r="AX34">
            <v>17220</v>
          </cell>
        </row>
        <row r="35">
          <cell r="C35" t="str">
            <v>桐庐县城南街道正亿家电经营部</v>
          </cell>
          <cell r="D35" t="str">
            <v>经销</v>
          </cell>
          <cell r="E35" t="str">
            <v>经销</v>
          </cell>
          <cell r="F35" t="str">
            <v>桐庐县</v>
          </cell>
          <cell r="G35" t="str">
            <v>桐庐县</v>
          </cell>
          <cell r="H35" t="str">
            <v>吴海林</v>
          </cell>
          <cell r="I35">
            <v>0</v>
          </cell>
        </row>
        <row r="35">
          <cell r="L35" t="e">
            <v>#DIV/0!</v>
          </cell>
        </row>
        <row r="35">
          <cell r="O35" t="e">
            <v>#DIV/0!</v>
          </cell>
          <cell r="P35">
            <v>0</v>
          </cell>
          <cell r="Q35">
            <v>0</v>
          </cell>
          <cell r="R35" t="e">
            <v>#DIV/0!</v>
          </cell>
          <cell r="S35">
            <v>26405</v>
          </cell>
        </row>
        <row r="35">
          <cell r="U35">
            <v>-1</v>
          </cell>
          <cell r="V35">
            <v>26405</v>
          </cell>
          <cell r="W35">
            <v>0</v>
          </cell>
          <cell r="X35">
            <v>-1</v>
          </cell>
        </row>
        <row r="35">
          <cell r="AA35" t="e">
            <v>#DIV/0!</v>
          </cell>
          <cell r="AB35">
            <v>26405</v>
          </cell>
          <cell r="AC35">
            <v>0</v>
          </cell>
          <cell r="AD35">
            <v>-1</v>
          </cell>
        </row>
        <row r="35">
          <cell r="AG35" t="e">
            <v>#DIV/0!</v>
          </cell>
          <cell r="AH35">
            <v>26405</v>
          </cell>
          <cell r="AI35">
            <v>0</v>
          </cell>
          <cell r="AJ35">
            <v>-1</v>
          </cell>
        </row>
        <row r="35">
          <cell r="AM35" t="e">
            <v>#DIV/0!</v>
          </cell>
          <cell r="AN35">
            <v>26405</v>
          </cell>
          <cell r="AO35">
            <v>0</v>
          </cell>
          <cell r="AP35">
            <v>-1</v>
          </cell>
        </row>
        <row r="35">
          <cell r="AS35" t="e">
            <v>#DIV/0!</v>
          </cell>
          <cell r="AT35">
            <v>26405</v>
          </cell>
          <cell r="AU35">
            <v>0</v>
          </cell>
          <cell r="AV35">
            <v>-1</v>
          </cell>
        </row>
        <row r="36">
          <cell r="C36" t="str">
            <v>杭州中瑞工程技术有限公司</v>
          </cell>
          <cell r="D36" t="str">
            <v>经销</v>
          </cell>
          <cell r="E36" t="str">
            <v>经销</v>
          </cell>
          <cell r="F36" t="str">
            <v>杭州市区</v>
          </cell>
          <cell r="G36" t="str">
            <v>市区</v>
          </cell>
          <cell r="H36" t="str">
            <v>陈雪君</v>
          </cell>
        </row>
        <row r="36">
          <cell r="J36">
            <v>50000</v>
          </cell>
        </row>
        <row r="36">
          <cell r="L36">
            <v>-1</v>
          </cell>
          <cell r="M36">
            <v>39000</v>
          </cell>
          <cell r="N36">
            <v>20000</v>
          </cell>
          <cell r="O36">
            <v>-0.487179487179487</v>
          </cell>
          <cell r="P36">
            <v>89000</v>
          </cell>
          <cell r="Q36">
            <v>20000</v>
          </cell>
          <cell r="R36">
            <v>-0.775280898876405</v>
          </cell>
          <cell r="S36">
            <v>35000</v>
          </cell>
        </row>
        <row r="36">
          <cell r="U36">
            <v>-1</v>
          </cell>
          <cell r="V36">
            <v>124000</v>
          </cell>
          <cell r="W36">
            <v>20000</v>
          </cell>
          <cell r="X36">
            <v>-0.838709677419355</v>
          </cell>
          <cell r="Y36">
            <v>190000</v>
          </cell>
        </row>
        <row r="36">
          <cell r="AA36">
            <v>-1</v>
          </cell>
          <cell r="AB36">
            <v>314000</v>
          </cell>
          <cell r="AC36">
            <v>20000</v>
          </cell>
          <cell r="AD36">
            <v>-0.936305732484076</v>
          </cell>
          <cell r="AE36">
            <v>50000</v>
          </cell>
        </row>
        <row r="36">
          <cell r="AG36">
            <v>-1</v>
          </cell>
          <cell r="AH36">
            <v>364000</v>
          </cell>
          <cell r="AI36">
            <v>20000</v>
          </cell>
          <cell r="AJ36">
            <v>-0.945054945054945</v>
          </cell>
          <cell r="AK36">
            <v>139500</v>
          </cell>
          <cell r="AL36">
            <v>10000</v>
          </cell>
          <cell r="AM36">
            <v>-0.92831541218638</v>
          </cell>
          <cell r="AN36">
            <v>503500</v>
          </cell>
          <cell r="AO36">
            <v>30000</v>
          </cell>
          <cell r="AP36">
            <v>-0.940417080436941</v>
          </cell>
          <cell r="AQ36">
            <v>52000</v>
          </cell>
        </row>
        <row r="36">
          <cell r="AS36">
            <v>-1</v>
          </cell>
          <cell r="AT36">
            <v>555500</v>
          </cell>
          <cell r="AU36">
            <v>30000</v>
          </cell>
          <cell r="AV36">
            <v>-0.945994599459946</v>
          </cell>
        </row>
        <row r="37">
          <cell r="C37" t="str">
            <v>苏宁易购集团股份有限公司苏宁采购中心</v>
          </cell>
          <cell r="D37" t="str">
            <v>经销</v>
          </cell>
          <cell r="E37" t="str">
            <v>经销</v>
          </cell>
          <cell r="F37" t="str">
            <v>杭州市区</v>
          </cell>
          <cell r="G37" t="str">
            <v>市区</v>
          </cell>
          <cell r="H37" t="str">
            <v>陈雪君</v>
          </cell>
        </row>
        <row r="37">
          <cell r="K37">
            <v>5208.12</v>
          </cell>
          <cell r="L37" t="e">
            <v>#DIV/0!</v>
          </cell>
        </row>
        <row r="37">
          <cell r="N37">
            <v>713</v>
          </cell>
          <cell r="O37" t="e">
            <v>#DIV/0!</v>
          </cell>
          <cell r="P37">
            <v>0</v>
          </cell>
          <cell r="Q37">
            <v>5921.12</v>
          </cell>
          <cell r="R37" t="e">
            <v>#DIV/0!</v>
          </cell>
        </row>
        <row r="37">
          <cell r="U37" t="e">
            <v>#DIV/0!</v>
          </cell>
          <cell r="V37">
            <v>0</v>
          </cell>
          <cell r="W37">
            <v>5921.12</v>
          </cell>
          <cell r="X37" t="e">
            <v>#DIV/0!</v>
          </cell>
        </row>
        <row r="37">
          <cell r="AA37" t="e">
            <v>#DIV/0!</v>
          </cell>
          <cell r="AB37">
            <v>0</v>
          </cell>
          <cell r="AC37">
            <v>5921.12</v>
          </cell>
          <cell r="AD37" t="e">
            <v>#DIV/0!</v>
          </cell>
        </row>
        <row r="37">
          <cell r="AG37" t="e">
            <v>#DIV/0!</v>
          </cell>
          <cell r="AH37">
            <v>0</v>
          </cell>
          <cell r="AI37">
            <v>5921.12</v>
          </cell>
          <cell r="AJ37" t="e">
            <v>#DIV/0!</v>
          </cell>
        </row>
        <row r="37">
          <cell r="AM37" t="e">
            <v>#DIV/0!</v>
          </cell>
          <cell r="AN37">
            <v>0</v>
          </cell>
          <cell r="AO37">
            <v>5921.12</v>
          </cell>
          <cell r="AP37" t="e">
            <v>#DIV/0!</v>
          </cell>
          <cell r="AQ37">
            <v>1971.76</v>
          </cell>
        </row>
        <row r="37">
          <cell r="AS37">
            <v>-1</v>
          </cell>
          <cell r="AT37">
            <v>1971.76</v>
          </cell>
          <cell r="AU37">
            <v>5921.12</v>
          </cell>
          <cell r="AV37">
            <v>2.00296182091127</v>
          </cell>
          <cell r="AW37">
            <v>3472.08</v>
          </cell>
        </row>
        <row r="38">
          <cell r="C38" t="str">
            <v>杭州华东家电市场铁人电器商行</v>
          </cell>
          <cell r="D38" t="str">
            <v>经销</v>
          </cell>
          <cell r="E38" t="str">
            <v>经销</v>
          </cell>
          <cell r="F38" t="str">
            <v>杭州市区</v>
          </cell>
          <cell r="G38" t="str">
            <v>市区</v>
          </cell>
          <cell r="H38" t="str">
            <v>李燕霞</v>
          </cell>
          <cell r="I38">
            <v>10</v>
          </cell>
        </row>
        <row r="38">
          <cell r="L38" t="e">
            <v>#DIV/0!</v>
          </cell>
        </row>
        <row r="38">
          <cell r="O38" t="e">
            <v>#DIV/0!</v>
          </cell>
          <cell r="P38">
            <v>0</v>
          </cell>
          <cell r="Q38">
            <v>0</v>
          </cell>
          <cell r="R38" t="e">
            <v>#DIV/0!</v>
          </cell>
        </row>
        <row r="38">
          <cell r="U38" t="e">
            <v>#DIV/0!</v>
          </cell>
          <cell r="V38">
            <v>0</v>
          </cell>
          <cell r="W38">
            <v>0</v>
          </cell>
          <cell r="X38" t="e">
            <v>#DIV/0!</v>
          </cell>
        </row>
        <row r="38">
          <cell r="AA38" t="e">
            <v>#DIV/0!</v>
          </cell>
          <cell r="AB38">
            <v>0</v>
          </cell>
          <cell r="AC38">
            <v>0</v>
          </cell>
          <cell r="AD38" t="e">
            <v>#DIV/0!</v>
          </cell>
        </row>
        <row r="38">
          <cell r="AG38" t="e">
            <v>#DIV/0!</v>
          </cell>
          <cell r="AH38">
            <v>0</v>
          </cell>
          <cell r="AI38">
            <v>0</v>
          </cell>
          <cell r="AJ38" t="e">
            <v>#DIV/0!</v>
          </cell>
        </row>
        <row r="38">
          <cell r="AM38" t="e">
            <v>#DIV/0!</v>
          </cell>
          <cell r="AN38">
            <v>0</v>
          </cell>
          <cell r="AO38">
            <v>0</v>
          </cell>
          <cell r="AP38" t="e">
            <v>#DIV/0!</v>
          </cell>
        </row>
        <row r="38">
          <cell r="AR38">
            <v>6789</v>
          </cell>
          <cell r="AS38" t="e">
            <v>#DIV/0!</v>
          </cell>
          <cell r="AT38">
            <v>0</v>
          </cell>
          <cell r="AU38">
            <v>6789</v>
          </cell>
          <cell r="AV38" t="e">
            <v>#DIV/0!</v>
          </cell>
          <cell r="AW38">
            <v>18173</v>
          </cell>
        </row>
        <row r="39">
          <cell r="C39" t="str">
            <v>滨江六空8090店</v>
          </cell>
          <cell r="D39" t="str">
            <v>直营</v>
          </cell>
          <cell r="E39" t="str">
            <v>直营</v>
          </cell>
          <cell r="F39" t="str">
            <v>杭州市区</v>
          </cell>
          <cell r="G39" t="str">
            <v>滨江区</v>
          </cell>
          <cell r="H39" t="str">
            <v>专卖店</v>
          </cell>
          <cell r="I39">
            <v>370</v>
          </cell>
        </row>
        <row r="39">
          <cell r="K39">
            <v>128272</v>
          </cell>
          <cell r="L39" t="e">
            <v>#DIV/0!</v>
          </cell>
        </row>
        <row r="39">
          <cell r="N39">
            <v>300432</v>
          </cell>
          <cell r="O39" t="e">
            <v>#DIV/0!</v>
          </cell>
          <cell r="P39">
            <v>0</v>
          </cell>
          <cell r="Q39">
            <v>428704</v>
          </cell>
          <cell r="R39" t="e">
            <v>#DIV/0!</v>
          </cell>
        </row>
        <row r="39">
          <cell r="T39">
            <v>378127</v>
          </cell>
          <cell r="U39" t="e">
            <v>#DIV/0!</v>
          </cell>
          <cell r="V39">
            <v>0</v>
          </cell>
          <cell r="W39">
            <v>806831</v>
          </cell>
          <cell r="X39" t="e">
            <v>#DIV/0!</v>
          </cell>
        </row>
        <row r="39">
          <cell r="Z39">
            <v>418240</v>
          </cell>
          <cell r="AA39" t="e">
            <v>#DIV/0!</v>
          </cell>
          <cell r="AB39">
            <v>0</v>
          </cell>
          <cell r="AC39">
            <v>1225071</v>
          </cell>
          <cell r="AD39" t="e">
            <v>#DIV/0!</v>
          </cell>
        </row>
        <row r="39">
          <cell r="AF39">
            <v>306225</v>
          </cell>
          <cell r="AG39" t="e">
            <v>#DIV/0!</v>
          </cell>
          <cell r="AH39">
            <v>0</v>
          </cell>
          <cell r="AI39">
            <v>1531296</v>
          </cell>
          <cell r="AJ39" t="e">
            <v>#DIV/0!</v>
          </cell>
        </row>
        <row r="39">
          <cell r="AL39">
            <v>574778</v>
          </cell>
          <cell r="AM39" t="e">
            <v>#DIV/0!</v>
          </cell>
          <cell r="AN39">
            <v>0</v>
          </cell>
          <cell r="AO39">
            <v>2106074</v>
          </cell>
          <cell r="AP39" t="e">
            <v>#DIV/0!</v>
          </cell>
        </row>
        <row r="39">
          <cell r="AR39">
            <v>166425</v>
          </cell>
          <cell r="AS39" t="e">
            <v>#DIV/0!</v>
          </cell>
          <cell r="AT39">
            <v>0</v>
          </cell>
          <cell r="AU39">
            <v>2272499</v>
          </cell>
          <cell r="AV39" t="e">
            <v>#DIV/0!</v>
          </cell>
        </row>
        <row r="39">
          <cell r="AX39">
            <v>201205</v>
          </cell>
        </row>
        <row r="40">
          <cell r="C40" t="str">
            <v>萧山第六空间专卖店</v>
          </cell>
          <cell r="D40" t="str">
            <v>直营</v>
          </cell>
          <cell r="E40" t="str">
            <v>直营</v>
          </cell>
          <cell r="F40" t="str">
            <v>萧山区</v>
          </cell>
          <cell r="G40" t="str">
            <v>市区</v>
          </cell>
          <cell r="H40" t="str">
            <v>专卖店</v>
          </cell>
          <cell r="I40">
            <v>170</v>
          </cell>
        </row>
        <row r="40">
          <cell r="K40">
            <v>840</v>
          </cell>
          <cell r="L40" t="e">
            <v>#DIV/0!</v>
          </cell>
        </row>
        <row r="40">
          <cell r="N40">
            <v>30008</v>
          </cell>
          <cell r="O40" t="e">
            <v>#DIV/0!</v>
          </cell>
          <cell r="P40">
            <v>0</v>
          </cell>
          <cell r="Q40">
            <v>30848</v>
          </cell>
          <cell r="R40" t="e">
            <v>#DIV/0!</v>
          </cell>
        </row>
        <row r="40">
          <cell r="T40">
            <v>250109.6</v>
          </cell>
          <cell r="U40" t="e">
            <v>#DIV/0!</v>
          </cell>
          <cell r="V40">
            <v>0</v>
          </cell>
          <cell r="W40">
            <v>280957.6</v>
          </cell>
          <cell r="X40" t="e">
            <v>#DIV/0!</v>
          </cell>
        </row>
        <row r="40">
          <cell r="Z40">
            <v>296574</v>
          </cell>
          <cell r="AA40" t="e">
            <v>#DIV/0!</v>
          </cell>
          <cell r="AB40">
            <v>0</v>
          </cell>
          <cell r="AC40">
            <v>577531.6</v>
          </cell>
          <cell r="AD40" t="e">
            <v>#DIV/0!</v>
          </cell>
        </row>
        <row r="40">
          <cell r="AF40">
            <v>255533</v>
          </cell>
          <cell r="AG40" t="e">
            <v>#DIV/0!</v>
          </cell>
          <cell r="AH40">
            <v>0</v>
          </cell>
          <cell r="AI40">
            <v>833064.6</v>
          </cell>
          <cell r="AJ40" t="e">
            <v>#DIV/0!</v>
          </cell>
        </row>
        <row r="40">
          <cell r="AL40">
            <v>386476</v>
          </cell>
          <cell r="AM40" t="e">
            <v>#DIV/0!</v>
          </cell>
          <cell r="AN40">
            <v>0</v>
          </cell>
          <cell r="AO40">
            <v>1219540.6</v>
          </cell>
          <cell r="AP40" t="e">
            <v>#DIV/0!</v>
          </cell>
        </row>
        <row r="40">
          <cell r="AR40">
            <v>63776</v>
          </cell>
          <cell r="AS40" t="e">
            <v>#DIV/0!</v>
          </cell>
          <cell r="AT40">
            <v>0</v>
          </cell>
          <cell r="AU40">
            <v>1283316.6</v>
          </cell>
          <cell r="AV40" t="e">
            <v>#DIV/0!</v>
          </cell>
        </row>
        <row r="40">
          <cell r="AX40">
            <v>105175</v>
          </cell>
        </row>
        <row r="41">
          <cell r="C41" t="str">
            <v>政采云</v>
          </cell>
          <cell r="D41" t="str">
            <v>经销</v>
          </cell>
          <cell r="E41" t="str">
            <v>经销</v>
          </cell>
          <cell r="F41" t="str">
            <v>杭州市区</v>
          </cell>
        </row>
        <row r="41">
          <cell r="H41" t="str">
            <v>陈雪君</v>
          </cell>
        </row>
        <row r="41">
          <cell r="L41" t="e">
            <v>#DIV/0!</v>
          </cell>
        </row>
        <row r="41">
          <cell r="O41" t="e">
            <v>#DIV/0!</v>
          </cell>
          <cell r="P41">
            <v>0</v>
          </cell>
          <cell r="Q41">
            <v>0</v>
          </cell>
          <cell r="R41" t="e">
            <v>#DIV/0!</v>
          </cell>
        </row>
        <row r="41">
          <cell r="U41" t="e">
            <v>#DIV/0!</v>
          </cell>
          <cell r="V41">
            <v>0</v>
          </cell>
          <cell r="W41">
            <v>0</v>
          </cell>
          <cell r="X41" t="e">
            <v>#DIV/0!</v>
          </cell>
        </row>
        <row r="41">
          <cell r="AA41" t="e">
            <v>#DIV/0!</v>
          </cell>
          <cell r="AB41">
            <v>0</v>
          </cell>
          <cell r="AC41">
            <v>0</v>
          </cell>
          <cell r="AD41" t="e">
            <v>#DIV/0!</v>
          </cell>
        </row>
        <row r="41">
          <cell r="AG41" t="e">
            <v>#DIV/0!</v>
          </cell>
          <cell r="AH41">
            <v>0</v>
          </cell>
          <cell r="AI41">
            <v>0</v>
          </cell>
          <cell r="AJ41" t="e">
            <v>#DIV/0!</v>
          </cell>
        </row>
        <row r="41">
          <cell r="AM41" t="e">
            <v>#DIV/0!</v>
          </cell>
          <cell r="AN41">
            <v>0</v>
          </cell>
          <cell r="AO41">
            <v>0</v>
          </cell>
          <cell r="AP41" t="e">
            <v>#DIV/0!</v>
          </cell>
        </row>
        <row r="41">
          <cell r="AS41" t="e">
            <v>#DIV/0!</v>
          </cell>
          <cell r="AT41">
            <v>0</v>
          </cell>
          <cell r="AU41">
            <v>0</v>
          </cell>
          <cell r="AV41" t="e">
            <v>#DIV/0!</v>
          </cell>
        </row>
        <row r="42">
          <cell r="C42" t="str">
            <v>杭州装家百科电器有限公司</v>
          </cell>
          <cell r="D42" t="str">
            <v>家装</v>
          </cell>
          <cell r="E42" t="str">
            <v>家装</v>
          </cell>
          <cell r="F42" t="str">
            <v>杭州市区</v>
          </cell>
          <cell r="G42" t="str">
            <v>西湖区</v>
          </cell>
          <cell r="H42" t="str">
            <v>黄颖</v>
          </cell>
          <cell r="I42">
            <v>80</v>
          </cell>
        </row>
        <row r="42">
          <cell r="T42">
            <v>10661</v>
          </cell>
          <cell r="U42" t="e">
            <v>#DIV/0!</v>
          </cell>
          <cell r="V42">
            <v>0</v>
          </cell>
          <cell r="W42">
            <v>10661</v>
          </cell>
          <cell r="X42" t="e">
            <v>#DIV/0!</v>
          </cell>
        </row>
        <row r="42">
          <cell r="Z42">
            <v>15411</v>
          </cell>
          <cell r="AA42" t="e">
            <v>#DIV/0!</v>
          </cell>
          <cell r="AB42">
            <v>0</v>
          </cell>
          <cell r="AC42">
            <v>26072</v>
          </cell>
          <cell r="AD42" t="e">
            <v>#DIV/0!</v>
          </cell>
        </row>
        <row r="42">
          <cell r="AF42">
            <v>3348</v>
          </cell>
          <cell r="AG42" t="e">
            <v>#DIV/0!</v>
          </cell>
          <cell r="AH42">
            <v>0</v>
          </cell>
          <cell r="AI42">
            <v>29420</v>
          </cell>
          <cell r="AJ42" t="e">
            <v>#DIV/0!</v>
          </cell>
        </row>
        <row r="42">
          <cell r="AM42" t="e">
            <v>#DIV/0!</v>
          </cell>
          <cell r="AN42">
            <v>0</v>
          </cell>
          <cell r="AO42">
            <v>29420</v>
          </cell>
          <cell r="AP42" t="e">
            <v>#DIV/0!</v>
          </cell>
        </row>
        <row r="42">
          <cell r="AS42" t="e">
            <v>#DIV/0!</v>
          </cell>
          <cell r="AT42">
            <v>0</v>
          </cell>
          <cell r="AU42">
            <v>29420</v>
          </cell>
          <cell r="AV42" t="e">
            <v>#DIV/0!</v>
          </cell>
        </row>
        <row r="43">
          <cell r="C43" t="str">
            <v>贝壳美家供应链管理（浙江）有限责任公司</v>
          </cell>
          <cell r="D43" t="str">
            <v>家装</v>
          </cell>
          <cell r="E43" t="str">
            <v>家装</v>
          </cell>
          <cell r="F43" t="str">
            <v>杭州市区</v>
          </cell>
          <cell r="G43" t="str">
            <v>拱墅区</v>
          </cell>
          <cell r="H43" t="str">
            <v>黄颖</v>
          </cell>
          <cell r="I43">
            <v>200</v>
          </cell>
        </row>
        <row r="43">
          <cell r="T43">
            <v>7250</v>
          </cell>
          <cell r="U43" t="e">
            <v>#DIV/0!</v>
          </cell>
          <cell r="V43">
            <v>0</v>
          </cell>
          <cell r="W43">
            <v>7250</v>
          </cell>
          <cell r="X43" t="e">
            <v>#DIV/0!</v>
          </cell>
        </row>
        <row r="43">
          <cell r="AA43" t="e">
            <v>#DIV/0!</v>
          </cell>
          <cell r="AB43">
            <v>0</v>
          </cell>
          <cell r="AC43">
            <v>7250</v>
          </cell>
          <cell r="AD43" t="e">
            <v>#DIV/0!</v>
          </cell>
        </row>
        <row r="43">
          <cell r="AG43" t="e">
            <v>#DIV/0!</v>
          </cell>
          <cell r="AH43">
            <v>0</v>
          </cell>
          <cell r="AI43">
            <v>7250</v>
          </cell>
          <cell r="AJ43" t="e">
            <v>#DIV/0!</v>
          </cell>
        </row>
        <row r="43">
          <cell r="AM43" t="e">
            <v>#DIV/0!</v>
          </cell>
          <cell r="AN43">
            <v>0</v>
          </cell>
          <cell r="AO43">
            <v>7250</v>
          </cell>
          <cell r="AP43" t="e">
            <v>#DIV/0!</v>
          </cell>
        </row>
        <row r="43">
          <cell r="AR43">
            <v>53816</v>
          </cell>
          <cell r="AS43" t="e">
            <v>#DIV/0!</v>
          </cell>
          <cell r="AT43">
            <v>0</v>
          </cell>
          <cell r="AU43">
            <v>61066</v>
          </cell>
          <cell r="AV43" t="e">
            <v>#DIV/0!</v>
          </cell>
        </row>
        <row r="43">
          <cell r="AX43">
            <v>33555</v>
          </cell>
        </row>
        <row r="44">
          <cell r="C44" t="str">
            <v>杭州平野实业有限公司</v>
          </cell>
          <cell r="D44" t="str">
            <v>家装</v>
          </cell>
          <cell r="E44" t="str">
            <v>家装</v>
          </cell>
          <cell r="F44" t="str">
            <v>杭州市区</v>
          </cell>
          <cell r="G44" t="str">
            <v>拱墅区</v>
          </cell>
          <cell r="H44" t="str">
            <v>黄颖</v>
          </cell>
          <cell r="I44">
            <v>25</v>
          </cell>
        </row>
        <row r="44">
          <cell r="AB44">
            <v>0</v>
          </cell>
        </row>
        <row r="44">
          <cell r="AG44" t="e">
            <v>#DIV/0!</v>
          </cell>
          <cell r="AH44">
            <v>0</v>
          </cell>
          <cell r="AI44">
            <v>0</v>
          </cell>
          <cell r="AJ44" t="e">
            <v>#DIV/0!</v>
          </cell>
        </row>
        <row r="44">
          <cell r="AM44" t="e">
            <v>#DIV/0!</v>
          </cell>
          <cell r="AN44">
            <v>0</v>
          </cell>
          <cell r="AO44">
            <v>0</v>
          </cell>
          <cell r="AP44" t="e">
            <v>#DIV/0!</v>
          </cell>
        </row>
        <row r="44">
          <cell r="AS44" t="e">
            <v>#DIV/0!</v>
          </cell>
          <cell r="AT44">
            <v>0</v>
          </cell>
          <cell r="AU44">
            <v>0</v>
          </cell>
          <cell r="AV44" t="e">
            <v>#DIV/0!</v>
          </cell>
        </row>
        <row r="45">
          <cell r="C45" t="str">
            <v>杭州速简优装饰工程有限公司</v>
          </cell>
          <cell r="D45" t="str">
            <v>家装</v>
          </cell>
          <cell r="E45" t="str">
            <v>家装</v>
          </cell>
          <cell r="F45" t="str">
            <v>杭州市区</v>
          </cell>
          <cell r="G45" t="str">
            <v>拱墅区</v>
          </cell>
          <cell r="H45" t="str">
            <v>黄颖</v>
          </cell>
          <cell r="I45">
            <v>20</v>
          </cell>
        </row>
        <row r="45">
          <cell r="AG45" t="e">
            <v>#DIV/0!</v>
          </cell>
          <cell r="AH45">
            <v>0</v>
          </cell>
          <cell r="AI45">
            <v>0</v>
          </cell>
          <cell r="AJ45" t="e">
            <v>#DIV/0!</v>
          </cell>
        </row>
        <row r="45">
          <cell r="AM45" t="e">
            <v>#DIV/0!</v>
          </cell>
          <cell r="AN45">
            <v>0</v>
          </cell>
          <cell r="AO45">
            <v>0</v>
          </cell>
          <cell r="AP45" t="e">
            <v>#DIV/0!</v>
          </cell>
        </row>
        <row r="45">
          <cell r="AS45" t="e">
            <v>#DIV/0!</v>
          </cell>
          <cell r="AT45">
            <v>0</v>
          </cell>
          <cell r="AU45">
            <v>0</v>
          </cell>
          <cell r="AV45" t="e">
            <v>#DIV/0!</v>
          </cell>
        </row>
        <row r="46">
          <cell r="C46" t="str">
            <v>杭州恒大建材超级旗舰店（浙江云顶贸易有限公司）</v>
          </cell>
          <cell r="D46" t="str">
            <v>家装</v>
          </cell>
          <cell r="E46" t="str">
            <v>家装</v>
          </cell>
          <cell r="F46" t="str">
            <v>杭州市区</v>
          </cell>
          <cell r="G46" t="str">
            <v>拱墅区</v>
          </cell>
          <cell r="H46" t="str">
            <v>黄颖</v>
          </cell>
        </row>
        <row r="46">
          <cell r="AF46">
            <v>13000</v>
          </cell>
          <cell r="AG46" t="e">
            <v>#DIV/0!</v>
          </cell>
          <cell r="AH46">
            <v>0</v>
          </cell>
          <cell r="AI46">
            <v>13000</v>
          </cell>
          <cell r="AJ46" t="e">
            <v>#DIV/0!</v>
          </cell>
        </row>
        <row r="46">
          <cell r="AM46" t="e">
            <v>#DIV/0!</v>
          </cell>
          <cell r="AN46">
            <v>0</v>
          </cell>
          <cell r="AO46">
            <v>13000</v>
          </cell>
          <cell r="AP46" t="e">
            <v>#DIV/0!</v>
          </cell>
        </row>
        <row r="46">
          <cell r="AS46" t="e">
            <v>#DIV/0!</v>
          </cell>
          <cell r="AT46">
            <v>0</v>
          </cell>
          <cell r="AU46">
            <v>13000</v>
          </cell>
          <cell r="AV46" t="e">
            <v>#DIV/0!</v>
          </cell>
        </row>
        <row r="46">
          <cell r="AX46">
            <v>3470</v>
          </cell>
        </row>
        <row r="47">
          <cell r="C47" t="str">
            <v>杭州允选科技有限公司</v>
          </cell>
          <cell r="D47" t="str">
            <v>经销</v>
          </cell>
          <cell r="E47" t="str">
            <v>经销</v>
          </cell>
          <cell r="F47" t="str">
            <v>杭州市区</v>
          </cell>
        </row>
        <row r="47">
          <cell r="H47" t="str">
            <v>陈雪君</v>
          </cell>
        </row>
        <row r="47">
          <cell r="AF47">
            <v>66234</v>
          </cell>
          <cell r="AG47" t="e">
            <v>#DIV/0!</v>
          </cell>
          <cell r="AH47">
            <v>0</v>
          </cell>
          <cell r="AI47">
            <v>66234</v>
          </cell>
          <cell r="AJ47" t="e">
            <v>#DIV/0!</v>
          </cell>
        </row>
        <row r="47">
          <cell r="AL47">
            <v>10341.7</v>
          </cell>
          <cell r="AM47" t="e">
            <v>#DIV/0!</v>
          </cell>
          <cell r="AN47">
            <v>0</v>
          </cell>
          <cell r="AO47">
            <v>76575.7</v>
          </cell>
          <cell r="AP47" t="e">
            <v>#DIV/0!</v>
          </cell>
        </row>
        <row r="47">
          <cell r="AR47">
            <v>12445</v>
          </cell>
          <cell r="AS47" t="e">
            <v>#DIV/0!</v>
          </cell>
          <cell r="AT47">
            <v>0</v>
          </cell>
          <cell r="AU47">
            <v>89020.7</v>
          </cell>
          <cell r="AV47" t="e">
            <v>#DIV/0!</v>
          </cell>
        </row>
        <row r="47">
          <cell r="AX47">
            <v>8999</v>
          </cell>
        </row>
        <row r="48">
          <cell r="C48" t="str">
            <v>北京天坛装饰工程有限责任公司杭州分公司</v>
          </cell>
          <cell r="D48" t="str">
            <v>家装</v>
          </cell>
          <cell r="E48" t="str">
            <v>家装</v>
          </cell>
          <cell r="F48" t="str">
            <v>杭州市区</v>
          </cell>
          <cell r="G48" t="str">
            <v>拱墅区</v>
          </cell>
          <cell r="H48" t="str">
            <v>黄颖</v>
          </cell>
          <cell r="I48">
            <v>60</v>
          </cell>
        </row>
        <row r="48">
          <cell r="T48">
            <v>35400</v>
          </cell>
          <cell r="U48" t="e">
            <v>#DIV/0!</v>
          </cell>
          <cell r="V48">
            <v>0</v>
          </cell>
          <cell r="W48">
            <v>35400</v>
          </cell>
          <cell r="X48" t="e">
            <v>#DIV/0!</v>
          </cell>
        </row>
        <row r="48">
          <cell r="AA48" t="e">
            <v>#DIV/0!</v>
          </cell>
          <cell r="AB48">
            <v>0</v>
          </cell>
          <cell r="AC48">
            <v>35400</v>
          </cell>
          <cell r="AD48" t="e">
            <v>#DIV/0!</v>
          </cell>
        </row>
        <row r="48">
          <cell r="AF48">
            <v>27200</v>
          </cell>
          <cell r="AG48" t="e">
            <v>#DIV/0!</v>
          </cell>
          <cell r="AH48">
            <v>0</v>
          </cell>
          <cell r="AI48">
            <v>62600</v>
          </cell>
          <cell r="AJ48" t="e">
            <v>#DIV/0!</v>
          </cell>
        </row>
        <row r="48">
          <cell r="AM48" t="e">
            <v>#DIV/0!</v>
          </cell>
          <cell r="AN48">
            <v>0</v>
          </cell>
          <cell r="AO48">
            <v>62600</v>
          </cell>
          <cell r="AP48" t="e">
            <v>#DIV/0!</v>
          </cell>
        </row>
        <row r="48">
          <cell r="AR48">
            <v>47200</v>
          </cell>
          <cell r="AS48" t="e">
            <v>#DIV/0!</v>
          </cell>
          <cell r="AT48">
            <v>0</v>
          </cell>
          <cell r="AU48">
            <v>109800</v>
          </cell>
          <cell r="AV48" t="e">
            <v>#DIV/0!</v>
          </cell>
        </row>
        <row r="48">
          <cell r="AX48">
            <v>17700</v>
          </cell>
        </row>
        <row r="49">
          <cell r="C49" t="str">
            <v>合计</v>
          </cell>
        </row>
        <row r="49">
          <cell r="I49">
            <v>0</v>
          </cell>
          <cell r="J49">
            <v>111956.28</v>
          </cell>
          <cell r="K49">
            <v>76873.34</v>
          </cell>
          <cell r="L49">
            <v>-0.313362859144659</v>
          </cell>
          <cell r="M49">
            <v>43919</v>
          </cell>
          <cell r="N49">
            <v>43284.9</v>
          </cell>
          <cell r="O49">
            <v>-0.014437942576106</v>
          </cell>
          <cell r="P49">
            <v>155875.28</v>
          </cell>
          <cell r="Q49">
            <v>120158.24</v>
          </cell>
          <cell r="R49">
            <v>-0.229138577970798</v>
          </cell>
          <cell r="S49">
            <v>80405.08</v>
          </cell>
          <cell r="T49">
            <v>119148.66</v>
          </cell>
          <cell r="U49">
            <v>0.481854877826127</v>
          </cell>
          <cell r="V49">
            <v>236280.36</v>
          </cell>
          <cell r="W49">
            <v>239306.9</v>
          </cell>
          <cell r="X49">
            <v>0.012809105251067</v>
          </cell>
          <cell r="Y49">
            <v>82108.64</v>
          </cell>
          <cell r="Z49">
            <v>310195.38</v>
          </cell>
          <cell r="AA49">
            <v>2.77786527702809</v>
          </cell>
          <cell r="AB49">
            <v>318389</v>
          </cell>
          <cell r="AC49">
            <v>549502.28</v>
          </cell>
          <cell r="AD49">
            <v>0.725883369086244</v>
          </cell>
          <cell r="AE49">
            <v>2754128.27</v>
          </cell>
          <cell r="AF49">
            <v>2967154.72</v>
          </cell>
          <cell r="AG49">
            <v>0.0773480495881187</v>
          </cell>
          <cell r="AH49">
            <v>10508653.13</v>
          </cell>
          <cell r="AI49">
            <v>13954267.23</v>
          </cell>
          <cell r="AJ49">
            <v>0.327883512508705</v>
          </cell>
          <cell r="AK49">
            <v>3834503.49</v>
          </cell>
          <cell r="AL49">
            <v>3744100.99</v>
          </cell>
          <cell r="AM49">
            <v>-0.0235760640812455</v>
          </cell>
          <cell r="AN49">
            <v>14343156.62</v>
          </cell>
          <cell r="AO49">
            <v>17698368.22</v>
          </cell>
          <cell r="AP49">
            <v>0.233924211307957</v>
          </cell>
          <cell r="AQ49">
            <v>2104345.24</v>
          </cell>
          <cell r="AR49">
            <v>2351069.78</v>
          </cell>
          <cell r="AS49">
            <v>0.117245276730353</v>
          </cell>
          <cell r="AT49">
            <v>16447501.86</v>
          </cell>
          <cell r="AU49">
            <v>20049438</v>
          </cell>
          <cell r="AV49">
            <v>0.218995940578663</v>
          </cell>
          <cell r="AW49">
            <v>1930214.36</v>
          </cell>
          <cell r="AX49">
            <v>1841887.65</v>
          </cell>
        </row>
      </sheetData>
      <sheetData sheetId="2">
        <row r="3">
          <cell r="C3" t="str">
            <v>长兴百诚天龙电器有限公司</v>
          </cell>
          <cell r="D3" t="str">
            <v>经销</v>
          </cell>
          <cell r="E3" t="str">
            <v>经销</v>
          </cell>
          <cell r="F3" t="str">
            <v>长兴县</v>
          </cell>
          <cell r="G3" t="str">
            <v>长兴县</v>
          </cell>
          <cell r="H3" t="str">
            <v>张正芳</v>
          </cell>
          <cell r="I3">
            <v>15</v>
          </cell>
        </row>
        <row r="3">
          <cell r="L3" t="e">
            <v>#DIV/0!</v>
          </cell>
        </row>
        <row r="3">
          <cell r="N3">
            <v>4405</v>
          </cell>
          <cell r="O3" t="e">
            <v>#DIV/0!</v>
          </cell>
          <cell r="P3">
            <v>0</v>
          </cell>
          <cell r="Q3">
            <v>4405</v>
          </cell>
          <cell r="R3" t="e">
            <v>#DIV/0!</v>
          </cell>
          <cell r="S3">
            <v>10579</v>
          </cell>
          <cell r="T3">
            <v>30000</v>
          </cell>
          <cell r="U3">
            <v>1.83580678703091</v>
          </cell>
          <cell r="V3">
            <v>10579</v>
          </cell>
          <cell r="W3">
            <v>34405</v>
          </cell>
          <cell r="X3">
            <v>2.25219775025995</v>
          </cell>
        </row>
        <row r="3">
          <cell r="AA3" t="e">
            <v>#DIV/0!</v>
          </cell>
          <cell r="AB3">
            <v>10579</v>
          </cell>
          <cell r="AC3">
            <v>34405</v>
          </cell>
          <cell r="AD3">
            <v>2.25219775025995</v>
          </cell>
        </row>
        <row r="3">
          <cell r="AG3" t="e">
            <v>#DIV/0!</v>
          </cell>
          <cell r="AH3">
            <v>10579</v>
          </cell>
          <cell r="AI3">
            <v>34405</v>
          </cell>
          <cell r="AJ3">
            <v>2.25219775025995</v>
          </cell>
          <cell r="AK3">
            <v>6097</v>
          </cell>
        </row>
        <row r="3">
          <cell r="AM3">
            <v>-1</v>
          </cell>
          <cell r="AN3">
            <v>16676</v>
          </cell>
          <cell r="AO3">
            <v>34405</v>
          </cell>
          <cell r="AP3">
            <v>1.06314463900216</v>
          </cell>
          <cell r="AQ3">
            <v>8810</v>
          </cell>
        </row>
        <row r="3">
          <cell r="AS3">
            <v>-1</v>
          </cell>
          <cell r="AT3">
            <v>25486</v>
          </cell>
          <cell r="AU3">
            <v>34405</v>
          </cell>
          <cell r="AV3">
            <v>0.34995683904889</v>
          </cell>
        </row>
        <row r="4">
          <cell r="C4" t="str">
            <v>南浔力恒电器商行</v>
          </cell>
          <cell r="D4" t="str">
            <v>加盟</v>
          </cell>
          <cell r="E4" t="str">
            <v>加盟</v>
          </cell>
          <cell r="F4" t="str">
            <v>南浔区</v>
          </cell>
          <cell r="G4" t="str">
            <v>南浔区</v>
          </cell>
          <cell r="H4" t="str">
            <v>陈中元</v>
          </cell>
        </row>
        <row r="4">
          <cell r="J4">
            <v>2000</v>
          </cell>
          <cell r="K4">
            <v>3500</v>
          </cell>
          <cell r="L4">
            <v>0.75</v>
          </cell>
        </row>
        <row r="4">
          <cell r="N4">
            <v>10000</v>
          </cell>
          <cell r="O4" t="e">
            <v>#DIV/0!</v>
          </cell>
          <cell r="P4">
            <v>2000</v>
          </cell>
          <cell r="Q4">
            <v>13500</v>
          </cell>
          <cell r="R4">
            <v>5.75</v>
          </cell>
        </row>
        <row r="4">
          <cell r="T4">
            <v>13017.06</v>
          </cell>
          <cell r="U4" t="e">
            <v>#DIV/0!</v>
          </cell>
          <cell r="V4">
            <v>2000</v>
          </cell>
          <cell r="W4">
            <v>26517.06</v>
          </cell>
          <cell r="X4">
            <v>12.25853</v>
          </cell>
          <cell r="Y4">
            <v>58500</v>
          </cell>
        </row>
        <row r="4">
          <cell r="AA4">
            <v>-1</v>
          </cell>
          <cell r="AB4">
            <v>60500</v>
          </cell>
          <cell r="AC4">
            <v>26517.06</v>
          </cell>
          <cell r="AD4">
            <v>-0.561701487603306</v>
          </cell>
          <cell r="AE4">
            <v>47100</v>
          </cell>
        </row>
        <row r="4">
          <cell r="AG4">
            <v>-1</v>
          </cell>
          <cell r="AH4">
            <v>107600</v>
          </cell>
          <cell r="AI4">
            <v>26517.06</v>
          </cell>
          <cell r="AJ4">
            <v>-0.753558921933085</v>
          </cell>
          <cell r="AK4">
            <v>104700</v>
          </cell>
        </row>
        <row r="4">
          <cell r="AM4">
            <v>-1</v>
          </cell>
          <cell r="AN4">
            <v>212300</v>
          </cell>
          <cell r="AO4">
            <v>26517.06</v>
          </cell>
          <cell r="AP4">
            <v>-0.875096278850683</v>
          </cell>
          <cell r="AQ4">
            <v>2311</v>
          </cell>
        </row>
        <row r="4">
          <cell r="AS4">
            <v>-1</v>
          </cell>
          <cell r="AT4">
            <v>214611</v>
          </cell>
          <cell r="AU4">
            <v>26517.06</v>
          </cell>
          <cell r="AV4">
            <v>-0.876441282133721</v>
          </cell>
        </row>
        <row r="5">
          <cell r="C5" t="str">
            <v>湖州浙北大厦家电有限公司</v>
          </cell>
          <cell r="D5" t="str">
            <v>TOP渠道</v>
          </cell>
          <cell r="E5" t="str">
            <v>TOP渠道</v>
          </cell>
          <cell r="F5" t="str">
            <v>湖州市区</v>
          </cell>
          <cell r="G5" t="str">
            <v>市区</v>
          </cell>
          <cell r="H5" t="str">
            <v>翁昕</v>
          </cell>
          <cell r="I5">
            <v>600</v>
          </cell>
          <cell r="J5">
            <v>200000</v>
          </cell>
          <cell r="K5">
            <v>400000</v>
          </cell>
          <cell r="L5">
            <v>1</v>
          </cell>
          <cell r="M5">
            <v>300000</v>
          </cell>
          <cell r="N5">
            <v>300000</v>
          </cell>
          <cell r="O5">
            <v>0</v>
          </cell>
          <cell r="P5">
            <v>500000</v>
          </cell>
          <cell r="Q5">
            <v>700000</v>
          </cell>
          <cell r="R5">
            <v>0.4</v>
          </cell>
        </row>
        <row r="5">
          <cell r="T5">
            <v>210000</v>
          </cell>
          <cell r="U5" t="e">
            <v>#DIV/0!</v>
          </cell>
          <cell r="V5">
            <v>500000</v>
          </cell>
          <cell r="W5">
            <v>910000</v>
          </cell>
          <cell r="X5">
            <v>0.82</v>
          </cell>
          <cell r="Y5">
            <v>250000</v>
          </cell>
          <cell r="Z5">
            <v>400000</v>
          </cell>
          <cell r="AA5">
            <v>0.6</v>
          </cell>
          <cell r="AB5">
            <v>750000</v>
          </cell>
          <cell r="AC5">
            <v>1310000</v>
          </cell>
          <cell r="AD5">
            <v>0.746666666666667</v>
          </cell>
          <cell r="AE5">
            <v>420000</v>
          </cell>
          <cell r="AF5">
            <v>180000</v>
          </cell>
          <cell r="AG5">
            <v>-0.571428571428571</v>
          </cell>
          <cell r="AH5">
            <v>1170000</v>
          </cell>
          <cell r="AI5">
            <v>1490000</v>
          </cell>
          <cell r="AJ5">
            <v>0.273504273504273</v>
          </cell>
          <cell r="AK5">
            <v>150000</v>
          </cell>
          <cell r="AL5">
            <v>200000</v>
          </cell>
          <cell r="AM5">
            <v>0.333333333333333</v>
          </cell>
          <cell r="AN5">
            <v>1320000</v>
          </cell>
          <cell r="AO5">
            <v>1690000</v>
          </cell>
          <cell r="AP5">
            <v>0.28030303030303</v>
          </cell>
          <cell r="AQ5">
            <v>200000</v>
          </cell>
          <cell r="AR5">
            <v>250000</v>
          </cell>
          <cell r="AS5">
            <v>0.25</v>
          </cell>
          <cell r="AT5">
            <v>1520000</v>
          </cell>
          <cell r="AU5">
            <v>1940000</v>
          </cell>
          <cell r="AV5">
            <v>0.276315789473684</v>
          </cell>
          <cell r="AW5">
            <v>250000</v>
          </cell>
          <cell r="AX5">
            <v>200000</v>
          </cell>
        </row>
        <row r="6">
          <cell r="C6" t="str">
            <v>德清县武康镇佳通制冷设备商行</v>
          </cell>
          <cell r="D6" t="str">
            <v>经销</v>
          </cell>
          <cell r="E6" t="str">
            <v>经销</v>
          </cell>
          <cell r="F6" t="str">
            <v>德清县</v>
          </cell>
          <cell r="G6" t="str">
            <v>德清县</v>
          </cell>
          <cell r="H6" t="str">
            <v>陈中元</v>
          </cell>
          <cell r="I6">
            <v>70</v>
          </cell>
        </row>
        <row r="6">
          <cell r="K6">
            <v>23268</v>
          </cell>
          <cell r="L6" t="e">
            <v>#DIV/0!</v>
          </cell>
        </row>
        <row r="6">
          <cell r="N6">
            <v>20000</v>
          </cell>
          <cell r="O6" t="e">
            <v>#DIV/0!</v>
          </cell>
          <cell r="P6">
            <v>0</v>
          </cell>
          <cell r="Q6">
            <v>43268</v>
          </cell>
          <cell r="R6" t="e">
            <v>#DIV/0!</v>
          </cell>
          <cell r="S6">
            <v>150040</v>
          </cell>
          <cell r="T6">
            <v>110886</v>
          </cell>
          <cell r="U6">
            <v>-0.260957078112503</v>
          </cell>
          <cell r="V6">
            <v>150040</v>
          </cell>
          <cell r="W6">
            <v>154154</v>
          </cell>
          <cell r="X6">
            <v>0.0274193548387096</v>
          </cell>
        </row>
        <row r="6">
          <cell r="AA6" t="e">
            <v>#DIV/0!</v>
          </cell>
          <cell r="AB6">
            <v>150040</v>
          </cell>
          <cell r="AC6">
            <v>154154</v>
          </cell>
          <cell r="AD6">
            <v>0.0274193548387096</v>
          </cell>
          <cell r="AE6">
            <v>39000</v>
          </cell>
          <cell r="AF6">
            <v>31123</v>
          </cell>
          <cell r="AG6">
            <v>-0.201974358974359</v>
          </cell>
          <cell r="AH6">
            <v>189040</v>
          </cell>
          <cell r="AI6">
            <v>185277</v>
          </cell>
          <cell r="AJ6">
            <v>-0.0199058400338553</v>
          </cell>
          <cell r="AK6">
            <v>141000</v>
          </cell>
          <cell r="AL6">
            <v>25000</v>
          </cell>
          <cell r="AM6">
            <v>-0.822695035460993</v>
          </cell>
          <cell r="AN6">
            <v>330040</v>
          </cell>
          <cell r="AO6">
            <v>210277</v>
          </cell>
          <cell r="AP6">
            <v>-0.362874197067022</v>
          </cell>
          <cell r="AQ6">
            <v>2746.26</v>
          </cell>
          <cell r="AR6">
            <v>26000</v>
          </cell>
          <cell r="AS6">
            <v>8.46742114730579</v>
          </cell>
          <cell r="AT6">
            <v>332786.26</v>
          </cell>
          <cell r="AU6">
            <v>236277</v>
          </cell>
          <cell r="AV6">
            <v>-0.290003739938061</v>
          </cell>
        </row>
        <row r="6">
          <cell r="AX6">
            <v>81471</v>
          </cell>
        </row>
        <row r="7">
          <cell r="C7" t="str">
            <v>湖州长兴之窗专卖店</v>
          </cell>
          <cell r="D7" t="str">
            <v>直营</v>
          </cell>
          <cell r="E7" t="str">
            <v>直营</v>
          </cell>
          <cell r="F7" t="str">
            <v>长兴县</v>
          </cell>
          <cell r="G7" t="str">
            <v>长兴县</v>
          </cell>
          <cell r="H7" t="str">
            <v>张正芳</v>
          </cell>
          <cell r="I7">
            <v>75</v>
          </cell>
          <cell r="J7">
            <v>68740</v>
          </cell>
          <cell r="K7">
            <v>41556</v>
          </cell>
          <cell r="L7">
            <v>-0.395461157986616</v>
          </cell>
          <cell r="M7">
            <v>17488</v>
          </cell>
          <cell r="N7">
            <v>23930</v>
          </cell>
          <cell r="O7">
            <v>0.368366880146386</v>
          </cell>
          <cell r="P7">
            <v>86228</v>
          </cell>
          <cell r="Q7">
            <v>65486</v>
          </cell>
          <cell r="R7">
            <v>-0.240548313772788</v>
          </cell>
          <cell r="S7">
            <v>42550</v>
          </cell>
          <cell r="T7">
            <v>28616</v>
          </cell>
          <cell r="U7">
            <v>-0.327473560517039</v>
          </cell>
          <cell r="V7">
            <v>128778</v>
          </cell>
          <cell r="W7">
            <v>94102</v>
          </cell>
          <cell r="X7">
            <v>-0.269269595738402</v>
          </cell>
          <cell r="Y7">
            <v>48590</v>
          </cell>
          <cell r="Z7">
            <v>5936</v>
          </cell>
          <cell r="AA7">
            <v>-0.877834945462029</v>
          </cell>
          <cell r="AB7">
            <v>177368</v>
          </cell>
          <cell r="AC7">
            <v>100038</v>
          </cell>
          <cell r="AD7">
            <v>-0.435986198186821</v>
          </cell>
          <cell r="AE7">
            <v>76270</v>
          </cell>
          <cell r="AF7">
            <v>33015</v>
          </cell>
          <cell r="AG7">
            <v>-0.567129933132293</v>
          </cell>
          <cell r="AH7">
            <v>253638</v>
          </cell>
          <cell r="AI7">
            <v>133053</v>
          </cell>
          <cell r="AJ7">
            <v>-0.475421663946254</v>
          </cell>
          <cell r="AK7">
            <v>39070</v>
          </cell>
          <cell r="AL7">
            <v>4599</v>
          </cell>
          <cell r="AM7">
            <v>-0.882288200665472</v>
          </cell>
          <cell r="AN7">
            <v>292708</v>
          </cell>
          <cell r="AO7">
            <v>137652</v>
          </cell>
          <cell r="AP7">
            <v>-0.529729286524454</v>
          </cell>
          <cell r="AQ7">
            <v>10450</v>
          </cell>
          <cell r="AR7">
            <v>-4599</v>
          </cell>
          <cell r="AS7">
            <v>-1.4400956937799</v>
          </cell>
          <cell r="AT7">
            <v>303158</v>
          </cell>
          <cell r="AU7">
            <v>133053</v>
          </cell>
          <cell r="AV7">
            <v>-0.561110048225678</v>
          </cell>
          <cell r="AW7">
            <v>21056</v>
          </cell>
          <cell r="AX7">
            <v>0</v>
          </cell>
        </row>
        <row r="8">
          <cell r="C8" t="str">
            <v>湖州金蝶零售</v>
          </cell>
          <cell r="D8" t="str">
            <v>零售</v>
          </cell>
          <cell r="E8" t="str">
            <v>零售</v>
          </cell>
          <cell r="F8" t="str">
            <v>湖州市区</v>
          </cell>
          <cell r="G8" t="str">
            <v>市区</v>
          </cell>
          <cell r="H8" t="str">
            <v>陈中元</v>
          </cell>
        </row>
        <row r="8">
          <cell r="J8">
            <v>216965.28</v>
          </cell>
          <cell r="K8">
            <v>4938</v>
          </cell>
          <cell r="L8">
            <v>-0.977240598127037</v>
          </cell>
          <cell r="M8">
            <v>59548</v>
          </cell>
        </row>
        <row r="8">
          <cell r="O8">
            <v>-1</v>
          </cell>
          <cell r="P8">
            <v>276513.28</v>
          </cell>
          <cell r="Q8">
            <v>4938</v>
          </cell>
          <cell r="R8">
            <v>-0.98214190652977</v>
          </cell>
          <cell r="S8">
            <v>97829.46</v>
          </cell>
          <cell r="T8">
            <v>2998</v>
          </cell>
          <cell r="U8">
            <v>-0.969354834423087</v>
          </cell>
          <cell r="V8">
            <v>374342.74</v>
          </cell>
          <cell r="W8">
            <v>7936</v>
          </cell>
          <cell r="X8">
            <v>-0.978800176544094</v>
          </cell>
          <cell r="Y8">
            <v>14652</v>
          </cell>
          <cell r="Z8">
            <v>2400</v>
          </cell>
          <cell r="AA8">
            <v>-0.836199836199836</v>
          </cell>
          <cell r="AB8">
            <v>388994.74</v>
          </cell>
          <cell r="AC8">
            <v>10336</v>
          </cell>
          <cell r="AD8">
            <v>-0.973428946622774</v>
          </cell>
          <cell r="AE8">
            <v>2100</v>
          </cell>
          <cell r="AF8">
            <v>11730</v>
          </cell>
          <cell r="AG8">
            <v>4.58571428571429</v>
          </cell>
          <cell r="AH8">
            <v>391094.74</v>
          </cell>
          <cell r="AI8">
            <v>22066</v>
          </cell>
          <cell r="AJ8">
            <v>-0.943578888327672</v>
          </cell>
        </row>
        <row r="8">
          <cell r="AL8">
            <v>10598</v>
          </cell>
          <cell r="AM8" t="e">
            <v>#DIV/0!</v>
          </cell>
          <cell r="AN8">
            <v>391094.74</v>
          </cell>
          <cell r="AO8">
            <v>32664</v>
          </cell>
          <cell r="AP8">
            <v>-0.916480594957631</v>
          </cell>
          <cell r="AQ8">
            <v>18196</v>
          </cell>
          <cell r="AR8">
            <v>8400</v>
          </cell>
          <cell r="AS8">
            <v>-0.538360079138272</v>
          </cell>
          <cell r="AT8">
            <v>409290.74</v>
          </cell>
          <cell r="AU8">
            <v>41064</v>
          </cell>
          <cell r="AV8">
            <v>-0.899670341918803</v>
          </cell>
          <cell r="AW8">
            <v>3666</v>
          </cell>
          <cell r="AX8">
            <v>8876</v>
          </cell>
        </row>
        <row r="9">
          <cell r="C9" t="str">
            <v>吴兴新丰豪厨卫热水器商店</v>
          </cell>
          <cell r="D9" t="str">
            <v>经销</v>
          </cell>
          <cell r="E9" t="str">
            <v>经销</v>
          </cell>
          <cell r="F9" t="str">
            <v>湖州市区</v>
          </cell>
          <cell r="G9" t="str">
            <v>吴兴区</v>
          </cell>
          <cell r="H9" t="str">
            <v>陈中元</v>
          </cell>
        </row>
        <row r="9">
          <cell r="J9">
            <v>4521</v>
          </cell>
        </row>
        <row r="9">
          <cell r="L9">
            <v>-1</v>
          </cell>
        </row>
        <row r="9">
          <cell r="O9" t="e">
            <v>#DIV/0!</v>
          </cell>
          <cell r="P9">
            <v>4521</v>
          </cell>
          <cell r="Q9">
            <v>0</v>
          </cell>
          <cell r="R9">
            <v>-1</v>
          </cell>
        </row>
        <row r="9">
          <cell r="U9" t="e">
            <v>#DIV/0!</v>
          </cell>
          <cell r="V9">
            <v>4521</v>
          </cell>
          <cell r="W9">
            <v>0</v>
          </cell>
          <cell r="X9">
            <v>-1</v>
          </cell>
          <cell r="Y9">
            <v>3305</v>
          </cell>
        </row>
        <row r="9">
          <cell r="AA9">
            <v>-1</v>
          </cell>
          <cell r="AB9">
            <v>7826</v>
          </cell>
          <cell r="AC9">
            <v>0</v>
          </cell>
          <cell r="AD9">
            <v>-1</v>
          </cell>
        </row>
        <row r="9">
          <cell r="AG9" t="e">
            <v>#DIV/0!</v>
          </cell>
          <cell r="AH9">
            <v>7826</v>
          </cell>
          <cell r="AI9">
            <v>0</v>
          </cell>
          <cell r="AJ9">
            <v>-1</v>
          </cell>
        </row>
        <row r="9">
          <cell r="AM9" t="e">
            <v>#DIV/0!</v>
          </cell>
          <cell r="AN9">
            <v>7826</v>
          </cell>
          <cell r="AO9">
            <v>0</v>
          </cell>
          <cell r="AP9">
            <v>-1</v>
          </cell>
        </row>
        <row r="9">
          <cell r="AS9" t="e">
            <v>#DIV/0!</v>
          </cell>
          <cell r="AT9">
            <v>7826</v>
          </cell>
          <cell r="AU9">
            <v>0</v>
          </cell>
          <cell r="AV9">
            <v>-1</v>
          </cell>
        </row>
        <row r="10">
          <cell r="C10" t="str">
            <v>湖州晓宇冷暖设备工程有限公司</v>
          </cell>
          <cell r="D10" t="str">
            <v>暖通</v>
          </cell>
          <cell r="E10" t="str">
            <v>暖通</v>
          </cell>
          <cell r="F10" t="str">
            <v>湖州市区</v>
          </cell>
          <cell r="G10" t="str">
            <v>吴兴区</v>
          </cell>
          <cell r="H10" t="str">
            <v>陈中元</v>
          </cell>
        </row>
        <row r="10">
          <cell r="J10">
            <v>18336</v>
          </cell>
          <cell r="K10">
            <v>790</v>
          </cell>
          <cell r="L10">
            <v>-0.956915357766143</v>
          </cell>
          <cell r="M10">
            <v>5885</v>
          </cell>
        </row>
        <row r="10">
          <cell r="O10">
            <v>-1</v>
          </cell>
          <cell r="P10">
            <v>24221</v>
          </cell>
          <cell r="Q10">
            <v>790</v>
          </cell>
          <cell r="R10">
            <v>-0.967383675323067</v>
          </cell>
          <cell r="S10">
            <v>9785</v>
          </cell>
          <cell r="T10">
            <v>9575</v>
          </cell>
          <cell r="U10">
            <v>-0.0214614205416453</v>
          </cell>
          <cell r="V10">
            <v>34006</v>
          </cell>
          <cell r="W10">
            <v>10365</v>
          </cell>
          <cell r="X10">
            <v>-0.695200846909369</v>
          </cell>
          <cell r="Y10">
            <v>20567</v>
          </cell>
        </row>
        <row r="10">
          <cell r="AA10">
            <v>-1</v>
          </cell>
          <cell r="AB10">
            <v>54573</v>
          </cell>
          <cell r="AC10">
            <v>10365</v>
          </cell>
          <cell r="AD10">
            <v>-0.810070914188335</v>
          </cell>
        </row>
        <row r="10">
          <cell r="AG10" t="e">
            <v>#DIV/0!</v>
          </cell>
          <cell r="AH10">
            <v>54573</v>
          </cell>
          <cell r="AI10">
            <v>10365</v>
          </cell>
          <cell r="AJ10">
            <v>-0.810070914188335</v>
          </cell>
          <cell r="AK10">
            <v>1580</v>
          </cell>
        </row>
        <row r="10">
          <cell r="AM10">
            <v>-1</v>
          </cell>
          <cell r="AN10">
            <v>56153</v>
          </cell>
          <cell r="AO10">
            <v>10365</v>
          </cell>
          <cell r="AP10">
            <v>-0.815415026801774</v>
          </cell>
        </row>
        <row r="10">
          <cell r="AS10" t="e">
            <v>#DIV/0!</v>
          </cell>
          <cell r="AT10">
            <v>56153</v>
          </cell>
          <cell r="AU10">
            <v>10365</v>
          </cell>
          <cell r="AV10">
            <v>-0.815415026801774</v>
          </cell>
        </row>
        <row r="11">
          <cell r="C11" t="str">
            <v>长兴银海电器有限公司</v>
          </cell>
          <cell r="D11" t="str">
            <v>经销</v>
          </cell>
          <cell r="E11" t="str">
            <v>经销</v>
          </cell>
          <cell r="F11" t="str">
            <v>长兴县</v>
          </cell>
          <cell r="G11" t="str">
            <v>长兴县</v>
          </cell>
          <cell r="H11" t="str">
            <v>张正芳</v>
          </cell>
        </row>
        <row r="11">
          <cell r="L11" t="e">
            <v>#DIV/0!</v>
          </cell>
        </row>
        <row r="11">
          <cell r="O11" t="e">
            <v>#DIV/0!</v>
          </cell>
          <cell r="P11">
            <v>0</v>
          </cell>
          <cell r="Q11">
            <v>0</v>
          </cell>
          <cell r="R11" t="e">
            <v>#DIV/0!</v>
          </cell>
          <cell r="S11">
            <v>2896.82</v>
          </cell>
        </row>
        <row r="11">
          <cell r="U11">
            <v>-1</v>
          </cell>
          <cell r="V11">
            <v>2896.82</v>
          </cell>
          <cell r="W11">
            <v>0</v>
          </cell>
          <cell r="X11">
            <v>-1</v>
          </cell>
        </row>
        <row r="11">
          <cell r="AA11" t="e">
            <v>#DIV/0!</v>
          </cell>
          <cell r="AB11">
            <v>2896.82</v>
          </cell>
          <cell r="AC11">
            <v>0</v>
          </cell>
          <cell r="AD11">
            <v>-1</v>
          </cell>
        </row>
        <row r="11">
          <cell r="AG11" t="e">
            <v>#DIV/0!</v>
          </cell>
          <cell r="AH11">
            <v>2896.82</v>
          </cell>
          <cell r="AI11">
            <v>0</v>
          </cell>
          <cell r="AJ11">
            <v>-1</v>
          </cell>
        </row>
        <row r="11">
          <cell r="AM11" t="e">
            <v>#DIV/0!</v>
          </cell>
          <cell r="AN11">
            <v>2896.82</v>
          </cell>
          <cell r="AO11">
            <v>0</v>
          </cell>
          <cell r="AP11">
            <v>-1</v>
          </cell>
        </row>
        <row r="11">
          <cell r="AS11" t="e">
            <v>#DIV/0!</v>
          </cell>
          <cell r="AT11">
            <v>2896.82</v>
          </cell>
          <cell r="AU11">
            <v>0</v>
          </cell>
          <cell r="AV11">
            <v>-1</v>
          </cell>
        </row>
        <row r="12">
          <cell r="C12" t="str">
            <v>长兴小浙北家电（长兴县浙北家用电器有限公司）</v>
          </cell>
          <cell r="D12" t="str">
            <v>经销</v>
          </cell>
          <cell r="E12" t="str">
            <v>经销</v>
          </cell>
          <cell r="F12" t="str">
            <v>长兴县</v>
          </cell>
          <cell r="G12" t="str">
            <v>长兴县</v>
          </cell>
          <cell r="H12" t="str">
            <v>张正芳</v>
          </cell>
          <cell r="I12">
            <v>15</v>
          </cell>
          <cell r="J12">
            <v>20000</v>
          </cell>
        </row>
        <row r="12">
          <cell r="L12">
            <v>-1</v>
          </cell>
        </row>
        <row r="12">
          <cell r="O12" t="e">
            <v>#DIV/0!</v>
          </cell>
          <cell r="P12">
            <v>20000</v>
          </cell>
          <cell r="Q12">
            <v>0</v>
          </cell>
          <cell r="R12">
            <v>-1</v>
          </cell>
          <cell r="S12">
            <v>30000</v>
          </cell>
        </row>
        <row r="12">
          <cell r="U12">
            <v>-1</v>
          </cell>
          <cell r="V12">
            <v>50000</v>
          </cell>
          <cell r="W12">
            <v>0</v>
          </cell>
          <cell r="X12">
            <v>-1</v>
          </cell>
        </row>
        <row r="12">
          <cell r="AA12" t="e">
            <v>#DIV/0!</v>
          </cell>
          <cell r="AB12">
            <v>50000</v>
          </cell>
          <cell r="AC12">
            <v>0</v>
          </cell>
          <cell r="AD12">
            <v>-1</v>
          </cell>
        </row>
        <row r="12">
          <cell r="AG12" t="e">
            <v>#DIV/0!</v>
          </cell>
          <cell r="AH12">
            <v>50000</v>
          </cell>
          <cell r="AI12">
            <v>0</v>
          </cell>
          <cell r="AJ12">
            <v>-1</v>
          </cell>
        </row>
        <row r="12">
          <cell r="AL12">
            <v>6167</v>
          </cell>
          <cell r="AM12" t="e">
            <v>#DIV/0!</v>
          </cell>
          <cell r="AN12">
            <v>50000</v>
          </cell>
          <cell r="AO12">
            <v>6167</v>
          </cell>
          <cell r="AP12">
            <v>-0.87666</v>
          </cell>
        </row>
        <row r="12">
          <cell r="AS12" t="e">
            <v>#DIV/0!</v>
          </cell>
          <cell r="AT12">
            <v>50000</v>
          </cell>
          <cell r="AU12">
            <v>6167</v>
          </cell>
          <cell r="AV12">
            <v>-0.87666</v>
          </cell>
        </row>
        <row r="12">
          <cell r="AX12">
            <v>37.6</v>
          </cell>
        </row>
        <row r="13">
          <cell r="C13" t="str">
            <v>湖州东邦商贸有限公司</v>
          </cell>
          <cell r="D13" t="str">
            <v>经销</v>
          </cell>
          <cell r="E13" t="str">
            <v>经销</v>
          </cell>
          <cell r="F13" t="str">
            <v>长兴县</v>
          </cell>
          <cell r="G13" t="str">
            <v>长兴县</v>
          </cell>
          <cell r="H13" t="str">
            <v>张正芳</v>
          </cell>
          <cell r="I13">
            <v>30</v>
          </cell>
          <cell r="J13">
            <v>26400</v>
          </cell>
        </row>
        <row r="13">
          <cell r="L13">
            <v>-1</v>
          </cell>
        </row>
        <row r="13">
          <cell r="O13" t="e">
            <v>#DIV/0!</v>
          </cell>
          <cell r="P13">
            <v>26400</v>
          </cell>
          <cell r="Q13">
            <v>0</v>
          </cell>
          <cell r="R13">
            <v>-1</v>
          </cell>
          <cell r="S13">
            <v>72600</v>
          </cell>
        </row>
        <row r="13">
          <cell r="U13">
            <v>-1</v>
          </cell>
          <cell r="V13">
            <v>99000</v>
          </cell>
          <cell r="W13">
            <v>0</v>
          </cell>
          <cell r="X13">
            <v>-1</v>
          </cell>
        </row>
        <row r="13">
          <cell r="AA13" t="e">
            <v>#DIV/0!</v>
          </cell>
          <cell r="AB13">
            <v>99000</v>
          </cell>
          <cell r="AC13">
            <v>0</v>
          </cell>
          <cell r="AD13">
            <v>-1</v>
          </cell>
        </row>
        <row r="13">
          <cell r="AG13" t="e">
            <v>#DIV/0!</v>
          </cell>
          <cell r="AH13">
            <v>99000</v>
          </cell>
          <cell r="AI13">
            <v>0</v>
          </cell>
          <cell r="AJ13">
            <v>-1</v>
          </cell>
        </row>
        <row r="13">
          <cell r="AM13" t="e">
            <v>#DIV/0!</v>
          </cell>
          <cell r="AN13">
            <v>99000</v>
          </cell>
          <cell r="AO13">
            <v>0</v>
          </cell>
          <cell r="AP13">
            <v>-1</v>
          </cell>
        </row>
        <row r="13">
          <cell r="AS13" t="e">
            <v>#DIV/0!</v>
          </cell>
          <cell r="AT13">
            <v>99000</v>
          </cell>
          <cell r="AU13">
            <v>0</v>
          </cell>
          <cell r="AV13">
            <v>-1</v>
          </cell>
          <cell r="AW13">
            <v>10422</v>
          </cell>
        </row>
        <row r="14">
          <cell r="C14" t="str">
            <v>安吉方润家电有限公司</v>
          </cell>
          <cell r="D14" t="str">
            <v>经销</v>
          </cell>
          <cell r="E14" t="str">
            <v>经销</v>
          </cell>
          <cell r="F14" t="str">
            <v>安吉县</v>
          </cell>
          <cell r="G14" t="str">
            <v>安吉县</v>
          </cell>
          <cell r="H14" t="str">
            <v>陈中元</v>
          </cell>
        </row>
        <row r="14">
          <cell r="J14">
            <v>3600</v>
          </cell>
        </row>
        <row r="14">
          <cell r="L14">
            <v>-1</v>
          </cell>
        </row>
        <row r="14">
          <cell r="O14" t="e">
            <v>#DIV/0!</v>
          </cell>
          <cell r="P14">
            <v>3600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3600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3600</v>
          </cell>
          <cell r="AC14">
            <v>0</v>
          </cell>
          <cell r="AD14">
            <v>-1</v>
          </cell>
          <cell r="AE14">
            <v>13074</v>
          </cell>
        </row>
        <row r="14">
          <cell r="AG14">
            <v>-1</v>
          </cell>
          <cell r="AH14">
            <v>16674</v>
          </cell>
          <cell r="AI14">
            <v>0</v>
          </cell>
          <cell r="AJ14">
            <v>-1</v>
          </cell>
        </row>
        <row r="14">
          <cell r="AM14" t="e">
            <v>#DIV/0!</v>
          </cell>
          <cell r="AN14">
            <v>16674</v>
          </cell>
          <cell r="AO14">
            <v>0</v>
          </cell>
          <cell r="AP14">
            <v>-1</v>
          </cell>
        </row>
        <row r="14">
          <cell r="AS14" t="e">
            <v>#DIV/0!</v>
          </cell>
          <cell r="AT14">
            <v>16674</v>
          </cell>
          <cell r="AU14">
            <v>0</v>
          </cell>
          <cell r="AV14">
            <v>-1</v>
          </cell>
        </row>
        <row r="15">
          <cell r="C15" t="str">
            <v>湖州魁联电器有限公司</v>
          </cell>
          <cell r="D15" t="str">
            <v>经销</v>
          </cell>
          <cell r="E15" t="str">
            <v>经销</v>
          </cell>
          <cell r="F15" t="str">
            <v>长兴县</v>
          </cell>
          <cell r="G15" t="str">
            <v>长兴县</v>
          </cell>
          <cell r="H15" t="str">
            <v>张正芳</v>
          </cell>
        </row>
        <row r="15">
          <cell r="L15" t="e">
            <v>#DIV/0!</v>
          </cell>
        </row>
        <row r="15">
          <cell r="O15" t="e">
            <v>#DIV/0!</v>
          </cell>
          <cell r="P15">
            <v>0</v>
          </cell>
          <cell r="Q15">
            <v>0</v>
          </cell>
          <cell r="R15" t="e">
            <v>#DIV/0!</v>
          </cell>
        </row>
        <row r="15">
          <cell r="U15" t="e">
            <v>#DIV/0!</v>
          </cell>
          <cell r="V15">
            <v>0</v>
          </cell>
          <cell r="W15">
            <v>0</v>
          </cell>
          <cell r="X15" t="e">
            <v>#DIV/0!</v>
          </cell>
        </row>
        <row r="15">
          <cell r="AA15" t="e">
            <v>#DIV/0!</v>
          </cell>
          <cell r="AB15">
            <v>0</v>
          </cell>
          <cell r="AC15">
            <v>0</v>
          </cell>
          <cell r="AD15" t="e">
            <v>#DIV/0!</v>
          </cell>
        </row>
        <row r="15">
          <cell r="AG15" t="e">
            <v>#DIV/0!</v>
          </cell>
          <cell r="AH15">
            <v>0</v>
          </cell>
          <cell r="AI15">
            <v>0</v>
          </cell>
          <cell r="AJ15" t="e">
            <v>#DIV/0!</v>
          </cell>
        </row>
        <row r="15">
          <cell r="AM15" t="e">
            <v>#DIV/0!</v>
          </cell>
          <cell r="AN15">
            <v>0</v>
          </cell>
          <cell r="AO15">
            <v>0</v>
          </cell>
          <cell r="AP15" t="e">
            <v>#DIV/0!</v>
          </cell>
        </row>
        <row r="15">
          <cell r="AS15" t="e">
            <v>#DIV/0!</v>
          </cell>
          <cell r="AT15">
            <v>0</v>
          </cell>
          <cell r="AU15">
            <v>0</v>
          </cell>
          <cell r="AV15" t="e">
            <v>#DIV/0!</v>
          </cell>
        </row>
        <row r="16">
          <cell r="C16" t="str">
            <v>湖州菱通冷暖设备有限公司</v>
          </cell>
          <cell r="D16" t="str">
            <v>暖通</v>
          </cell>
          <cell r="E16" t="str">
            <v>暖通</v>
          </cell>
          <cell r="F16" t="str">
            <v>湖州市区</v>
          </cell>
          <cell r="G16" t="str">
            <v>吴兴区</v>
          </cell>
          <cell r="H16" t="str">
            <v>陈中元</v>
          </cell>
        </row>
        <row r="16">
          <cell r="J16">
            <v>3107</v>
          </cell>
        </row>
        <row r="16">
          <cell r="L16">
            <v>-1</v>
          </cell>
        </row>
        <row r="16">
          <cell r="O16" t="e">
            <v>#DIV/0!</v>
          </cell>
          <cell r="P16">
            <v>3107</v>
          </cell>
          <cell r="Q16">
            <v>0</v>
          </cell>
          <cell r="R16">
            <v>-1</v>
          </cell>
        </row>
        <row r="16">
          <cell r="U16" t="e">
            <v>#DIV/0!</v>
          </cell>
          <cell r="V16">
            <v>3107</v>
          </cell>
          <cell r="W16">
            <v>0</v>
          </cell>
          <cell r="X16">
            <v>-1</v>
          </cell>
          <cell r="Y16">
            <v>4335</v>
          </cell>
        </row>
        <row r="16">
          <cell r="AA16">
            <v>-1</v>
          </cell>
          <cell r="AB16">
            <v>7442</v>
          </cell>
          <cell r="AC16">
            <v>0</v>
          </cell>
          <cell r="AD16">
            <v>-1</v>
          </cell>
        </row>
        <row r="16">
          <cell r="AG16" t="e">
            <v>#DIV/0!</v>
          </cell>
          <cell r="AH16">
            <v>7442</v>
          </cell>
          <cell r="AI16">
            <v>0</v>
          </cell>
          <cell r="AJ16">
            <v>-1</v>
          </cell>
        </row>
        <row r="16">
          <cell r="AM16" t="e">
            <v>#DIV/0!</v>
          </cell>
          <cell r="AN16">
            <v>7442</v>
          </cell>
          <cell r="AO16">
            <v>0</v>
          </cell>
          <cell r="AP16">
            <v>-1</v>
          </cell>
        </row>
        <row r="16">
          <cell r="AS16" t="e">
            <v>#DIV/0!</v>
          </cell>
          <cell r="AT16">
            <v>7442</v>
          </cell>
          <cell r="AU16">
            <v>0</v>
          </cell>
          <cell r="AV16">
            <v>-1</v>
          </cell>
        </row>
        <row r="17">
          <cell r="C17" t="str">
            <v>长兴纵跃机电有限公司</v>
          </cell>
          <cell r="D17" t="str">
            <v>经销</v>
          </cell>
          <cell r="E17" t="str">
            <v>经销</v>
          </cell>
          <cell r="F17" t="str">
            <v>长兴县</v>
          </cell>
          <cell r="G17" t="str">
            <v>长兴县</v>
          </cell>
          <cell r="H17" t="str">
            <v>张正芳</v>
          </cell>
        </row>
        <row r="17">
          <cell r="J17">
            <v>4789</v>
          </cell>
        </row>
        <row r="17">
          <cell r="L17">
            <v>-1</v>
          </cell>
        </row>
        <row r="17">
          <cell r="O17" t="e">
            <v>#DIV/0!</v>
          </cell>
          <cell r="P17">
            <v>4789</v>
          </cell>
          <cell r="Q17">
            <v>0</v>
          </cell>
          <cell r="R17">
            <v>-1</v>
          </cell>
          <cell r="S17">
            <v>7800</v>
          </cell>
        </row>
        <row r="17">
          <cell r="U17">
            <v>-1</v>
          </cell>
          <cell r="V17">
            <v>12589</v>
          </cell>
          <cell r="W17">
            <v>0</v>
          </cell>
          <cell r="X17">
            <v>-1</v>
          </cell>
        </row>
        <row r="17">
          <cell r="AA17" t="e">
            <v>#DIV/0!</v>
          </cell>
          <cell r="AB17">
            <v>12589</v>
          </cell>
          <cell r="AC17">
            <v>0</v>
          </cell>
          <cell r="AD17">
            <v>-1</v>
          </cell>
        </row>
        <row r="17">
          <cell r="AG17" t="e">
            <v>#DIV/0!</v>
          </cell>
          <cell r="AH17">
            <v>12589</v>
          </cell>
          <cell r="AI17">
            <v>0</v>
          </cell>
          <cell r="AJ17">
            <v>-1</v>
          </cell>
        </row>
        <row r="17">
          <cell r="AM17" t="e">
            <v>#DIV/0!</v>
          </cell>
          <cell r="AN17">
            <v>12589</v>
          </cell>
          <cell r="AO17">
            <v>0</v>
          </cell>
          <cell r="AP17">
            <v>-1</v>
          </cell>
        </row>
        <row r="17">
          <cell r="AS17" t="e">
            <v>#DIV/0!</v>
          </cell>
          <cell r="AT17">
            <v>12589</v>
          </cell>
          <cell r="AU17">
            <v>0</v>
          </cell>
          <cell r="AV17">
            <v>-1</v>
          </cell>
        </row>
        <row r="18">
          <cell r="C18" t="str">
            <v>湖州浙北网格家电有限公司</v>
          </cell>
          <cell r="D18" t="str">
            <v>经销</v>
          </cell>
          <cell r="E18" t="str">
            <v>经销</v>
          </cell>
          <cell r="F18" t="str">
            <v>湖州市区</v>
          </cell>
          <cell r="G18" t="str">
            <v>市区</v>
          </cell>
          <cell r="H18" t="str">
            <v>翁昕</v>
          </cell>
        </row>
        <row r="18">
          <cell r="J18">
            <v>10000</v>
          </cell>
        </row>
        <row r="18">
          <cell r="L18">
            <v>-1</v>
          </cell>
        </row>
        <row r="18">
          <cell r="N18">
            <v>30820</v>
          </cell>
          <cell r="O18" t="e">
            <v>#DIV/0!</v>
          </cell>
          <cell r="P18">
            <v>10000</v>
          </cell>
          <cell r="Q18">
            <v>30820</v>
          </cell>
          <cell r="R18">
            <v>2.082</v>
          </cell>
        </row>
        <row r="18">
          <cell r="T18">
            <v>9744</v>
          </cell>
          <cell r="U18" t="e">
            <v>#DIV/0!</v>
          </cell>
          <cell r="V18">
            <v>10000</v>
          </cell>
          <cell r="W18">
            <v>40564</v>
          </cell>
          <cell r="X18">
            <v>3.0564</v>
          </cell>
        </row>
        <row r="18">
          <cell r="AA18" t="e">
            <v>#DIV/0!</v>
          </cell>
          <cell r="AB18">
            <v>10000</v>
          </cell>
          <cell r="AC18">
            <v>40564</v>
          </cell>
          <cell r="AD18">
            <v>3.0564</v>
          </cell>
        </row>
        <row r="18">
          <cell r="AF18">
            <v>32390</v>
          </cell>
          <cell r="AG18" t="e">
            <v>#DIV/0!</v>
          </cell>
          <cell r="AH18">
            <v>10000</v>
          </cell>
          <cell r="AI18">
            <v>72954</v>
          </cell>
          <cell r="AJ18">
            <v>6.2954</v>
          </cell>
        </row>
        <row r="18">
          <cell r="AL18">
            <v>21149</v>
          </cell>
          <cell r="AM18" t="e">
            <v>#DIV/0!</v>
          </cell>
          <cell r="AN18">
            <v>10000</v>
          </cell>
          <cell r="AO18">
            <v>94103</v>
          </cell>
          <cell r="AP18">
            <v>8.4103</v>
          </cell>
          <cell r="AQ18">
            <v>24563</v>
          </cell>
          <cell r="AR18">
            <v>24595</v>
          </cell>
          <cell r="AS18">
            <v>0.00130277246264709</v>
          </cell>
          <cell r="AT18">
            <v>34563</v>
          </cell>
          <cell r="AU18">
            <v>118698</v>
          </cell>
          <cell r="AV18">
            <v>2.43425049908862</v>
          </cell>
        </row>
        <row r="18">
          <cell r="AX18">
            <v>10998</v>
          </cell>
        </row>
        <row r="19">
          <cell r="C19" t="str">
            <v>湖州乐曜贸易有限公司</v>
          </cell>
          <cell r="D19" t="str">
            <v>经销</v>
          </cell>
          <cell r="E19" t="str">
            <v>经销</v>
          </cell>
          <cell r="F19" t="str">
            <v>湖州市区</v>
          </cell>
          <cell r="G19" t="str">
            <v>市区</v>
          </cell>
          <cell r="H19" t="str">
            <v>陈中元</v>
          </cell>
        </row>
        <row r="19">
          <cell r="L19" t="e">
            <v>#DIV/0!</v>
          </cell>
        </row>
        <row r="19">
          <cell r="O19" t="e">
            <v>#DIV/0!</v>
          </cell>
          <cell r="P19">
            <v>0</v>
          </cell>
          <cell r="Q19">
            <v>0</v>
          </cell>
          <cell r="R19" t="e">
            <v>#DIV/0!</v>
          </cell>
          <cell r="S19">
            <v>2962</v>
          </cell>
        </row>
        <row r="19">
          <cell r="U19">
            <v>-1</v>
          </cell>
          <cell r="V19">
            <v>2962</v>
          </cell>
          <cell r="W19">
            <v>0</v>
          </cell>
          <cell r="X19">
            <v>-1</v>
          </cell>
        </row>
        <row r="19">
          <cell r="AA19" t="e">
            <v>#DIV/0!</v>
          </cell>
          <cell r="AB19">
            <v>2962</v>
          </cell>
          <cell r="AC19">
            <v>0</v>
          </cell>
          <cell r="AD19">
            <v>-1</v>
          </cell>
        </row>
        <row r="19">
          <cell r="AG19" t="e">
            <v>#DIV/0!</v>
          </cell>
          <cell r="AH19">
            <v>2962</v>
          </cell>
          <cell r="AI19">
            <v>0</v>
          </cell>
          <cell r="AJ19">
            <v>-1</v>
          </cell>
        </row>
        <row r="19">
          <cell r="AM19" t="e">
            <v>#DIV/0!</v>
          </cell>
          <cell r="AN19">
            <v>2962</v>
          </cell>
          <cell r="AO19">
            <v>0</v>
          </cell>
          <cell r="AP19">
            <v>-1</v>
          </cell>
        </row>
        <row r="19">
          <cell r="AS19" t="e">
            <v>#DIV/0!</v>
          </cell>
          <cell r="AT19">
            <v>2962</v>
          </cell>
          <cell r="AU19">
            <v>0</v>
          </cell>
          <cell r="AV19">
            <v>-1</v>
          </cell>
        </row>
        <row r="20">
          <cell r="C20" t="str">
            <v>苏宁易购集团股份有限公司苏宁采购中心</v>
          </cell>
          <cell r="D20" t="str">
            <v>经销</v>
          </cell>
          <cell r="E20" t="str">
            <v>经销</v>
          </cell>
          <cell r="F20" t="str">
            <v>湖州市区</v>
          </cell>
          <cell r="G20" t="str">
            <v>市区</v>
          </cell>
          <cell r="H20" t="str">
            <v>陈中元</v>
          </cell>
        </row>
        <row r="20">
          <cell r="L20" t="e">
            <v>#DIV/0!</v>
          </cell>
        </row>
        <row r="20">
          <cell r="N20">
            <v>1736.04</v>
          </cell>
          <cell r="O20" t="e">
            <v>#DIV/0!</v>
          </cell>
          <cell r="P20">
            <v>0</v>
          </cell>
          <cell r="Q20">
            <v>1736.04</v>
          </cell>
          <cell r="R20" t="e">
            <v>#DIV/0!</v>
          </cell>
        </row>
        <row r="20">
          <cell r="U20" t="e">
            <v>#DIV/0!</v>
          </cell>
          <cell r="V20">
            <v>0</v>
          </cell>
          <cell r="W20">
            <v>1736.04</v>
          </cell>
          <cell r="X20" t="e">
            <v>#DIV/0!</v>
          </cell>
        </row>
        <row r="20">
          <cell r="Z20">
            <v>3472.08</v>
          </cell>
          <cell r="AA20" t="e">
            <v>#DIV/0!</v>
          </cell>
          <cell r="AB20">
            <v>0</v>
          </cell>
          <cell r="AC20">
            <v>5208.12</v>
          </cell>
          <cell r="AD20" t="e">
            <v>#DIV/0!</v>
          </cell>
        </row>
        <row r="20">
          <cell r="AG20" t="e">
            <v>#DIV/0!</v>
          </cell>
          <cell r="AH20">
            <v>0</v>
          </cell>
          <cell r="AI20">
            <v>5208.12</v>
          </cell>
          <cell r="AJ20" t="e">
            <v>#DIV/0!</v>
          </cell>
        </row>
        <row r="20">
          <cell r="AM20" t="e">
            <v>#DIV/0!</v>
          </cell>
          <cell r="AN20">
            <v>0</v>
          </cell>
          <cell r="AO20">
            <v>5208.12</v>
          </cell>
          <cell r="AP20" t="e">
            <v>#DIV/0!</v>
          </cell>
        </row>
        <row r="20">
          <cell r="AS20" t="e">
            <v>#DIV/0!</v>
          </cell>
          <cell r="AT20">
            <v>0</v>
          </cell>
          <cell r="AU20">
            <v>5208.12</v>
          </cell>
          <cell r="AV20" t="e">
            <v>#DIV/0!</v>
          </cell>
          <cell r="AW20">
            <v>11930.56</v>
          </cell>
        </row>
        <row r="21">
          <cell r="C21" t="str">
            <v>湖州浔海电器销售有限公司</v>
          </cell>
          <cell r="D21" t="str">
            <v>经销</v>
          </cell>
          <cell r="E21" t="str">
            <v>经销</v>
          </cell>
          <cell r="F21" t="str">
            <v>南浔区</v>
          </cell>
          <cell r="G21" t="str">
            <v>市区</v>
          </cell>
          <cell r="H21" t="str">
            <v>陈中元</v>
          </cell>
          <cell r="I21">
            <v>60</v>
          </cell>
        </row>
        <row r="21">
          <cell r="AF21">
            <v>116732</v>
          </cell>
          <cell r="AG21" t="e">
            <v>#DIV/0!</v>
          </cell>
          <cell r="AH21">
            <v>0</v>
          </cell>
          <cell r="AI21">
            <v>116732</v>
          </cell>
          <cell r="AJ21" t="e">
            <v>#DIV/0!</v>
          </cell>
        </row>
        <row r="21">
          <cell r="AL21">
            <v>3088</v>
          </cell>
          <cell r="AM21" t="e">
            <v>#DIV/0!</v>
          </cell>
          <cell r="AN21">
            <v>0</v>
          </cell>
          <cell r="AO21">
            <v>119820</v>
          </cell>
          <cell r="AP21" t="e">
            <v>#DIV/0!</v>
          </cell>
        </row>
        <row r="21">
          <cell r="AR21">
            <v>10000</v>
          </cell>
          <cell r="AS21" t="e">
            <v>#DIV/0!</v>
          </cell>
          <cell r="AT21">
            <v>0</v>
          </cell>
          <cell r="AU21">
            <v>129820</v>
          </cell>
          <cell r="AV21" t="e">
            <v>#DIV/0!</v>
          </cell>
        </row>
        <row r="22">
          <cell r="C22" t="str">
            <v>杭州中博智能电器有限公司</v>
          </cell>
          <cell r="D22" t="str">
            <v>家装</v>
          </cell>
          <cell r="E22" t="str">
            <v>家装</v>
          </cell>
          <cell r="F22" t="str">
            <v>湖州市区</v>
          </cell>
        </row>
        <row r="22">
          <cell r="H22" t="str">
            <v>陈中元</v>
          </cell>
        </row>
        <row r="22">
          <cell r="AL22">
            <v>3344</v>
          </cell>
          <cell r="AM22" t="e">
            <v>#DIV/0!</v>
          </cell>
          <cell r="AN22">
            <v>0</v>
          </cell>
          <cell r="AO22">
            <v>3344</v>
          </cell>
          <cell r="AP22" t="e">
            <v>#DIV/0!</v>
          </cell>
        </row>
        <row r="22">
          <cell r="AS22" t="e">
            <v>#DIV/0!</v>
          </cell>
          <cell r="AT22">
            <v>0</v>
          </cell>
          <cell r="AU22">
            <v>3344</v>
          </cell>
          <cell r="AV22" t="e">
            <v>#DIV/0!</v>
          </cell>
        </row>
        <row r="23">
          <cell r="C23" t="str">
            <v>汇总</v>
          </cell>
        </row>
        <row r="23">
          <cell r="I23">
            <v>865</v>
          </cell>
          <cell r="J23">
            <v>578458.28</v>
          </cell>
          <cell r="K23">
            <v>474052</v>
          </cell>
          <cell r="L23">
            <v>-0.180490596486924</v>
          </cell>
          <cell r="M23">
            <v>382921</v>
          </cell>
          <cell r="N23">
            <v>390891.04</v>
          </cell>
          <cell r="O23">
            <v>0.0208137971017519</v>
          </cell>
          <cell r="P23">
            <v>961379.28</v>
          </cell>
          <cell r="Q23">
            <v>864943.04</v>
          </cell>
          <cell r="R23">
            <v>-0.100310295849105</v>
          </cell>
          <cell r="S23">
            <v>427042.28</v>
          </cell>
          <cell r="T23">
            <v>414836.06</v>
          </cell>
          <cell r="U23">
            <v>-0.0285831651142365</v>
          </cell>
          <cell r="V23">
            <v>1388421.56</v>
          </cell>
          <cell r="W23">
            <v>1279779.1</v>
          </cell>
          <cell r="X23">
            <v>-0.0782489001395225</v>
          </cell>
          <cell r="Y23">
            <v>399949</v>
          </cell>
          <cell r="Z23">
            <v>411808.08</v>
          </cell>
          <cell r="AA23">
            <v>0.029651480563772</v>
          </cell>
          <cell r="AB23">
            <v>1788370.56</v>
          </cell>
          <cell r="AC23">
            <v>1691587.18</v>
          </cell>
          <cell r="AD23">
            <v>-0.0541181912545015</v>
          </cell>
          <cell r="AE23">
            <v>597544</v>
          </cell>
          <cell r="AF23">
            <v>404990</v>
          </cell>
          <cell r="AG23">
            <v>-0.322242378803904</v>
          </cell>
          <cell r="AH23">
            <v>2385914.56</v>
          </cell>
          <cell r="AI23">
            <v>2096577.18</v>
          </cell>
          <cell r="AJ23">
            <v>-0.121268961114852</v>
          </cell>
          <cell r="AK23">
            <v>442447</v>
          </cell>
          <cell r="AL23">
            <v>273945</v>
          </cell>
          <cell r="AM23">
            <v>-0.380841095091615</v>
          </cell>
          <cell r="AN23">
            <v>2828361.56</v>
          </cell>
          <cell r="AO23">
            <v>2370522.18</v>
          </cell>
          <cell r="AP23">
            <v>-0.161874417498447</v>
          </cell>
          <cell r="AQ23">
            <v>267076.26</v>
          </cell>
          <cell r="AR23">
            <v>314396</v>
          </cell>
          <cell r="AS23">
            <v>0.177176885732936</v>
          </cell>
          <cell r="AT23">
            <v>3095437.82</v>
          </cell>
          <cell r="AU23">
            <v>2684918.18</v>
          </cell>
          <cell r="AV23">
            <v>-0.132620864598727</v>
          </cell>
          <cell r="AW23">
            <v>297074.56</v>
          </cell>
          <cell r="AX23">
            <v>301382.6</v>
          </cell>
        </row>
      </sheetData>
      <sheetData sheetId="3"/>
      <sheetData sheetId="4">
        <row r="3">
          <cell r="C3" t="str">
            <v>义乌市荣昌家电维修部</v>
          </cell>
          <cell r="D3" t="str">
            <v>加盟</v>
          </cell>
          <cell r="E3" t="str">
            <v>加盟</v>
          </cell>
          <cell r="F3" t="str">
            <v>义乌市</v>
          </cell>
          <cell r="G3" t="str">
            <v>义乌市</v>
          </cell>
          <cell r="H3" t="str">
            <v>林青云</v>
          </cell>
          <cell r="I3">
            <v>220</v>
          </cell>
          <cell r="J3">
            <v>365000</v>
          </cell>
          <cell r="K3">
            <v>84500</v>
          </cell>
          <cell r="L3">
            <v>-0.768493150684932</v>
          </cell>
          <cell r="M3">
            <v>30000</v>
          </cell>
          <cell r="N3">
            <v>36876</v>
          </cell>
          <cell r="O3">
            <v>0.2292</v>
          </cell>
          <cell r="P3">
            <v>395000</v>
          </cell>
          <cell r="Q3">
            <v>121376</v>
          </cell>
          <cell r="R3">
            <v>-0.692718987341772</v>
          </cell>
          <cell r="S3">
            <v>148000</v>
          </cell>
          <cell r="T3">
            <v>114573.54</v>
          </cell>
          <cell r="U3">
            <v>-0.225854459459459</v>
          </cell>
          <cell r="V3">
            <v>543000</v>
          </cell>
          <cell r="W3">
            <v>235949.54</v>
          </cell>
          <cell r="X3">
            <v>-0.565470460405157</v>
          </cell>
          <cell r="Y3">
            <v>115000</v>
          </cell>
          <cell r="Z3">
            <v>156103</v>
          </cell>
          <cell r="AA3">
            <v>0.357417391304348</v>
          </cell>
          <cell r="AB3">
            <v>658000</v>
          </cell>
          <cell r="AC3">
            <v>392052.54</v>
          </cell>
          <cell r="AD3">
            <v>-0.40417547112462</v>
          </cell>
          <cell r="AE3">
            <v>171600</v>
          </cell>
          <cell r="AF3">
            <v>51953</v>
          </cell>
          <cell r="AG3">
            <v>-0.69724358974359</v>
          </cell>
          <cell r="AH3">
            <v>829600</v>
          </cell>
          <cell r="AI3">
            <v>444005.54</v>
          </cell>
          <cell r="AJ3">
            <v>-0.464795636451302</v>
          </cell>
          <cell r="AK3">
            <v>165430.3</v>
          </cell>
          <cell r="AL3">
            <v>113309</v>
          </cell>
          <cell r="AM3">
            <v>-0.315065015296472</v>
          </cell>
          <cell r="AN3">
            <v>995030.3</v>
          </cell>
          <cell r="AO3">
            <v>557314.54</v>
          </cell>
          <cell r="AP3">
            <v>-0.43990194067457</v>
          </cell>
          <cell r="AQ3">
            <v>130000</v>
          </cell>
          <cell r="AR3">
            <v>18500</v>
          </cell>
          <cell r="AS3">
            <v>-0.857692307692308</v>
          </cell>
          <cell r="AT3">
            <v>1125030.3</v>
          </cell>
          <cell r="AU3">
            <v>575814.54</v>
          </cell>
          <cell r="AV3">
            <v>-0.488178638388673</v>
          </cell>
          <cell r="AW3">
            <v>110000</v>
          </cell>
          <cell r="AX3">
            <v>80100</v>
          </cell>
        </row>
        <row r="4">
          <cell r="C4" t="str">
            <v>浙江普农家电有限公司</v>
          </cell>
          <cell r="D4" t="str">
            <v>TOP渠道</v>
          </cell>
          <cell r="E4" t="str">
            <v>TOP渠道</v>
          </cell>
          <cell r="F4" t="str">
            <v>衢州市区</v>
          </cell>
          <cell r="G4" t="str">
            <v>衢州市</v>
          </cell>
          <cell r="H4" t="str">
            <v>江雯</v>
          </cell>
          <cell r="I4">
            <v>200</v>
          </cell>
          <cell r="J4">
            <v>203140.4</v>
          </cell>
          <cell r="K4">
            <v>211568</v>
          </cell>
          <cell r="L4">
            <v>0.0414865777560742</v>
          </cell>
          <cell r="M4">
            <v>108325</v>
          </cell>
          <cell r="N4">
            <v>126251</v>
          </cell>
          <cell r="O4">
            <v>0.165483498730672</v>
          </cell>
          <cell r="P4">
            <v>311465.4</v>
          </cell>
          <cell r="Q4">
            <v>337819</v>
          </cell>
          <cell r="R4">
            <v>0.0846116454668799</v>
          </cell>
          <cell r="S4">
            <v>64094</v>
          </cell>
          <cell r="T4">
            <v>164562</v>
          </cell>
          <cell r="U4">
            <v>1.56751021936531</v>
          </cell>
          <cell r="V4">
            <v>375559.4</v>
          </cell>
          <cell r="W4">
            <v>502381</v>
          </cell>
          <cell r="X4">
            <v>0.33768719408967</v>
          </cell>
          <cell r="Y4">
            <v>66218</v>
          </cell>
          <cell r="Z4">
            <v>103867</v>
          </cell>
          <cell r="AA4">
            <v>0.568561418345465</v>
          </cell>
          <cell r="AB4">
            <v>441777.4</v>
          </cell>
          <cell r="AC4">
            <v>606248</v>
          </cell>
          <cell r="AD4">
            <v>0.372292923992943</v>
          </cell>
          <cell r="AE4">
            <v>62805</v>
          </cell>
          <cell r="AF4">
            <v>136346</v>
          </cell>
          <cell r="AG4">
            <v>1.1709418039965</v>
          </cell>
          <cell r="AH4">
            <v>504582.4</v>
          </cell>
          <cell r="AI4">
            <v>742594</v>
          </cell>
          <cell r="AJ4">
            <v>0.471700162352076</v>
          </cell>
          <cell r="AK4">
            <v>109740</v>
          </cell>
          <cell r="AL4">
            <v>208633</v>
          </cell>
          <cell r="AM4">
            <v>0.901157280845635</v>
          </cell>
          <cell r="AN4">
            <v>614322.4</v>
          </cell>
          <cell r="AO4">
            <v>951227</v>
          </cell>
          <cell r="AP4">
            <v>0.548416596887888</v>
          </cell>
          <cell r="AQ4">
            <v>81839</v>
          </cell>
          <cell r="AR4">
            <v>124398</v>
          </cell>
          <cell r="AS4">
            <v>0.520033235987732</v>
          </cell>
          <cell r="AT4">
            <v>696161.4</v>
          </cell>
          <cell r="AU4">
            <v>1075625</v>
          </cell>
          <cell r="AV4">
            <v>0.545079919685291</v>
          </cell>
          <cell r="AW4">
            <v>111235</v>
          </cell>
          <cell r="AX4">
            <v>61741</v>
          </cell>
        </row>
        <row r="5">
          <cell r="C5" t="str">
            <v>金华五星</v>
          </cell>
          <cell r="D5" t="str">
            <v>五星</v>
          </cell>
          <cell r="E5" t="str">
            <v>五星</v>
          </cell>
          <cell r="F5" t="str">
            <v>金华市区</v>
          </cell>
          <cell r="G5" t="str">
            <v>市区</v>
          </cell>
          <cell r="H5" t="str">
            <v>潘杏</v>
          </cell>
        </row>
        <row r="5">
          <cell r="J5">
            <v>97567.31</v>
          </cell>
          <cell r="K5">
            <v>170180.19</v>
          </cell>
          <cell r="L5">
            <v>0.744233698766523</v>
          </cell>
        </row>
        <row r="5">
          <cell r="N5">
            <v>33500.8</v>
          </cell>
          <cell r="O5" t="e">
            <v>#DIV/0!</v>
          </cell>
          <cell r="P5">
            <v>97567.31</v>
          </cell>
          <cell r="Q5">
            <v>203680.99</v>
          </cell>
          <cell r="R5">
            <v>1.08759460520127</v>
          </cell>
        </row>
        <row r="5">
          <cell r="T5">
            <v>337846.67</v>
          </cell>
          <cell r="U5" t="e">
            <v>#DIV/0!</v>
          </cell>
          <cell r="V5">
            <v>97567.31</v>
          </cell>
          <cell r="W5">
            <v>541527.66</v>
          </cell>
          <cell r="X5">
            <v>4.55029814801699</v>
          </cell>
          <cell r="Y5">
            <v>240583.45</v>
          </cell>
          <cell r="Z5">
            <v>244513.1</v>
          </cell>
          <cell r="AA5">
            <v>0.0163338334370049</v>
          </cell>
          <cell r="AB5">
            <v>338150.76</v>
          </cell>
          <cell r="AC5">
            <v>786040.76</v>
          </cell>
          <cell r="AD5">
            <v>1.32452755688025</v>
          </cell>
          <cell r="AE5">
            <v>100835.81</v>
          </cell>
          <cell r="AF5">
            <v>193019.03</v>
          </cell>
          <cell r="AG5">
            <v>0.914191297714572</v>
          </cell>
          <cell r="AH5">
            <v>438986.57</v>
          </cell>
          <cell r="AI5">
            <v>979059.79</v>
          </cell>
          <cell r="AJ5">
            <v>1.23027276210295</v>
          </cell>
          <cell r="AK5">
            <v>64337.91</v>
          </cell>
          <cell r="AL5">
            <v>241756.98</v>
          </cell>
          <cell r="AM5">
            <v>2.75761320192092</v>
          </cell>
          <cell r="AN5">
            <v>503324.48</v>
          </cell>
          <cell r="AO5">
            <v>1220816.77</v>
          </cell>
          <cell r="AP5">
            <v>1.42550644466965</v>
          </cell>
          <cell r="AQ5">
            <v>130913.08</v>
          </cell>
          <cell r="AR5">
            <v>124862.42</v>
          </cell>
          <cell r="AS5">
            <v>-0.046218911051516</v>
          </cell>
          <cell r="AT5">
            <v>634237.56</v>
          </cell>
          <cell r="AU5">
            <v>1345679.19</v>
          </cell>
          <cell r="AV5">
            <v>1.1217273697887</v>
          </cell>
          <cell r="AW5">
            <v>41058.21</v>
          </cell>
        </row>
        <row r="6">
          <cell r="C6" t="str">
            <v>（新）金华八一南街专卖店</v>
          </cell>
          <cell r="D6" t="str">
            <v>直营</v>
          </cell>
          <cell r="E6" t="str">
            <v>直营</v>
          </cell>
          <cell r="F6" t="str">
            <v>金华市区</v>
          </cell>
          <cell r="G6" t="str">
            <v>婺城区</v>
          </cell>
          <cell r="H6" t="str">
            <v>姜卫</v>
          </cell>
        </row>
        <row r="6">
          <cell r="J6">
            <v>17958</v>
          </cell>
        </row>
        <row r="6">
          <cell r="L6">
            <v>-1</v>
          </cell>
          <cell r="M6">
            <v>3966</v>
          </cell>
        </row>
        <row r="6">
          <cell r="O6">
            <v>-1</v>
          </cell>
          <cell r="P6">
            <v>21924</v>
          </cell>
          <cell r="Q6">
            <v>0</v>
          </cell>
          <cell r="R6">
            <v>-1</v>
          </cell>
          <cell r="S6">
            <v>6800</v>
          </cell>
        </row>
        <row r="6">
          <cell r="U6">
            <v>-1</v>
          </cell>
          <cell r="V6">
            <v>28724</v>
          </cell>
          <cell r="W6">
            <v>0</v>
          </cell>
          <cell r="X6">
            <v>-1</v>
          </cell>
        </row>
        <row r="6">
          <cell r="AA6" t="e">
            <v>#DIV/0!</v>
          </cell>
          <cell r="AB6">
            <v>28724</v>
          </cell>
          <cell r="AC6">
            <v>0</v>
          </cell>
          <cell r="AD6">
            <v>-1</v>
          </cell>
        </row>
        <row r="6">
          <cell r="AG6" t="e">
            <v>#DIV/0!</v>
          </cell>
          <cell r="AH6">
            <v>28724</v>
          </cell>
          <cell r="AI6">
            <v>0</v>
          </cell>
          <cell r="AJ6">
            <v>-1</v>
          </cell>
        </row>
        <row r="6">
          <cell r="AM6" t="e">
            <v>#DIV/0!</v>
          </cell>
          <cell r="AN6">
            <v>28724</v>
          </cell>
          <cell r="AO6">
            <v>0</v>
          </cell>
          <cell r="AP6">
            <v>-1</v>
          </cell>
        </row>
        <row r="6">
          <cell r="AS6" t="e">
            <v>#DIV/0!</v>
          </cell>
          <cell r="AT6">
            <v>28724</v>
          </cell>
          <cell r="AU6">
            <v>0</v>
          </cell>
          <cell r="AV6">
            <v>-1</v>
          </cell>
        </row>
        <row r="7">
          <cell r="C7" t="str">
            <v>衢州市柯城汇鑫家用电器商行</v>
          </cell>
          <cell r="D7" t="str">
            <v>加盟</v>
          </cell>
          <cell r="E7" t="str">
            <v>加盟</v>
          </cell>
          <cell r="F7" t="str">
            <v>衢州市区</v>
          </cell>
          <cell r="G7" t="str">
            <v>柯城区</v>
          </cell>
          <cell r="H7" t="str">
            <v>江雯</v>
          </cell>
          <cell r="I7">
            <v>80</v>
          </cell>
          <cell r="J7">
            <v>25400</v>
          </cell>
          <cell r="K7">
            <v>30730</v>
          </cell>
          <cell r="L7">
            <v>0.209842519685039</v>
          </cell>
          <cell r="M7">
            <v>10400</v>
          </cell>
        </row>
        <row r="7">
          <cell r="O7">
            <v>-1</v>
          </cell>
          <cell r="P7">
            <v>35800</v>
          </cell>
          <cell r="Q7">
            <v>30730</v>
          </cell>
          <cell r="R7">
            <v>-0.141620111731844</v>
          </cell>
          <cell r="S7">
            <v>30900</v>
          </cell>
          <cell r="T7">
            <v>31852</v>
          </cell>
          <cell r="U7">
            <v>0.0308090614886731</v>
          </cell>
          <cell r="V7">
            <v>66700</v>
          </cell>
          <cell r="W7">
            <v>62582</v>
          </cell>
          <cell r="X7">
            <v>-0.0617391304347826</v>
          </cell>
          <cell r="Y7">
            <v>32900</v>
          </cell>
          <cell r="Z7">
            <v>39671</v>
          </cell>
          <cell r="AA7">
            <v>0.20580547112462</v>
          </cell>
          <cell r="AB7">
            <v>99600</v>
          </cell>
          <cell r="AC7">
            <v>102253</v>
          </cell>
          <cell r="AD7">
            <v>0.0266365461847389</v>
          </cell>
          <cell r="AE7">
            <v>65953</v>
          </cell>
          <cell r="AF7">
            <v>48396</v>
          </cell>
          <cell r="AG7">
            <v>-0.26620472154413</v>
          </cell>
          <cell r="AH7">
            <v>165553</v>
          </cell>
          <cell r="AI7">
            <v>150649</v>
          </cell>
          <cell r="AJ7">
            <v>-0.0900255507299778</v>
          </cell>
          <cell r="AK7">
            <v>14600</v>
          </cell>
          <cell r="AL7">
            <v>79258</v>
          </cell>
          <cell r="AM7">
            <v>4.4286301369863</v>
          </cell>
          <cell r="AN7">
            <v>180153</v>
          </cell>
          <cell r="AO7">
            <v>229907</v>
          </cell>
          <cell r="AP7">
            <v>0.276176361204088</v>
          </cell>
          <cell r="AQ7">
            <v>20800</v>
          </cell>
        </row>
        <row r="7">
          <cell r="AS7">
            <v>-1</v>
          </cell>
          <cell r="AT7">
            <v>200953</v>
          </cell>
          <cell r="AU7">
            <v>229907</v>
          </cell>
          <cell r="AV7">
            <v>0.144083442396978</v>
          </cell>
          <cell r="AW7">
            <v>49150</v>
          </cell>
          <cell r="AX7">
            <v>11352</v>
          </cell>
        </row>
        <row r="8">
          <cell r="C8" t="str">
            <v>东阳市国美电器有限公司</v>
          </cell>
          <cell r="D8" t="str">
            <v>经销</v>
          </cell>
          <cell r="E8" t="str">
            <v>经销</v>
          </cell>
          <cell r="F8" t="str">
            <v>东阳市</v>
          </cell>
          <cell r="G8" t="str">
            <v>东阳市</v>
          </cell>
          <cell r="H8" t="str">
            <v>林青云</v>
          </cell>
          <cell r="I8">
            <v>20</v>
          </cell>
          <cell r="J8">
            <v>25000</v>
          </cell>
          <cell r="K8">
            <v>4298</v>
          </cell>
          <cell r="L8">
            <v>-0.82808</v>
          </cell>
        </row>
        <row r="8">
          <cell r="N8">
            <v>5186</v>
          </cell>
          <cell r="O8" t="e">
            <v>#DIV/0!</v>
          </cell>
          <cell r="P8">
            <v>25000</v>
          </cell>
          <cell r="Q8">
            <v>9484</v>
          </cell>
          <cell r="R8">
            <v>-0.62064</v>
          </cell>
        </row>
        <row r="8">
          <cell r="U8" t="e">
            <v>#DIV/0!</v>
          </cell>
          <cell r="V8">
            <v>25000</v>
          </cell>
          <cell r="W8">
            <v>9484</v>
          </cell>
          <cell r="X8">
            <v>-0.62064</v>
          </cell>
          <cell r="Y8">
            <v>800</v>
          </cell>
          <cell r="Z8">
            <v>2766</v>
          </cell>
          <cell r="AA8">
            <v>2.4575</v>
          </cell>
          <cell r="AB8">
            <v>25800</v>
          </cell>
          <cell r="AC8">
            <v>12250</v>
          </cell>
          <cell r="AD8">
            <v>-0.525193798449612</v>
          </cell>
          <cell r="AE8">
            <v>18078</v>
          </cell>
        </row>
        <row r="8">
          <cell r="AG8">
            <v>-1</v>
          </cell>
          <cell r="AH8">
            <v>43878</v>
          </cell>
          <cell r="AI8">
            <v>12250</v>
          </cell>
          <cell r="AJ8">
            <v>-0.720816810246593</v>
          </cell>
        </row>
        <row r="8">
          <cell r="AM8" t="e">
            <v>#DIV/0!</v>
          </cell>
          <cell r="AN8">
            <v>43878</v>
          </cell>
          <cell r="AO8">
            <v>12250</v>
          </cell>
          <cell r="AP8">
            <v>-0.720816810246593</v>
          </cell>
        </row>
        <row r="8">
          <cell r="AS8" t="e">
            <v>#DIV/0!</v>
          </cell>
          <cell r="AT8">
            <v>43878</v>
          </cell>
          <cell r="AU8">
            <v>12250</v>
          </cell>
          <cell r="AV8">
            <v>-0.720816810246593</v>
          </cell>
        </row>
        <row r="9">
          <cell r="C9" t="str">
            <v>兰溪市福祥家电经营部</v>
          </cell>
          <cell r="D9" t="str">
            <v>加盟</v>
          </cell>
          <cell r="E9" t="str">
            <v>加盟</v>
          </cell>
          <cell r="F9" t="str">
            <v>兰溪市</v>
          </cell>
          <cell r="G9" t="str">
            <v>兰溪市</v>
          </cell>
          <cell r="H9" t="str">
            <v>潘杏</v>
          </cell>
        </row>
        <row r="9">
          <cell r="J9">
            <v>149023</v>
          </cell>
        </row>
        <row r="9">
          <cell r="L9">
            <v>-1</v>
          </cell>
          <cell r="M9">
            <v>3015</v>
          </cell>
        </row>
        <row r="9">
          <cell r="O9">
            <v>-1</v>
          </cell>
          <cell r="P9">
            <v>152038</v>
          </cell>
          <cell r="Q9">
            <v>0</v>
          </cell>
          <cell r="R9">
            <v>-1</v>
          </cell>
          <cell r="S9">
            <v>19327</v>
          </cell>
        </row>
        <row r="9">
          <cell r="U9">
            <v>-1</v>
          </cell>
          <cell r="V9">
            <v>171365</v>
          </cell>
          <cell r="W9">
            <v>0</v>
          </cell>
          <cell r="X9">
            <v>-1</v>
          </cell>
          <cell r="Y9">
            <v>13493</v>
          </cell>
        </row>
        <row r="9">
          <cell r="AA9">
            <v>-1</v>
          </cell>
          <cell r="AB9">
            <v>184858</v>
          </cell>
          <cell r="AC9">
            <v>0</v>
          </cell>
          <cell r="AD9">
            <v>-1</v>
          </cell>
          <cell r="AE9">
            <v>36809</v>
          </cell>
        </row>
        <row r="9">
          <cell r="AG9">
            <v>-1</v>
          </cell>
          <cell r="AH9">
            <v>221667</v>
          </cell>
          <cell r="AI9">
            <v>0</v>
          </cell>
          <cell r="AJ9">
            <v>-1</v>
          </cell>
          <cell r="AK9">
            <v>34615</v>
          </cell>
        </row>
        <row r="9">
          <cell r="AM9">
            <v>-1</v>
          </cell>
          <cell r="AN9">
            <v>256282</v>
          </cell>
          <cell r="AO9">
            <v>0</v>
          </cell>
          <cell r="AP9">
            <v>-1</v>
          </cell>
          <cell r="AQ9">
            <v>58454</v>
          </cell>
        </row>
        <row r="9">
          <cell r="AS9">
            <v>-1</v>
          </cell>
          <cell r="AT9">
            <v>314736</v>
          </cell>
          <cell r="AU9">
            <v>0</v>
          </cell>
          <cell r="AV9">
            <v>-1</v>
          </cell>
          <cell r="AW9">
            <v>36959</v>
          </cell>
        </row>
        <row r="10">
          <cell r="C10" t="str">
            <v>金华龙腾建材市场专卖店</v>
          </cell>
          <cell r="D10" t="str">
            <v>直营</v>
          </cell>
          <cell r="E10" t="str">
            <v>直营</v>
          </cell>
          <cell r="F10" t="str">
            <v>金华市区</v>
          </cell>
          <cell r="G10" t="str">
            <v>婺城区</v>
          </cell>
          <cell r="H10" t="str">
            <v>姜卫</v>
          </cell>
          <cell r="I10">
            <v>200</v>
          </cell>
          <cell r="J10">
            <v>84544</v>
          </cell>
          <cell r="K10">
            <v>270657</v>
          </cell>
          <cell r="L10">
            <v>2.2013744322483</v>
          </cell>
          <cell r="M10">
            <v>15592</v>
          </cell>
          <cell r="N10">
            <v>114255</v>
          </cell>
          <cell r="O10">
            <v>6.32779630579785</v>
          </cell>
          <cell r="P10">
            <v>100136</v>
          </cell>
          <cell r="Q10">
            <v>384912</v>
          </cell>
          <cell r="R10">
            <v>2.84389230646321</v>
          </cell>
          <cell r="S10">
            <v>40421</v>
          </cell>
          <cell r="T10">
            <v>272412</v>
          </cell>
          <cell r="U10">
            <v>5.73936815021895</v>
          </cell>
          <cell r="V10">
            <v>140557</v>
          </cell>
          <cell r="W10">
            <v>657324</v>
          </cell>
          <cell r="X10">
            <v>3.67656537917002</v>
          </cell>
          <cell r="Y10">
            <v>95170</v>
          </cell>
          <cell r="Z10">
            <v>144687</v>
          </cell>
          <cell r="AA10">
            <v>0.520300514868131</v>
          </cell>
          <cell r="AB10">
            <v>235727</v>
          </cell>
          <cell r="AC10">
            <v>802011</v>
          </cell>
          <cell r="AD10">
            <v>2.40228739177099</v>
          </cell>
          <cell r="AE10">
            <v>66978</v>
          </cell>
          <cell r="AF10">
            <v>201219</v>
          </cell>
          <cell r="AG10">
            <v>2.00425512854967</v>
          </cell>
          <cell r="AH10">
            <v>302705</v>
          </cell>
          <cell r="AI10">
            <v>1003230</v>
          </cell>
          <cell r="AJ10">
            <v>2.31421681174741</v>
          </cell>
          <cell r="AK10">
            <v>187833</v>
          </cell>
          <cell r="AL10">
            <v>310376</v>
          </cell>
          <cell r="AM10">
            <v>0.652403997167697</v>
          </cell>
          <cell r="AN10">
            <v>490538</v>
          </cell>
          <cell r="AO10">
            <v>1313606</v>
          </cell>
          <cell r="AP10">
            <v>1.67788835931161</v>
          </cell>
          <cell r="AQ10">
            <v>88914</v>
          </cell>
          <cell r="AR10">
            <v>82249</v>
          </cell>
          <cell r="AS10">
            <v>-0.0749600737791574</v>
          </cell>
          <cell r="AT10">
            <v>579452</v>
          </cell>
          <cell r="AU10">
            <v>1395855</v>
          </cell>
          <cell r="AV10">
            <v>1.40892256821963</v>
          </cell>
          <cell r="AW10">
            <v>50005.4</v>
          </cell>
          <cell r="AX10">
            <v>82118</v>
          </cell>
        </row>
        <row r="11">
          <cell r="C11" t="str">
            <v>兰溪市小严家电经营部</v>
          </cell>
          <cell r="D11" t="str">
            <v>经销</v>
          </cell>
          <cell r="E11" t="str">
            <v>经销</v>
          </cell>
          <cell r="F11" t="str">
            <v>兰溪市</v>
          </cell>
          <cell r="G11" t="str">
            <v>兰溪市</v>
          </cell>
          <cell r="H11" t="str">
            <v>潘杏</v>
          </cell>
          <cell r="I11">
            <v>30</v>
          </cell>
          <cell r="J11">
            <v>30425</v>
          </cell>
          <cell r="K11">
            <v>21359</v>
          </cell>
          <cell r="L11">
            <v>-0.29797863599014</v>
          </cell>
          <cell r="M11">
            <v>10451</v>
          </cell>
          <cell r="N11">
            <v>8805</v>
          </cell>
          <cell r="O11">
            <v>-0.157496890249737</v>
          </cell>
          <cell r="P11">
            <v>40876</v>
          </cell>
          <cell r="Q11">
            <v>30164</v>
          </cell>
          <cell r="R11">
            <v>-0.262060867012428</v>
          </cell>
        </row>
        <row r="11">
          <cell r="T11">
            <v>3203</v>
          </cell>
          <cell r="U11" t="e">
            <v>#DIV/0!</v>
          </cell>
          <cell r="V11">
            <v>40876</v>
          </cell>
          <cell r="W11">
            <v>33367</v>
          </cell>
          <cell r="X11">
            <v>-0.183701927781583</v>
          </cell>
          <cell r="Y11">
            <v>7276</v>
          </cell>
          <cell r="Z11">
            <v>1479</v>
          </cell>
          <cell r="AA11">
            <v>-0.796728971962617</v>
          </cell>
          <cell r="AB11">
            <v>48152</v>
          </cell>
          <cell r="AC11">
            <v>34846</v>
          </cell>
          <cell r="AD11">
            <v>-0.276333277953148</v>
          </cell>
          <cell r="AE11">
            <v>21993</v>
          </cell>
        </row>
        <row r="11">
          <cell r="AG11">
            <v>-1</v>
          </cell>
          <cell r="AH11">
            <v>70145</v>
          </cell>
          <cell r="AI11">
            <v>34846</v>
          </cell>
          <cell r="AJ11">
            <v>-0.50322902558985</v>
          </cell>
        </row>
        <row r="11">
          <cell r="AM11" t="e">
            <v>#DIV/0!</v>
          </cell>
          <cell r="AN11">
            <v>70145</v>
          </cell>
          <cell r="AO11">
            <v>34846</v>
          </cell>
          <cell r="AP11">
            <v>-0.50322902558985</v>
          </cell>
          <cell r="AQ11">
            <v>12632</v>
          </cell>
        </row>
        <row r="11">
          <cell r="AS11">
            <v>-1</v>
          </cell>
          <cell r="AT11">
            <v>82777</v>
          </cell>
          <cell r="AU11">
            <v>34846</v>
          </cell>
          <cell r="AV11">
            <v>-0.579037655387366</v>
          </cell>
          <cell r="AW11">
            <v>15224</v>
          </cell>
        </row>
        <row r="12">
          <cell r="C12" t="str">
            <v>金华金蝶零售</v>
          </cell>
          <cell r="D12" t="str">
            <v>零售</v>
          </cell>
          <cell r="E12" t="str">
            <v>零售</v>
          </cell>
          <cell r="F12" t="str">
            <v>金华市区</v>
          </cell>
          <cell r="G12" t="str">
            <v>市区</v>
          </cell>
          <cell r="H12" t="str">
            <v>姜卫</v>
          </cell>
        </row>
        <row r="12">
          <cell r="J12">
            <v>3850</v>
          </cell>
          <cell r="K12">
            <v>4018</v>
          </cell>
          <cell r="L12">
            <v>0.0436363636363637</v>
          </cell>
        </row>
        <row r="12">
          <cell r="O12" t="e">
            <v>#DIV/0!</v>
          </cell>
          <cell r="P12">
            <v>3850</v>
          </cell>
          <cell r="Q12">
            <v>4018</v>
          </cell>
          <cell r="R12">
            <v>0.0436363636363637</v>
          </cell>
          <cell r="S12">
            <v>8800</v>
          </cell>
          <cell r="T12">
            <v>6295</v>
          </cell>
          <cell r="U12">
            <v>-0.284659090909091</v>
          </cell>
          <cell r="V12">
            <v>12650</v>
          </cell>
          <cell r="W12">
            <v>10313</v>
          </cell>
          <cell r="X12">
            <v>-0.184743083003953</v>
          </cell>
        </row>
        <row r="12">
          <cell r="Z12">
            <v>12000</v>
          </cell>
          <cell r="AA12" t="e">
            <v>#DIV/0!</v>
          </cell>
          <cell r="AB12">
            <v>12650</v>
          </cell>
          <cell r="AC12">
            <v>22313</v>
          </cell>
          <cell r="AD12">
            <v>0.763873517786561</v>
          </cell>
          <cell r="AE12">
            <v>1800</v>
          </cell>
        </row>
        <row r="12">
          <cell r="AG12">
            <v>-1</v>
          </cell>
          <cell r="AH12">
            <v>14450</v>
          </cell>
          <cell r="AI12">
            <v>22313</v>
          </cell>
          <cell r="AJ12">
            <v>0.544152249134948</v>
          </cell>
          <cell r="AK12">
            <v>10093</v>
          </cell>
          <cell r="AL12">
            <v>2502</v>
          </cell>
          <cell r="AM12">
            <v>-0.752105419597741</v>
          </cell>
          <cell r="AN12">
            <v>24543</v>
          </cell>
          <cell r="AO12">
            <v>24815</v>
          </cell>
          <cell r="AP12">
            <v>0.0110825897404556</v>
          </cell>
          <cell r="AQ12">
            <v>20900</v>
          </cell>
          <cell r="AR12">
            <v>3253</v>
          </cell>
          <cell r="AS12">
            <v>-0.844354066985646</v>
          </cell>
          <cell r="AT12">
            <v>45443</v>
          </cell>
          <cell r="AU12">
            <v>28068</v>
          </cell>
          <cell r="AV12">
            <v>-0.382347116167506</v>
          </cell>
          <cell r="AW12">
            <v>7922</v>
          </cell>
          <cell r="AX12">
            <v>4280</v>
          </cell>
        </row>
        <row r="13">
          <cell r="C13" t="str">
            <v>磐安县洪昌家电商场</v>
          </cell>
          <cell r="D13" t="str">
            <v>经销</v>
          </cell>
          <cell r="E13" t="str">
            <v>经销</v>
          </cell>
          <cell r="F13" t="str">
            <v>磐安县</v>
          </cell>
          <cell r="G13" t="str">
            <v>磐安县</v>
          </cell>
          <cell r="H13" t="str">
            <v>林青云</v>
          </cell>
        </row>
        <row r="13">
          <cell r="J13">
            <v>6649</v>
          </cell>
        </row>
        <row r="13">
          <cell r="L13">
            <v>-1</v>
          </cell>
        </row>
        <row r="13">
          <cell r="O13" t="e">
            <v>#DIV/0!</v>
          </cell>
          <cell r="P13">
            <v>6649</v>
          </cell>
          <cell r="Q13">
            <v>0</v>
          </cell>
          <cell r="R13">
            <v>-1</v>
          </cell>
        </row>
        <row r="13">
          <cell r="U13" t="e">
            <v>#DIV/0!</v>
          </cell>
          <cell r="V13">
            <v>6649</v>
          </cell>
          <cell r="W13">
            <v>0</v>
          </cell>
          <cell r="X13">
            <v>-1</v>
          </cell>
        </row>
        <row r="13">
          <cell r="AA13" t="e">
            <v>#DIV/0!</v>
          </cell>
          <cell r="AB13">
            <v>6649</v>
          </cell>
          <cell r="AC13">
            <v>0</v>
          </cell>
          <cell r="AD13">
            <v>-1</v>
          </cell>
        </row>
        <row r="13">
          <cell r="AG13" t="e">
            <v>#DIV/0!</v>
          </cell>
          <cell r="AH13">
            <v>6649</v>
          </cell>
          <cell r="AI13">
            <v>0</v>
          </cell>
          <cell r="AJ13">
            <v>-1</v>
          </cell>
        </row>
        <row r="13">
          <cell r="AM13" t="e">
            <v>#DIV/0!</v>
          </cell>
          <cell r="AN13">
            <v>6649</v>
          </cell>
          <cell r="AO13">
            <v>0</v>
          </cell>
          <cell r="AP13">
            <v>-1</v>
          </cell>
        </row>
        <row r="13">
          <cell r="AS13" t="e">
            <v>#DIV/0!</v>
          </cell>
          <cell r="AT13">
            <v>6649</v>
          </cell>
          <cell r="AU13">
            <v>0</v>
          </cell>
          <cell r="AV13">
            <v>-1</v>
          </cell>
        </row>
        <row r="14">
          <cell r="C14" t="str">
            <v>江山硕邦家电有限公司</v>
          </cell>
          <cell r="D14" t="str">
            <v>经销</v>
          </cell>
          <cell r="E14" t="str">
            <v>经销</v>
          </cell>
          <cell r="F14" t="str">
            <v>江山市</v>
          </cell>
          <cell r="G14" t="str">
            <v>江山市</v>
          </cell>
          <cell r="H14" t="str">
            <v>江雯</v>
          </cell>
        </row>
        <row r="14">
          <cell r="L14" t="e">
            <v>#DIV/0!</v>
          </cell>
          <cell r="M14">
            <v>19218</v>
          </cell>
        </row>
        <row r="14">
          <cell r="O14">
            <v>-1</v>
          </cell>
          <cell r="P14">
            <v>19218</v>
          </cell>
          <cell r="Q14">
            <v>0</v>
          </cell>
          <cell r="R14">
            <v>-1</v>
          </cell>
        </row>
        <row r="14">
          <cell r="U14" t="e">
            <v>#DIV/0!</v>
          </cell>
          <cell r="V14">
            <v>19218</v>
          </cell>
          <cell r="W14">
            <v>0</v>
          </cell>
          <cell r="X14">
            <v>-1</v>
          </cell>
        </row>
        <row r="14">
          <cell r="AA14" t="e">
            <v>#DIV/0!</v>
          </cell>
          <cell r="AB14">
            <v>19218</v>
          </cell>
          <cell r="AC14">
            <v>0</v>
          </cell>
          <cell r="AD14">
            <v>-1</v>
          </cell>
        </row>
        <row r="14">
          <cell r="AG14" t="e">
            <v>#DIV/0!</v>
          </cell>
          <cell r="AH14">
            <v>19218</v>
          </cell>
          <cell r="AI14">
            <v>0</v>
          </cell>
          <cell r="AJ14">
            <v>-1</v>
          </cell>
        </row>
        <row r="14">
          <cell r="AM14" t="e">
            <v>#DIV/0!</v>
          </cell>
          <cell r="AN14">
            <v>19218</v>
          </cell>
          <cell r="AO14">
            <v>0</v>
          </cell>
          <cell r="AP14">
            <v>-1</v>
          </cell>
        </row>
        <row r="14">
          <cell r="AS14" t="e">
            <v>#DIV/0!</v>
          </cell>
          <cell r="AT14">
            <v>19218</v>
          </cell>
          <cell r="AU14">
            <v>0</v>
          </cell>
          <cell r="AV14">
            <v>-1</v>
          </cell>
        </row>
        <row r="15">
          <cell r="C15" t="str">
            <v>义乌艾欧机电设备有限公司</v>
          </cell>
          <cell r="D15" t="str">
            <v>加盟</v>
          </cell>
          <cell r="E15" t="str">
            <v>加盟</v>
          </cell>
          <cell r="F15" t="str">
            <v>义乌市</v>
          </cell>
          <cell r="G15" t="str">
            <v>义乌市</v>
          </cell>
          <cell r="H15" t="str">
            <v>林青云</v>
          </cell>
        </row>
        <row r="15">
          <cell r="J15">
            <v>95208</v>
          </cell>
        </row>
        <row r="15">
          <cell r="L15">
            <v>-1</v>
          </cell>
          <cell r="M15">
            <v>23568</v>
          </cell>
        </row>
        <row r="15">
          <cell r="O15">
            <v>-1</v>
          </cell>
          <cell r="P15">
            <v>118776</v>
          </cell>
          <cell r="Q15">
            <v>0</v>
          </cell>
          <cell r="R15">
            <v>-1</v>
          </cell>
          <cell r="S15">
            <v>27546</v>
          </cell>
        </row>
        <row r="15">
          <cell r="U15">
            <v>-1</v>
          </cell>
          <cell r="V15">
            <v>146322</v>
          </cell>
          <cell r="W15">
            <v>0</v>
          </cell>
          <cell r="X15">
            <v>-1</v>
          </cell>
          <cell r="Y15">
            <v>48756</v>
          </cell>
        </row>
        <row r="15">
          <cell r="AA15">
            <v>-1</v>
          </cell>
          <cell r="AB15">
            <v>195078</v>
          </cell>
          <cell r="AC15">
            <v>0</v>
          </cell>
          <cell r="AD15">
            <v>-1</v>
          </cell>
          <cell r="AE15">
            <v>57457</v>
          </cell>
        </row>
        <row r="15">
          <cell r="AG15">
            <v>-1</v>
          </cell>
          <cell r="AH15">
            <v>252535</v>
          </cell>
          <cell r="AI15">
            <v>0</v>
          </cell>
          <cell r="AJ15">
            <v>-1</v>
          </cell>
          <cell r="AK15">
            <v>34276</v>
          </cell>
        </row>
        <row r="15">
          <cell r="AM15">
            <v>-1</v>
          </cell>
          <cell r="AN15">
            <v>286811</v>
          </cell>
          <cell r="AO15">
            <v>0</v>
          </cell>
          <cell r="AP15">
            <v>-1</v>
          </cell>
          <cell r="AQ15">
            <v>66284</v>
          </cell>
        </row>
        <row r="15">
          <cell r="AS15">
            <v>-1</v>
          </cell>
          <cell r="AT15">
            <v>353095</v>
          </cell>
          <cell r="AU15">
            <v>0</v>
          </cell>
          <cell r="AV15">
            <v>-1</v>
          </cell>
          <cell r="AW15">
            <v>21828</v>
          </cell>
        </row>
        <row r="16">
          <cell r="C16" t="str">
            <v>东阳市大中商贸有限公司</v>
          </cell>
          <cell r="D16" t="str">
            <v>经销</v>
          </cell>
          <cell r="E16" t="str">
            <v>经销</v>
          </cell>
          <cell r="F16" t="str">
            <v>东阳市</v>
          </cell>
          <cell r="G16" t="str">
            <v>东阳市</v>
          </cell>
          <cell r="H16" t="str">
            <v>林青云</v>
          </cell>
        </row>
        <row r="16">
          <cell r="J16">
            <v>1690</v>
          </cell>
        </row>
        <row r="16">
          <cell r="L16">
            <v>-1</v>
          </cell>
        </row>
        <row r="16">
          <cell r="O16" t="e">
            <v>#DIV/0!</v>
          </cell>
          <cell r="P16">
            <v>1690</v>
          </cell>
          <cell r="Q16">
            <v>0</v>
          </cell>
          <cell r="R16">
            <v>-1</v>
          </cell>
        </row>
        <row r="16">
          <cell r="U16" t="e">
            <v>#DIV/0!</v>
          </cell>
          <cell r="V16">
            <v>1690</v>
          </cell>
          <cell r="W16">
            <v>0</v>
          </cell>
          <cell r="X16">
            <v>-1</v>
          </cell>
          <cell r="Y16">
            <v>3375</v>
          </cell>
        </row>
        <row r="16">
          <cell r="AA16">
            <v>-1</v>
          </cell>
          <cell r="AB16">
            <v>5065</v>
          </cell>
          <cell r="AC16">
            <v>0</v>
          </cell>
          <cell r="AD16">
            <v>-1</v>
          </cell>
        </row>
        <row r="16">
          <cell r="AG16" t="e">
            <v>#DIV/0!</v>
          </cell>
          <cell r="AH16">
            <v>5065</v>
          </cell>
          <cell r="AI16">
            <v>0</v>
          </cell>
          <cell r="AJ16">
            <v>-1</v>
          </cell>
        </row>
        <row r="16">
          <cell r="AM16" t="e">
            <v>#DIV/0!</v>
          </cell>
          <cell r="AN16">
            <v>5065</v>
          </cell>
          <cell r="AO16">
            <v>0</v>
          </cell>
          <cell r="AP16">
            <v>-1</v>
          </cell>
        </row>
        <row r="16">
          <cell r="AS16" t="e">
            <v>#DIV/0!</v>
          </cell>
          <cell r="AT16">
            <v>5065</v>
          </cell>
          <cell r="AU16">
            <v>0</v>
          </cell>
          <cell r="AV16">
            <v>-1</v>
          </cell>
        </row>
        <row r="17">
          <cell r="C17" t="str">
            <v>金华市万普电器销售有限公司</v>
          </cell>
          <cell r="D17" t="str">
            <v>经销</v>
          </cell>
          <cell r="E17" t="str">
            <v>经销</v>
          </cell>
          <cell r="F17" t="str">
            <v>金华市区</v>
          </cell>
          <cell r="G17" t="str">
            <v>金东区</v>
          </cell>
          <cell r="H17" t="str">
            <v>潘杏</v>
          </cell>
          <cell r="I17">
            <v>30</v>
          </cell>
          <cell r="J17">
            <v>5412</v>
          </cell>
          <cell r="K17">
            <v>-8765</v>
          </cell>
          <cell r="L17">
            <v>-2.61954915003695</v>
          </cell>
          <cell r="M17">
            <v>729</v>
          </cell>
          <cell r="N17">
            <v>2310</v>
          </cell>
          <cell r="O17">
            <v>2.16872427983539</v>
          </cell>
          <cell r="P17">
            <v>6141</v>
          </cell>
          <cell r="Q17">
            <v>-6455</v>
          </cell>
          <cell r="R17">
            <v>-2.05113173750204</v>
          </cell>
          <cell r="S17">
            <v>20000</v>
          </cell>
          <cell r="T17">
            <v>5229</v>
          </cell>
          <cell r="U17">
            <v>-0.73855</v>
          </cell>
          <cell r="V17">
            <v>26141</v>
          </cell>
          <cell r="W17">
            <v>-1226</v>
          </cell>
          <cell r="X17">
            <v>-1.04689950652232</v>
          </cell>
        </row>
        <row r="17">
          <cell r="AA17" t="e">
            <v>#DIV/0!</v>
          </cell>
          <cell r="AB17">
            <v>26141</v>
          </cell>
          <cell r="AC17">
            <v>-1226</v>
          </cell>
          <cell r="AD17">
            <v>-1.04689950652232</v>
          </cell>
        </row>
        <row r="17">
          <cell r="AG17" t="e">
            <v>#DIV/0!</v>
          </cell>
          <cell r="AH17">
            <v>26141</v>
          </cell>
          <cell r="AI17">
            <v>-1226</v>
          </cell>
          <cell r="AJ17">
            <v>-1.04689950652232</v>
          </cell>
          <cell r="AK17">
            <v>47792</v>
          </cell>
          <cell r="AL17">
            <v>3242</v>
          </cell>
          <cell r="AM17">
            <v>-0.932164378975561</v>
          </cell>
          <cell r="AN17">
            <v>73933</v>
          </cell>
          <cell r="AO17">
            <v>2016</v>
          </cell>
          <cell r="AP17">
            <v>-0.972732068223932</v>
          </cell>
          <cell r="AQ17">
            <v>37572</v>
          </cell>
          <cell r="AR17">
            <v>1535</v>
          </cell>
          <cell r="AS17">
            <v>-0.959145108059193</v>
          </cell>
          <cell r="AT17">
            <v>111505</v>
          </cell>
          <cell r="AU17">
            <v>3551</v>
          </cell>
          <cell r="AV17">
            <v>-0.968153894444195</v>
          </cell>
        </row>
        <row r="18">
          <cell r="C18" t="str">
            <v>龙游博美电器有限公司</v>
          </cell>
          <cell r="D18" t="str">
            <v>经销</v>
          </cell>
          <cell r="E18" t="str">
            <v>经销</v>
          </cell>
          <cell r="F18" t="str">
            <v>龙游县</v>
          </cell>
          <cell r="G18" t="str">
            <v>龙游县</v>
          </cell>
          <cell r="H18" t="str">
            <v>江雯</v>
          </cell>
          <cell r="I18">
            <v>5</v>
          </cell>
        </row>
        <row r="18">
          <cell r="K18">
            <v>2310</v>
          </cell>
          <cell r="L18" t="e">
            <v>#DIV/0!</v>
          </cell>
        </row>
        <row r="18">
          <cell r="N18">
            <v>3302</v>
          </cell>
          <cell r="O18" t="e">
            <v>#DIV/0!</v>
          </cell>
          <cell r="P18">
            <v>0</v>
          </cell>
          <cell r="Q18">
            <v>5612</v>
          </cell>
          <cell r="R18" t="e">
            <v>#DIV/0!</v>
          </cell>
        </row>
        <row r="18">
          <cell r="U18" t="e">
            <v>#DIV/0!</v>
          </cell>
          <cell r="V18">
            <v>0</v>
          </cell>
          <cell r="W18">
            <v>5612</v>
          </cell>
          <cell r="X18" t="e">
            <v>#DIV/0!</v>
          </cell>
          <cell r="Y18">
            <v>2998</v>
          </cell>
        </row>
        <row r="18">
          <cell r="AA18">
            <v>-1</v>
          </cell>
          <cell r="AB18">
            <v>2998</v>
          </cell>
          <cell r="AC18">
            <v>5612</v>
          </cell>
          <cell r="AD18">
            <v>0.871914609739826</v>
          </cell>
        </row>
        <row r="18">
          <cell r="AG18" t="e">
            <v>#DIV/0!</v>
          </cell>
          <cell r="AH18">
            <v>2998</v>
          </cell>
          <cell r="AI18">
            <v>5612</v>
          </cell>
          <cell r="AJ18">
            <v>0.871914609739826</v>
          </cell>
        </row>
        <row r="18">
          <cell r="AM18" t="e">
            <v>#DIV/0!</v>
          </cell>
          <cell r="AN18">
            <v>2998</v>
          </cell>
          <cell r="AO18">
            <v>5612</v>
          </cell>
          <cell r="AP18">
            <v>0.871914609739826</v>
          </cell>
        </row>
        <row r="18">
          <cell r="AR18">
            <v>4354</v>
          </cell>
          <cell r="AS18" t="e">
            <v>#DIV/0!</v>
          </cell>
          <cell r="AT18">
            <v>2998</v>
          </cell>
          <cell r="AU18">
            <v>9966</v>
          </cell>
          <cell r="AV18">
            <v>2.32421614409606</v>
          </cell>
        </row>
        <row r="19">
          <cell r="C19" t="str">
            <v>衢州众冠电器有限公司</v>
          </cell>
          <cell r="D19" t="str">
            <v>经销</v>
          </cell>
          <cell r="E19" t="str">
            <v>经销</v>
          </cell>
          <cell r="F19" t="str">
            <v>常山县</v>
          </cell>
          <cell r="G19" t="str">
            <v>常山县</v>
          </cell>
          <cell r="H19" t="str">
            <v>江雯</v>
          </cell>
          <cell r="I19">
            <v>30</v>
          </cell>
        </row>
        <row r="19">
          <cell r="L19" t="e">
            <v>#DIV/0!</v>
          </cell>
        </row>
        <row r="19">
          <cell r="O19" t="e">
            <v>#DIV/0!</v>
          </cell>
          <cell r="P19">
            <v>0</v>
          </cell>
          <cell r="Q19">
            <v>0</v>
          </cell>
          <cell r="R19" t="e">
            <v>#DIV/0!</v>
          </cell>
        </row>
        <row r="19">
          <cell r="U19" t="e">
            <v>#DIV/0!</v>
          </cell>
          <cell r="V19">
            <v>0</v>
          </cell>
          <cell r="W19">
            <v>0</v>
          </cell>
          <cell r="X19" t="e">
            <v>#DIV/0!</v>
          </cell>
          <cell r="Y19">
            <v>20000</v>
          </cell>
        </row>
        <row r="19">
          <cell r="AA19">
            <v>-1</v>
          </cell>
          <cell r="AB19">
            <v>20000</v>
          </cell>
          <cell r="AC19">
            <v>0</v>
          </cell>
          <cell r="AD19">
            <v>-1</v>
          </cell>
        </row>
        <row r="19">
          <cell r="AG19" t="e">
            <v>#DIV/0!</v>
          </cell>
          <cell r="AH19">
            <v>20000</v>
          </cell>
          <cell r="AI19">
            <v>0</v>
          </cell>
          <cell r="AJ19">
            <v>-1</v>
          </cell>
        </row>
        <row r="19">
          <cell r="AM19" t="e">
            <v>#DIV/0!</v>
          </cell>
          <cell r="AN19">
            <v>20000</v>
          </cell>
          <cell r="AO19">
            <v>0</v>
          </cell>
          <cell r="AP19">
            <v>-1</v>
          </cell>
          <cell r="AQ19">
            <v>10000</v>
          </cell>
        </row>
        <row r="19">
          <cell r="AS19">
            <v>-1</v>
          </cell>
          <cell r="AT19">
            <v>30000</v>
          </cell>
          <cell r="AU19">
            <v>0</v>
          </cell>
          <cell r="AV19">
            <v>-1</v>
          </cell>
        </row>
        <row r="20">
          <cell r="C20" t="str">
            <v>金华市婺美电器有限公司</v>
          </cell>
          <cell r="D20" t="str">
            <v>经销</v>
          </cell>
          <cell r="E20" t="str">
            <v>经销</v>
          </cell>
          <cell r="F20" t="str">
            <v>金华市区</v>
          </cell>
          <cell r="G20" t="str">
            <v>婺城区</v>
          </cell>
          <cell r="H20" t="str">
            <v>潘杏</v>
          </cell>
          <cell r="I20">
            <v>10</v>
          </cell>
        </row>
        <row r="20">
          <cell r="K20">
            <v>840</v>
          </cell>
          <cell r="L20" t="e">
            <v>#DIV/0!</v>
          </cell>
        </row>
        <row r="20">
          <cell r="N20">
            <v>10504</v>
          </cell>
          <cell r="O20" t="e">
            <v>#DIV/0!</v>
          </cell>
          <cell r="P20">
            <v>0</v>
          </cell>
          <cell r="Q20">
            <v>11344</v>
          </cell>
          <cell r="R20" t="e">
            <v>#DIV/0!</v>
          </cell>
        </row>
        <row r="20">
          <cell r="T20">
            <v>3070</v>
          </cell>
          <cell r="U20" t="e">
            <v>#DIV/0!</v>
          </cell>
          <cell r="V20">
            <v>0</v>
          </cell>
          <cell r="W20">
            <v>14414</v>
          </cell>
          <cell r="X20" t="e">
            <v>#DIV/0!</v>
          </cell>
          <cell r="Y20">
            <v>1810</v>
          </cell>
        </row>
        <row r="20">
          <cell r="AA20">
            <v>-1</v>
          </cell>
          <cell r="AB20">
            <v>1810</v>
          </cell>
          <cell r="AC20">
            <v>14414</v>
          </cell>
          <cell r="AD20">
            <v>6.96353591160221</v>
          </cell>
          <cell r="AE20">
            <v>4787</v>
          </cell>
        </row>
        <row r="20">
          <cell r="AG20">
            <v>-1</v>
          </cell>
          <cell r="AH20">
            <v>6597</v>
          </cell>
          <cell r="AI20">
            <v>14414</v>
          </cell>
          <cell r="AJ20">
            <v>1.18493254509626</v>
          </cell>
          <cell r="AK20">
            <v>8454</v>
          </cell>
        </row>
        <row r="20">
          <cell r="AM20">
            <v>-1</v>
          </cell>
          <cell r="AN20">
            <v>15051</v>
          </cell>
          <cell r="AO20">
            <v>14414</v>
          </cell>
          <cell r="AP20">
            <v>-0.0423227692512126</v>
          </cell>
        </row>
        <row r="20">
          <cell r="AS20" t="e">
            <v>#DIV/0!</v>
          </cell>
          <cell r="AT20">
            <v>15051</v>
          </cell>
          <cell r="AU20">
            <v>14414</v>
          </cell>
          <cell r="AV20">
            <v>-0.0423227692512126</v>
          </cell>
          <cell r="AW20">
            <v>2987</v>
          </cell>
        </row>
        <row r="21">
          <cell r="C21" t="str">
            <v>兰溪市升美电器商行</v>
          </cell>
          <cell r="D21" t="str">
            <v>经销</v>
          </cell>
          <cell r="E21" t="str">
            <v>经销</v>
          </cell>
          <cell r="F21" t="str">
            <v>兰溪市</v>
          </cell>
          <cell r="G21" t="str">
            <v>兰溪市</v>
          </cell>
          <cell r="H21" t="str">
            <v>潘杏</v>
          </cell>
        </row>
        <row r="21">
          <cell r="L21" t="e">
            <v>#DIV/0!</v>
          </cell>
        </row>
        <row r="21">
          <cell r="O21" t="e">
            <v>#DIV/0!</v>
          </cell>
          <cell r="P21">
            <v>0</v>
          </cell>
          <cell r="Q21">
            <v>0</v>
          </cell>
          <cell r="R21" t="e">
            <v>#DIV/0!</v>
          </cell>
        </row>
        <row r="21">
          <cell r="U21" t="e">
            <v>#DIV/0!</v>
          </cell>
          <cell r="V21">
            <v>0</v>
          </cell>
          <cell r="W21">
            <v>0</v>
          </cell>
          <cell r="X21" t="e">
            <v>#DIV/0!</v>
          </cell>
        </row>
        <row r="21">
          <cell r="AA21" t="e">
            <v>#DIV/0!</v>
          </cell>
          <cell r="AB21">
            <v>0</v>
          </cell>
          <cell r="AC21">
            <v>0</v>
          </cell>
          <cell r="AD21" t="e">
            <v>#DIV/0!</v>
          </cell>
          <cell r="AE21">
            <v>30000</v>
          </cell>
        </row>
        <row r="21">
          <cell r="AG21">
            <v>-1</v>
          </cell>
          <cell r="AH21">
            <v>30000</v>
          </cell>
          <cell r="AI21">
            <v>0</v>
          </cell>
          <cell r="AJ21">
            <v>-1</v>
          </cell>
        </row>
        <row r="21">
          <cell r="AM21" t="e">
            <v>#DIV/0!</v>
          </cell>
          <cell r="AN21">
            <v>30000</v>
          </cell>
          <cell r="AO21">
            <v>0</v>
          </cell>
          <cell r="AP21">
            <v>-1</v>
          </cell>
        </row>
        <row r="21">
          <cell r="AS21" t="e">
            <v>#DIV/0!</v>
          </cell>
          <cell r="AT21">
            <v>30000</v>
          </cell>
          <cell r="AU21">
            <v>0</v>
          </cell>
          <cell r="AV21">
            <v>-1</v>
          </cell>
        </row>
        <row r="22">
          <cell r="C22" t="str">
            <v>杭州中博智能电器有限公司</v>
          </cell>
          <cell r="D22" t="str">
            <v>家装</v>
          </cell>
          <cell r="E22" t="str">
            <v>家装</v>
          </cell>
          <cell r="F22" t="str">
            <v>金华市区</v>
          </cell>
        </row>
        <row r="22">
          <cell r="H22" t="str">
            <v>潘杏</v>
          </cell>
        </row>
        <row r="22">
          <cell r="L22" t="e">
            <v>#DIV/0!</v>
          </cell>
        </row>
        <row r="22">
          <cell r="O22" t="e">
            <v>#DIV/0!</v>
          </cell>
          <cell r="P22">
            <v>0</v>
          </cell>
          <cell r="Q22">
            <v>0</v>
          </cell>
          <cell r="R22" t="e">
            <v>#DIV/0!</v>
          </cell>
        </row>
        <row r="22">
          <cell r="T22">
            <v>1732</v>
          </cell>
          <cell r="U22" t="e">
            <v>#DIV/0!</v>
          </cell>
          <cell r="V22">
            <v>0</v>
          </cell>
          <cell r="W22">
            <v>1732</v>
          </cell>
          <cell r="X22" t="e">
            <v>#DIV/0!</v>
          </cell>
        </row>
        <row r="22">
          <cell r="Z22">
            <v>2701</v>
          </cell>
          <cell r="AA22" t="e">
            <v>#DIV/0!</v>
          </cell>
          <cell r="AB22">
            <v>0</v>
          </cell>
          <cell r="AC22">
            <v>4433</v>
          </cell>
          <cell r="AD22" t="e">
            <v>#DIV/0!</v>
          </cell>
        </row>
        <row r="22">
          <cell r="AG22" t="e">
            <v>#DIV/0!</v>
          </cell>
          <cell r="AH22">
            <v>0</v>
          </cell>
          <cell r="AI22">
            <v>4433</v>
          </cell>
          <cell r="AJ22" t="e">
            <v>#DIV/0!</v>
          </cell>
        </row>
        <row r="22">
          <cell r="AM22" t="e">
            <v>#DIV/0!</v>
          </cell>
          <cell r="AN22">
            <v>0</v>
          </cell>
          <cell r="AO22">
            <v>4433</v>
          </cell>
          <cell r="AP22" t="e">
            <v>#DIV/0!</v>
          </cell>
        </row>
        <row r="22">
          <cell r="AS22" t="e">
            <v>#DIV/0!</v>
          </cell>
          <cell r="AT22">
            <v>0</v>
          </cell>
          <cell r="AU22">
            <v>4433</v>
          </cell>
          <cell r="AV22" t="e">
            <v>#DIV/0!</v>
          </cell>
          <cell r="AW22">
            <v>5806.24</v>
          </cell>
          <cell r="AX22">
            <v>433</v>
          </cell>
        </row>
        <row r="23">
          <cell r="C23" t="str">
            <v>苏宁易购集团股份有限公司苏宁采购中心</v>
          </cell>
          <cell r="D23" t="str">
            <v>经销</v>
          </cell>
          <cell r="E23" t="str">
            <v>经销</v>
          </cell>
          <cell r="F23" t="str">
            <v>金华市区</v>
          </cell>
        </row>
        <row r="23">
          <cell r="H23" t="str">
            <v>潘杏</v>
          </cell>
        </row>
        <row r="23">
          <cell r="L23" t="e">
            <v>#DIV/0!</v>
          </cell>
        </row>
        <row r="23">
          <cell r="N23">
            <v>12400.68</v>
          </cell>
          <cell r="O23" t="e">
            <v>#DIV/0!</v>
          </cell>
          <cell r="P23">
            <v>0</v>
          </cell>
          <cell r="Q23">
            <v>12400.68</v>
          </cell>
          <cell r="R23" t="e">
            <v>#DIV/0!</v>
          </cell>
        </row>
        <row r="23">
          <cell r="T23">
            <v>3939.44</v>
          </cell>
          <cell r="U23" t="e">
            <v>#DIV/0!</v>
          </cell>
          <cell r="V23">
            <v>0</v>
          </cell>
          <cell r="W23">
            <v>16340.12</v>
          </cell>
          <cell r="X23" t="e">
            <v>#DIV/0!</v>
          </cell>
        </row>
        <row r="23">
          <cell r="AA23" t="e">
            <v>#DIV/0!</v>
          </cell>
          <cell r="AB23">
            <v>0</v>
          </cell>
          <cell r="AC23">
            <v>16340.12</v>
          </cell>
          <cell r="AD23" t="e">
            <v>#DIV/0!</v>
          </cell>
        </row>
        <row r="23">
          <cell r="AG23" t="e">
            <v>#DIV/0!</v>
          </cell>
          <cell r="AH23">
            <v>0</v>
          </cell>
          <cell r="AI23">
            <v>16340.12</v>
          </cell>
          <cell r="AJ23" t="e">
            <v>#DIV/0!</v>
          </cell>
        </row>
        <row r="23">
          <cell r="AM23" t="e">
            <v>#DIV/0!</v>
          </cell>
          <cell r="AN23">
            <v>0</v>
          </cell>
          <cell r="AO23">
            <v>16340.12</v>
          </cell>
          <cell r="AP23" t="e">
            <v>#DIV/0!</v>
          </cell>
        </row>
        <row r="23">
          <cell r="AS23" t="e">
            <v>#DIV/0!</v>
          </cell>
          <cell r="AT23">
            <v>0</v>
          </cell>
          <cell r="AU23">
            <v>16340.12</v>
          </cell>
          <cell r="AV23" t="e">
            <v>#DIV/0!</v>
          </cell>
          <cell r="AW23">
            <v>662.33</v>
          </cell>
        </row>
        <row r="24">
          <cell r="C24" t="str">
            <v>衢州万恒电器有限公司</v>
          </cell>
          <cell r="D24" t="str">
            <v>经销</v>
          </cell>
          <cell r="E24" t="str">
            <v>经销</v>
          </cell>
          <cell r="F24" t="str">
            <v>衢州市区</v>
          </cell>
          <cell r="G24" t="str">
            <v>柯城区</v>
          </cell>
          <cell r="H24" t="str">
            <v>江雯</v>
          </cell>
        </row>
        <row r="24">
          <cell r="K24">
            <v>5688</v>
          </cell>
          <cell r="L24" t="e">
            <v>#DIV/0!</v>
          </cell>
        </row>
        <row r="24">
          <cell r="O24" t="e">
            <v>#DIV/0!</v>
          </cell>
          <cell r="P24">
            <v>0</v>
          </cell>
          <cell r="Q24">
            <v>5688</v>
          </cell>
          <cell r="R24" t="e">
            <v>#DIV/0!</v>
          </cell>
        </row>
        <row r="24">
          <cell r="T24">
            <v>2300</v>
          </cell>
          <cell r="U24" t="e">
            <v>#DIV/0!</v>
          </cell>
          <cell r="V24">
            <v>0</v>
          </cell>
          <cell r="W24">
            <v>7988</v>
          </cell>
          <cell r="X24" t="e">
            <v>#DIV/0!</v>
          </cell>
        </row>
        <row r="24">
          <cell r="AA24" t="e">
            <v>#DIV/0!</v>
          </cell>
          <cell r="AB24">
            <v>0</v>
          </cell>
          <cell r="AC24">
            <v>7988</v>
          </cell>
          <cell r="AD24" t="e">
            <v>#DIV/0!</v>
          </cell>
        </row>
        <row r="24">
          <cell r="AG24" t="e">
            <v>#DIV/0!</v>
          </cell>
          <cell r="AH24">
            <v>0</v>
          </cell>
          <cell r="AI24">
            <v>7988</v>
          </cell>
          <cell r="AJ24" t="e">
            <v>#DIV/0!</v>
          </cell>
        </row>
        <row r="24">
          <cell r="AM24" t="e">
            <v>#DIV/0!</v>
          </cell>
          <cell r="AN24">
            <v>0</v>
          </cell>
          <cell r="AO24">
            <v>7988</v>
          </cell>
          <cell r="AP24" t="e">
            <v>#DIV/0!</v>
          </cell>
        </row>
        <row r="24">
          <cell r="AS24" t="e">
            <v>#DIV/0!</v>
          </cell>
          <cell r="AT24">
            <v>0</v>
          </cell>
          <cell r="AU24">
            <v>7988</v>
          </cell>
          <cell r="AV24" t="e">
            <v>#DIV/0!</v>
          </cell>
        </row>
        <row r="25">
          <cell r="C25" t="str">
            <v>金华市汇诚电器有限公司</v>
          </cell>
          <cell r="D25" t="str">
            <v>经销</v>
          </cell>
          <cell r="E25" t="str">
            <v>经销</v>
          </cell>
          <cell r="F25" t="str">
            <v>金华市区</v>
          </cell>
          <cell r="G25" t="str">
            <v>金东区</v>
          </cell>
          <cell r="H25" t="str">
            <v>潘杏</v>
          </cell>
        </row>
        <row r="25">
          <cell r="L25" t="e">
            <v>#DIV/0!</v>
          </cell>
        </row>
        <row r="25">
          <cell r="O25" t="e">
            <v>#DIV/0!</v>
          </cell>
          <cell r="P25">
            <v>0</v>
          </cell>
          <cell r="Q25">
            <v>0</v>
          </cell>
          <cell r="R25" t="e">
            <v>#DIV/0!</v>
          </cell>
        </row>
        <row r="25">
          <cell r="U25" t="e">
            <v>#DIV/0!</v>
          </cell>
          <cell r="V25">
            <v>0</v>
          </cell>
          <cell r="W25">
            <v>0</v>
          </cell>
          <cell r="X25" t="e">
            <v>#DIV/0!</v>
          </cell>
        </row>
        <row r="25">
          <cell r="AA25" t="e">
            <v>#DIV/0!</v>
          </cell>
          <cell r="AB25">
            <v>0</v>
          </cell>
          <cell r="AC25">
            <v>0</v>
          </cell>
          <cell r="AD25" t="e">
            <v>#DIV/0!</v>
          </cell>
        </row>
        <row r="25">
          <cell r="AG25" t="e">
            <v>#DIV/0!</v>
          </cell>
          <cell r="AH25">
            <v>0</v>
          </cell>
          <cell r="AI25">
            <v>0</v>
          </cell>
          <cell r="AJ25" t="e">
            <v>#DIV/0!</v>
          </cell>
        </row>
        <row r="25">
          <cell r="AM25" t="e">
            <v>#DIV/0!</v>
          </cell>
          <cell r="AN25">
            <v>0</v>
          </cell>
          <cell r="AO25">
            <v>0</v>
          </cell>
          <cell r="AP25" t="e">
            <v>#DIV/0!</v>
          </cell>
        </row>
        <row r="25">
          <cell r="AS25" t="e">
            <v>#DIV/0!</v>
          </cell>
          <cell r="AT25">
            <v>0</v>
          </cell>
          <cell r="AU25">
            <v>0</v>
          </cell>
          <cell r="AV25" t="e">
            <v>#DIV/0!</v>
          </cell>
        </row>
        <row r="26">
          <cell r="C26" t="str">
            <v>兰溪市泽胜电器有限公司</v>
          </cell>
          <cell r="D26" t="str">
            <v>经销</v>
          </cell>
          <cell r="E26" t="str">
            <v>经销</v>
          </cell>
          <cell r="F26" t="str">
            <v>金华市区</v>
          </cell>
          <cell r="G26" t="str">
            <v>金东区</v>
          </cell>
          <cell r="H26" t="str">
            <v>潘杏</v>
          </cell>
        </row>
        <row r="26">
          <cell r="AF26">
            <v>10781</v>
          </cell>
          <cell r="AG26" t="e">
            <v>#DIV/0!</v>
          </cell>
          <cell r="AH26">
            <v>0</v>
          </cell>
          <cell r="AI26">
            <v>10781</v>
          </cell>
          <cell r="AJ26" t="e">
            <v>#DIV/0!</v>
          </cell>
        </row>
        <row r="26">
          <cell r="AL26">
            <v>11769</v>
          </cell>
          <cell r="AM26" t="e">
            <v>#DIV/0!</v>
          </cell>
          <cell r="AN26">
            <v>0</v>
          </cell>
          <cell r="AO26">
            <v>22550</v>
          </cell>
          <cell r="AP26" t="e">
            <v>#DIV/0!</v>
          </cell>
        </row>
        <row r="26">
          <cell r="AR26">
            <v>22469</v>
          </cell>
          <cell r="AS26" t="e">
            <v>#DIV/0!</v>
          </cell>
          <cell r="AT26">
            <v>0</v>
          </cell>
          <cell r="AU26">
            <v>45019</v>
          </cell>
          <cell r="AV26" t="e">
            <v>#DIV/0!</v>
          </cell>
        </row>
        <row r="26">
          <cell r="AX26">
            <v>2200</v>
          </cell>
        </row>
        <row r="27">
          <cell r="C27" t="str">
            <v>义乌国创空调设备有限公司</v>
          </cell>
          <cell r="D27" t="str">
            <v>经销</v>
          </cell>
          <cell r="E27" t="str">
            <v>经销</v>
          </cell>
          <cell r="F27" t="str">
            <v>义乌市</v>
          </cell>
        </row>
        <row r="27">
          <cell r="H27" t="str">
            <v>林青云</v>
          </cell>
          <cell r="I27">
            <v>10</v>
          </cell>
        </row>
        <row r="27">
          <cell r="AF27">
            <v>20000</v>
          </cell>
          <cell r="AG27" t="e">
            <v>#DIV/0!</v>
          </cell>
          <cell r="AH27">
            <v>0</v>
          </cell>
          <cell r="AI27">
            <v>20000</v>
          </cell>
          <cell r="AJ27" t="e">
            <v>#DIV/0!</v>
          </cell>
        </row>
        <row r="27">
          <cell r="AM27" t="e">
            <v>#DIV/0!</v>
          </cell>
          <cell r="AN27">
            <v>0</v>
          </cell>
          <cell r="AO27">
            <v>20000</v>
          </cell>
          <cell r="AP27" t="e">
            <v>#DIV/0!</v>
          </cell>
        </row>
        <row r="27">
          <cell r="AS27" t="e">
            <v>#DIV/0!</v>
          </cell>
          <cell r="AT27">
            <v>0</v>
          </cell>
          <cell r="AU27">
            <v>20000</v>
          </cell>
          <cell r="AV27" t="e">
            <v>#DIV/0!</v>
          </cell>
        </row>
        <row r="28">
          <cell r="C28" t="str">
            <v>永康立格暖通设备有限公司</v>
          </cell>
          <cell r="D28" t="str">
            <v>经销</v>
          </cell>
          <cell r="E28" t="str">
            <v>经销</v>
          </cell>
          <cell r="F28" t="str">
            <v>金华市区</v>
          </cell>
        </row>
        <row r="28">
          <cell r="H28" t="str">
            <v>潘杏</v>
          </cell>
          <cell r="I28">
            <v>10</v>
          </cell>
        </row>
        <row r="28">
          <cell r="K28">
            <v>4928</v>
          </cell>
          <cell r="L28" t="e">
            <v>#DIV/0!</v>
          </cell>
        </row>
        <row r="28">
          <cell r="O28" t="e">
            <v>#DIV/0!</v>
          </cell>
          <cell r="P28">
            <v>0</v>
          </cell>
          <cell r="Q28">
            <v>4928</v>
          </cell>
          <cell r="R28" t="e">
            <v>#DIV/0!</v>
          </cell>
        </row>
        <row r="28">
          <cell r="T28">
            <v>22339</v>
          </cell>
          <cell r="U28" t="e">
            <v>#DIV/0!</v>
          </cell>
          <cell r="V28">
            <v>0</v>
          </cell>
          <cell r="W28">
            <v>27267</v>
          </cell>
          <cell r="X28" t="e">
            <v>#DIV/0!</v>
          </cell>
        </row>
        <row r="28">
          <cell r="AA28" t="e">
            <v>#DIV/0!</v>
          </cell>
          <cell r="AB28">
            <v>0</v>
          </cell>
          <cell r="AC28">
            <v>27267</v>
          </cell>
          <cell r="AD28" t="e">
            <v>#DIV/0!</v>
          </cell>
        </row>
        <row r="28">
          <cell r="AG28" t="e">
            <v>#DIV/0!</v>
          </cell>
          <cell r="AH28">
            <v>0</v>
          </cell>
          <cell r="AI28">
            <v>27267</v>
          </cell>
          <cell r="AJ28" t="e">
            <v>#DIV/0!</v>
          </cell>
        </row>
        <row r="28">
          <cell r="AM28" t="e">
            <v>#DIV/0!</v>
          </cell>
          <cell r="AN28">
            <v>0</v>
          </cell>
          <cell r="AO28">
            <v>27267</v>
          </cell>
          <cell r="AP28" t="e">
            <v>#DIV/0!</v>
          </cell>
        </row>
        <row r="28">
          <cell r="AS28" t="e">
            <v>#DIV/0!</v>
          </cell>
          <cell r="AT28">
            <v>0</v>
          </cell>
          <cell r="AU28">
            <v>27267</v>
          </cell>
          <cell r="AV28" t="e">
            <v>#DIV/0!</v>
          </cell>
        </row>
        <row r="29">
          <cell r="C29" t="str">
            <v>金华一启家电有限公司</v>
          </cell>
          <cell r="D29" t="str">
            <v>经销</v>
          </cell>
          <cell r="E29" t="str">
            <v>经销</v>
          </cell>
          <cell r="F29" t="str">
            <v>金华市区</v>
          </cell>
        </row>
        <row r="29">
          <cell r="H29" t="str">
            <v>潘杏</v>
          </cell>
          <cell r="I29">
            <v>54</v>
          </cell>
        </row>
        <row r="29">
          <cell r="Z29">
            <v>150000</v>
          </cell>
          <cell r="AA29" t="e">
            <v>#DIV/0!</v>
          </cell>
          <cell r="AB29">
            <v>0</v>
          </cell>
          <cell r="AC29">
            <v>150000</v>
          </cell>
          <cell r="AD29" t="e">
            <v>#DIV/0!</v>
          </cell>
        </row>
        <row r="29">
          <cell r="AG29" t="e">
            <v>#DIV/0!</v>
          </cell>
          <cell r="AH29">
            <v>0</v>
          </cell>
          <cell r="AI29">
            <v>150000</v>
          </cell>
          <cell r="AJ29" t="e">
            <v>#DIV/0!</v>
          </cell>
        </row>
        <row r="29">
          <cell r="AM29" t="e">
            <v>#DIV/0!</v>
          </cell>
          <cell r="AN29">
            <v>0</v>
          </cell>
          <cell r="AO29">
            <v>150000</v>
          </cell>
          <cell r="AP29" t="e">
            <v>#DIV/0!</v>
          </cell>
        </row>
        <row r="29">
          <cell r="AS29" t="e">
            <v>#DIV/0!</v>
          </cell>
          <cell r="AT29">
            <v>0</v>
          </cell>
          <cell r="AU29">
            <v>150000</v>
          </cell>
          <cell r="AV29" t="e">
            <v>#DIV/0!</v>
          </cell>
        </row>
        <row r="30">
          <cell r="C30" t="str">
            <v>永康市荣浪家用电器有限公司</v>
          </cell>
          <cell r="D30" t="str">
            <v>经销</v>
          </cell>
          <cell r="E30" t="str">
            <v>经销</v>
          </cell>
          <cell r="F30" t="str">
            <v>金华市区</v>
          </cell>
        </row>
        <row r="30">
          <cell r="H30" t="str">
            <v>潘杏</v>
          </cell>
        </row>
        <row r="30">
          <cell r="AR30">
            <v>1918</v>
          </cell>
          <cell r="AS30" t="e">
            <v>#DIV/0!</v>
          </cell>
          <cell r="AT30">
            <v>0</v>
          </cell>
          <cell r="AU30">
            <v>1918</v>
          </cell>
          <cell r="AV30" t="e">
            <v>#DIV/0!</v>
          </cell>
        </row>
        <row r="30">
          <cell r="AX30">
            <v>868</v>
          </cell>
        </row>
        <row r="31">
          <cell r="C31" t="str">
            <v>合计</v>
          </cell>
        </row>
        <row r="31">
          <cell r="I31">
            <v>899</v>
          </cell>
          <cell r="J31">
            <v>1110866.71</v>
          </cell>
          <cell r="K31">
            <v>802311.19</v>
          </cell>
          <cell r="L31">
            <v>-0.277761064601531</v>
          </cell>
          <cell r="M31">
            <v>225264</v>
          </cell>
          <cell r="N31">
            <v>353390.48</v>
          </cell>
          <cell r="O31">
            <v>0.568783649406918</v>
          </cell>
          <cell r="P31">
            <v>1336130.71</v>
          </cell>
          <cell r="Q31">
            <v>1155701.67</v>
          </cell>
          <cell r="R31">
            <v>-0.135038464911865</v>
          </cell>
          <cell r="S31">
            <v>365888</v>
          </cell>
          <cell r="T31">
            <v>969353.65</v>
          </cell>
          <cell r="U31">
            <v>1.64931796068742</v>
          </cell>
          <cell r="V31">
            <v>1702018.71</v>
          </cell>
          <cell r="W31">
            <v>2125055.32</v>
          </cell>
          <cell r="X31">
            <v>0.248549917527052</v>
          </cell>
          <cell r="Y31">
            <v>648379.45</v>
          </cell>
          <cell r="Z31">
            <v>857787.1</v>
          </cell>
          <cell r="AA31">
            <v>0.322970831355004</v>
          </cell>
          <cell r="AB31">
            <v>2350398.16</v>
          </cell>
          <cell r="AC31">
            <v>2982842.42</v>
          </cell>
          <cell r="AD31">
            <v>0.269079626917339</v>
          </cell>
          <cell r="AE31">
            <v>639095.81</v>
          </cell>
          <cell r="AF31">
            <v>661714.03</v>
          </cell>
          <cell r="AG31">
            <v>0.0353909690004071</v>
          </cell>
          <cell r="AH31">
            <v>2989493.97</v>
          </cell>
          <cell r="AI31">
            <v>3644556.45</v>
          </cell>
          <cell r="AJ31">
            <v>0.219121525774478</v>
          </cell>
          <cell r="AK31">
            <v>677171.21</v>
          </cell>
          <cell r="AL31">
            <v>970845.98</v>
          </cell>
          <cell r="AM31">
            <v>0.43367875902462</v>
          </cell>
          <cell r="AN31">
            <v>3666665.18</v>
          </cell>
          <cell r="AO31">
            <v>4615402.43</v>
          </cell>
          <cell r="AP31">
            <v>0.258746627637269</v>
          </cell>
          <cell r="AQ31">
            <v>658308.08</v>
          </cell>
          <cell r="AR31">
            <v>383538.42</v>
          </cell>
          <cell r="AS31">
            <v>-0.417387646221812</v>
          </cell>
          <cell r="AT31">
            <v>4324973.26</v>
          </cell>
          <cell r="AU31">
            <v>4998940.85</v>
          </cell>
          <cell r="AV31">
            <v>0.155831620101161</v>
          </cell>
          <cell r="AW31">
            <v>452837.18</v>
          </cell>
          <cell r="AX31">
            <v>243092</v>
          </cell>
        </row>
      </sheetData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汇总1"/>
      <sheetName val="杭州"/>
      <sheetName val="金衢"/>
      <sheetName val="湖州"/>
      <sheetName val="嘉兴"/>
      <sheetName val="绍兴"/>
      <sheetName val="台州"/>
      <sheetName val="温丽"/>
      <sheetName val="壁挂炉电商"/>
      <sheetName val="12月"/>
      <sheetName val="全年"/>
      <sheetName val="汇总明细"/>
      <sheetName val="Sheet1"/>
    </sheetNames>
    <sheetDataSet>
      <sheetData sheetId="0"/>
      <sheetData sheetId="1">
        <row r="1">
          <cell r="F1" t="str">
            <v>1月</v>
          </cell>
        </row>
        <row r="1">
          <cell r="H1" t="str">
            <v>同比</v>
          </cell>
          <cell r="I1" t="str">
            <v>2月</v>
          </cell>
        </row>
        <row r="1">
          <cell r="K1" t="str">
            <v>同比</v>
          </cell>
          <cell r="L1" t="str">
            <v>1-2月</v>
          </cell>
        </row>
        <row r="1">
          <cell r="N1" t="str">
            <v>同比</v>
          </cell>
          <cell r="O1" t="str">
            <v>3月</v>
          </cell>
        </row>
        <row r="1">
          <cell r="Q1" t="str">
            <v>同比</v>
          </cell>
          <cell r="R1" t="str">
            <v>Q1</v>
          </cell>
        </row>
        <row r="1">
          <cell r="T1" t="str">
            <v>同比</v>
          </cell>
          <cell r="U1" t="str">
            <v>4月</v>
          </cell>
        </row>
        <row r="1">
          <cell r="W1" t="str">
            <v>同比</v>
          </cell>
          <cell r="X1" t="str">
            <v>1-4月</v>
          </cell>
        </row>
        <row r="1">
          <cell r="Z1" t="str">
            <v>同比</v>
          </cell>
          <cell r="AA1" t="str">
            <v>5月</v>
          </cell>
        </row>
        <row r="1">
          <cell r="AC1" t="str">
            <v>同比</v>
          </cell>
          <cell r="AD1" t="str">
            <v>1-5月</v>
          </cell>
        </row>
        <row r="1">
          <cell r="AF1" t="str">
            <v>同比</v>
          </cell>
          <cell r="AG1" t="str">
            <v>6月</v>
          </cell>
        </row>
        <row r="1">
          <cell r="AI1" t="str">
            <v>同比</v>
          </cell>
          <cell r="AJ1" t="str">
            <v>1-6月</v>
          </cell>
        </row>
        <row r="1">
          <cell r="AL1" t="str">
            <v>同比</v>
          </cell>
          <cell r="AM1" t="str">
            <v>7月</v>
          </cell>
        </row>
        <row r="1">
          <cell r="AO1" t="str">
            <v>同比</v>
          </cell>
          <cell r="AP1" t="str">
            <v>1-7月</v>
          </cell>
        </row>
        <row r="1">
          <cell r="AR1" t="str">
            <v>同比</v>
          </cell>
          <cell r="AS1" t="str">
            <v>8月</v>
          </cell>
        </row>
        <row r="1">
          <cell r="AU1" t="str">
            <v>同比</v>
          </cell>
          <cell r="AV1" t="str">
            <v>1-8月</v>
          </cell>
        </row>
        <row r="1">
          <cell r="AX1" t="str">
            <v>同比</v>
          </cell>
          <cell r="AY1" t="str">
            <v>9月</v>
          </cell>
        </row>
        <row r="1">
          <cell r="BA1" t="str">
            <v>同比</v>
          </cell>
          <cell r="BB1" t="str">
            <v>1-9月</v>
          </cell>
        </row>
        <row r="1">
          <cell r="BD1" t="str">
            <v>同比</v>
          </cell>
          <cell r="BE1" t="str">
            <v>10月</v>
          </cell>
        </row>
        <row r="1">
          <cell r="BG1" t="str">
            <v>同比</v>
          </cell>
          <cell r="BH1" t="str">
            <v>1-10月</v>
          </cell>
        </row>
        <row r="1">
          <cell r="BJ1" t="str">
            <v>同比</v>
          </cell>
          <cell r="BK1" t="str">
            <v>11月</v>
          </cell>
        </row>
        <row r="1">
          <cell r="BM1" t="str">
            <v>同比</v>
          </cell>
          <cell r="BN1" t="str">
            <v>1-11月</v>
          </cell>
        </row>
        <row r="1">
          <cell r="BP1" t="str">
            <v>同比</v>
          </cell>
          <cell r="BQ1" t="str">
            <v>12月</v>
          </cell>
        </row>
        <row r="2">
          <cell r="B2" t="str">
            <v>门店</v>
          </cell>
          <cell r="C2" t="str">
            <v>渠道</v>
          </cell>
          <cell r="D2" t="str">
            <v>市/区/县</v>
          </cell>
          <cell r="E2" t="str">
            <v>业务员</v>
          </cell>
          <cell r="F2" t="str">
            <v>2022年</v>
          </cell>
          <cell r="G2" t="str">
            <v>2023年</v>
          </cell>
        </row>
        <row r="2">
          <cell r="I2" t="str">
            <v>2022年</v>
          </cell>
          <cell r="J2" t="str">
            <v>2023年</v>
          </cell>
        </row>
        <row r="2">
          <cell r="L2" t="str">
            <v>2022年</v>
          </cell>
          <cell r="M2" t="str">
            <v>2023年</v>
          </cell>
        </row>
        <row r="2">
          <cell r="O2" t="str">
            <v>2022年</v>
          </cell>
          <cell r="P2" t="str">
            <v>2023年</v>
          </cell>
        </row>
        <row r="2">
          <cell r="R2" t="str">
            <v>2022年</v>
          </cell>
          <cell r="S2" t="str">
            <v>2023年</v>
          </cell>
        </row>
        <row r="2">
          <cell r="U2" t="str">
            <v>2022年</v>
          </cell>
          <cell r="V2" t="str">
            <v>2023年</v>
          </cell>
        </row>
        <row r="2">
          <cell r="X2" t="str">
            <v>2022年</v>
          </cell>
          <cell r="Y2" t="str">
            <v>2023年</v>
          </cell>
        </row>
        <row r="2">
          <cell r="AA2" t="str">
            <v>2022年</v>
          </cell>
          <cell r="AB2" t="str">
            <v>2023年</v>
          </cell>
        </row>
        <row r="2">
          <cell r="AD2" t="str">
            <v>2022年</v>
          </cell>
          <cell r="AE2" t="str">
            <v>2023年</v>
          </cell>
        </row>
        <row r="2">
          <cell r="AG2" t="str">
            <v>2022年</v>
          </cell>
          <cell r="AH2" t="str">
            <v>2023年</v>
          </cell>
        </row>
        <row r="2">
          <cell r="AJ2" t="str">
            <v>2022年</v>
          </cell>
          <cell r="AK2" t="str">
            <v>2023年</v>
          </cell>
        </row>
        <row r="2">
          <cell r="AM2" t="str">
            <v>2022年</v>
          </cell>
          <cell r="AN2" t="str">
            <v>2023年</v>
          </cell>
        </row>
        <row r="2">
          <cell r="AP2" t="str">
            <v>2022年</v>
          </cell>
          <cell r="AQ2" t="str">
            <v>2023年</v>
          </cell>
        </row>
        <row r="2">
          <cell r="AS2" t="str">
            <v>2022年</v>
          </cell>
          <cell r="AT2" t="str">
            <v>2023年</v>
          </cell>
        </row>
        <row r="2">
          <cell r="AV2" t="str">
            <v>2022年</v>
          </cell>
          <cell r="AW2" t="str">
            <v>2023年</v>
          </cell>
        </row>
        <row r="2">
          <cell r="AY2" t="str">
            <v>2022年</v>
          </cell>
          <cell r="AZ2" t="str">
            <v>2023年</v>
          </cell>
        </row>
        <row r="2">
          <cell r="BB2" t="str">
            <v>2022年</v>
          </cell>
          <cell r="BC2" t="str">
            <v>2023年</v>
          </cell>
        </row>
        <row r="2">
          <cell r="BE2" t="str">
            <v>2022年</v>
          </cell>
          <cell r="BF2" t="str">
            <v>2023年</v>
          </cell>
        </row>
        <row r="2">
          <cell r="BH2" t="str">
            <v>2022年</v>
          </cell>
          <cell r="BI2" t="str">
            <v>2023年</v>
          </cell>
        </row>
        <row r="2">
          <cell r="BK2" t="str">
            <v>2022年</v>
          </cell>
          <cell r="BL2" t="str">
            <v>2023年</v>
          </cell>
        </row>
        <row r="2">
          <cell r="BN2" t="str">
            <v>2022年</v>
          </cell>
          <cell r="BO2" t="str">
            <v>2023年</v>
          </cell>
        </row>
        <row r="2">
          <cell r="BQ2" t="str">
            <v>2022年</v>
          </cell>
          <cell r="BR2" t="str">
            <v>2023年</v>
          </cell>
        </row>
        <row r="3">
          <cell r="B3" t="str">
            <v>汇德隆</v>
          </cell>
          <cell r="C3" t="str">
            <v>经销</v>
          </cell>
          <cell r="D3" t="str">
            <v>萧山</v>
          </cell>
          <cell r="E3" t="str">
            <v>董培培</v>
          </cell>
          <cell r="F3">
            <v>120000</v>
          </cell>
          <cell r="G3">
            <v>250000</v>
          </cell>
          <cell r="H3">
            <v>1.08333333333333</v>
          </cell>
        </row>
        <row r="3">
          <cell r="J3">
            <v>130000</v>
          </cell>
          <cell r="K3" t="e">
            <v>#DIV/0!</v>
          </cell>
          <cell r="L3">
            <v>120000</v>
          </cell>
          <cell r="M3">
            <v>380000</v>
          </cell>
          <cell r="N3">
            <v>2.16666666666667</v>
          </cell>
          <cell r="O3">
            <v>210000</v>
          </cell>
          <cell r="P3">
            <v>100000</v>
          </cell>
          <cell r="Q3">
            <v>-0.523809523809524</v>
          </cell>
          <cell r="R3">
            <v>330000</v>
          </cell>
          <cell r="S3">
            <v>480000</v>
          </cell>
          <cell r="T3">
            <v>0.454545454545455</v>
          </cell>
          <cell r="U3">
            <v>688800</v>
          </cell>
          <cell r="V3">
            <v>350000</v>
          </cell>
          <cell r="W3">
            <v>-0.491869918699187</v>
          </cell>
          <cell r="X3">
            <v>1018800</v>
          </cell>
          <cell r="Y3">
            <v>830000</v>
          </cell>
          <cell r="Z3">
            <v>-0.185316058107578</v>
          </cell>
          <cell r="AA3">
            <v>560000</v>
          </cell>
          <cell r="AB3">
            <v>550000</v>
          </cell>
          <cell r="AC3">
            <v>-0.0178571428571429</v>
          </cell>
          <cell r="AD3">
            <v>1578800</v>
          </cell>
          <cell r="AE3">
            <v>1380000</v>
          </cell>
          <cell r="AF3">
            <v>-0.125918419052445</v>
          </cell>
          <cell r="AG3">
            <v>100000</v>
          </cell>
          <cell r="AH3">
            <v>283800</v>
          </cell>
          <cell r="AI3">
            <v>1.838</v>
          </cell>
          <cell r="AJ3">
            <v>1678800</v>
          </cell>
          <cell r="AK3">
            <v>1663800</v>
          </cell>
          <cell r="AL3">
            <v>-0.00893495353824159</v>
          </cell>
          <cell r="AM3">
            <v>180000</v>
          </cell>
          <cell r="AN3">
            <v>300000</v>
          </cell>
          <cell r="AO3">
            <v>0.666666666666667</v>
          </cell>
          <cell r="AP3">
            <v>1858800</v>
          </cell>
          <cell r="AQ3">
            <v>1963800</v>
          </cell>
          <cell r="AR3">
            <v>0.0564880568108457</v>
          </cell>
          <cell r="AS3">
            <v>175139.41</v>
          </cell>
          <cell r="AT3">
            <v>550000</v>
          </cell>
          <cell r="AU3">
            <v>2.14035544598443</v>
          </cell>
          <cell r="AV3">
            <v>2033939.41</v>
          </cell>
          <cell r="AW3">
            <v>2513800</v>
          </cell>
          <cell r="AX3">
            <v>0.235926688691282</v>
          </cell>
          <cell r="AY3">
            <v>1090000</v>
          </cell>
          <cell r="AZ3">
            <v>550000</v>
          </cell>
          <cell r="BA3">
            <v>-0.495412844036697</v>
          </cell>
          <cell r="BB3">
            <v>3123939.41</v>
          </cell>
          <cell r="BC3">
            <v>3063800</v>
          </cell>
          <cell r="BD3">
            <v>-0.0192511448229401</v>
          </cell>
          <cell r="BE3">
            <v>140000</v>
          </cell>
          <cell r="BF3">
            <v>285000</v>
          </cell>
          <cell r="BG3">
            <v>1.03571428571429</v>
          </cell>
          <cell r="BH3">
            <v>3263939.41</v>
          </cell>
          <cell r="BI3">
            <v>3348800</v>
          </cell>
          <cell r="BJ3">
            <v>0.0259994379001049</v>
          </cell>
          <cell r="BK3">
            <v>380000</v>
          </cell>
          <cell r="BL3">
            <v>762500</v>
          </cell>
          <cell r="BM3">
            <v>1.00657894736842</v>
          </cell>
          <cell r="BN3">
            <v>3643939.41</v>
          </cell>
          <cell r="BO3">
            <v>4111300</v>
          </cell>
          <cell r="BP3">
            <v>0.12825695968419</v>
          </cell>
        </row>
        <row r="3">
          <cell r="BR3">
            <v>510000</v>
          </cell>
        </row>
        <row r="4">
          <cell r="B4" t="str">
            <v>萧山汇德隆净水</v>
          </cell>
          <cell r="C4" t="str">
            <v>经销</v>
          </cell>
          <cell r="D4" t="str">
            <v>萧山</v>
          </cell>
          <cell r="E4" t="str">
            <v>董培培</v>
          </cell>
          <cell r="F4">
            <v>241633.45</v>
          </cell>
          <cell r="G4">
            <v>173281.75</v>
          </cell>
          <cell r="H4">
            <v>-0.282873501164677</v>
          </cell>
          <cell r="I4">
            <v>182179</v>
          </cell>
        </row>
        <row r="4">
          <cell r="K4">
            <v>-1</v>
          </cell>
          <cell r="L4">
            <v>423812.45</v>
          </cell>
          <cell r="M4">
            <v>173281.75</v>
          </cell>
          <cell r="N4">
            <v>-0.591135772438965</v>
          </cell>
        </row>
        <row r="4">
          <cell r="P4">
            <v>330711.2</v>
          </cell>
          <cell r="Q4" t="e">
            <v>#DIV/0!</v>
          </cell>
          <cell r="R4">
            <v>423812.45</v>
          </cell>
          <cell r="S4">
            <v>503992.95</v>
          </cell>
          <cell r="T4">
            <v>0.18918863756834</v>
          </cell>
          <cell r="U4">
            <v>120887.65</v>
          </cell>
          <cell r="V4">
            <v>43282.5</v>
          </cell>
          <cell r="W4">
            <v>-0.641960944728432</v>
          </cell>
          <cell r="X4">
            <v>544700.1</v>
          </cell>
          <cell r="Y4">
            <v>547275.45</v>
          </cell>
          <cell r="Z4">
            <v>0.0047280145533295</v>
          </cell>
          <cell r="AA4">
            <v>91167.95</v>
          </cell>
          <cell r="AB4">
            <v>76129.5</v>
          </cell>
          <cell r="AC4">
            <v>-0.164953253857304</v>
          </cell>
          <cell r="AD4">
            <v>635868.05</v>
          </cell>
          <cell r="AE4">
            <v>623404.95</v>
          </cell>
          <cell r="AF4">
            <v>-0.0196001355941692</v>
          </cell>
          <cell r="AG4">
            <v>184317.65</v>
          </cell>
          <cell r="AH4">
            <v>65477.25</v>
          </cell>
          <cell r="AI4">
            <v>-0.644758654420778</v>
          </cell>
          <cell r="AJ4">
            <v>820185.7</v>
          </cell>
          <cell r="AK4">
            <v>688882.2</v>
          </cell>
          <cell r="AL4">
            <v>-0.160089964992074</v>
          </cell>
          <cell r="AM4">
            <v>54445.5</v>
          </cell>
          <cell r="AN4">
            <v>123666.65</v>
          </cell>
          <cell r="AO4">
            <v>1.27138422826496</v>
          </cell>
          <cell r="AP4">
            <v>874631.2</v>
          </cell>
          <cell r="AQ4">
            <v>812548.85</v>
          </cell>
          <cell r="AR4">
            <v>-0.0709811746939738</v>
          </cell>
        </row>
        <row r="4">
          <cell r="AT4">
            <v>249473</v>
          </cell>
          <cell r="AU4" t="e">
            <v>#DIV/0!</v>
          </cell>
          <cell r="AV4">
            <v>874631.2</v>
          </cell>
          <cell r="AW4">
            <v>1062021.85</v>
          </cell>
          <cell r="AX4">
            <v>0.214251046612561</v>
          </cell>
          <cell r="AY4">
            <v>604922.4</v>
          </cell>
        </row>
        <row r="4">
          <cell r="BA4">
            <v>-1</v>
          </cell>
          <cell r="BB4">
            <v>1479553.6</v>
          </cell>
          <cell r="BC4">
            <v>1062021.85</v>
          </cell>
          <cell r="BD4">
            <v>-0.28220116527039</v>
          </cell>
          <cell r="BE4">
            <v>116850.7</v>
          </cell>
          <cell r="BF4">
            <v>37044.6</v>
          </cell>
          <cell r="BG4">
            <v>-0.68297494152795</v>
          </cell>
          <cell r="BH4">
            <v>1596404.3</v>
          </cell>
          <cell r="BI4">
            <v>1099066.45</v>
          </cell>
          <cell r="BJ4">
            <v>-0.311536275616396</v>
          </cell>
          <cell r="BK4">
            <v>105205</v>
          </cell>
          <cell r="BL4">
            <v>35187.45</v>
          </cell>
          <cell r="BM4">
            <v>-0.665534432774108</v>
          </cell>
          <cell r="BN4">
            <v>1701609.3</v>
          </cell>
          <cell r="BO4">
            <v>1134253.9</v>
          </cell>
          <cell r="BP4">
            <v>-0.333422836840396</v>
          </cell>
          <cell r="BQ4">
            <v>119222</v>
          </cell>
          <cell r="BR4">
            <v>138640.15</v>
          </cell>
        </row>
        <row r="5">
          <cell r="B5" t="str">
            <v>杭州兴达京昀电器有限公司</v>
          </cell>
          <cell r="C5" t="str">
            <v>经销</v>
          </cell>
          <cell r="D5" t="str">
            <v>余杭</v>
          </cell>
          <cell r="E5" t="str">
            <v>党营军</v>
          </cell>
          <cell r="F5">
            <v>200000</v>
          </cell>
          <cell r="G5">
            <v>100000</v>
          </cell>
          <cell r="H5">
            <v>-0.5</v>
          </cell>
          <cell r="I5">
            <v>100000</v>
          </cell>
          <cell r="J5">
            <v>100000</v>
          </cell>
          <cell r="K5">
            <v>0</v>
          </cell>
          <cell r="L5">
            <v>300000</v>
          </cell>
          <cell r="M5">
            <v>200000</v>
          </cell>
          <cell r="N5">
            <v>-0.333333333333333</v>
          </cell>
          <cell r="O5">
            <v>200000</v>
          </cell>
          <cell r="P5">
            <v>200000</v>
          </cell>
          <cell r="Q5">
            <v>0</v>
          </cell>
          <cell r="R5">
            <v>500000</v>
          </cell>
          <cell r="S5">
            <v>400000</v>
          </cell>
          <cell r="T5">
            <v>-0.2</v>
          </cell>
          <cell r="U5">
            <v>100000</v>
          </cell>
        </row>
        <row r="5">
          <cell r="W5">
            <v>-1</v>
          </cell>
          <cell r="X5">
            <v>600000</v>
          </cell>
          <cell r="Y5">
            <v>400000</v>
          </cell>
          <cell r="Z5">
            <v>-0.333333333333333</v>
          </cell>
          <cell r="AA5">
            <v>100000</v>
          </cell>
          <cell r="AB5">
            <v>100000</v>
          </cell>
          <cell r="AC5">
            <v>0</v>
          </cell>
          <cell r="AD5">
            <v>700000</v>
          </cell>
          <cell r="AE5">
            <v>500000</v>
          </cell>
          <cell r="AF5">
            <v>-0.285714285714286</v>
          </cell>
          <cell r="AG5">
            <v>100000</v>
          </cell>
          <cell r="AH5">
            <v>100000</v>
          </cell>
          <cell r="AI5">
            <v>0</v>
          </cell>
          <cell r="AJ5">
            <v>800000</v>
          </cell>
          <cell r="AK5">
            <v>600000</v>
          </cell>
          <cell r="AL5">
            <v>-0.25</v>
          </cell>
          <cell r="AM5">
            <v>100000</v>
          </cell>
          <cell r="AN5">
            <v>100000</v>
          </cell>
          <cell r="AO5">
            <v>0</v>
          </cell>
          <cell r="AP5">
            <v>900000</v>
          </cell>
          <cell r="AQ5">
            <v>700000</v>
          </cell>
          <cell r="AR5">
            <v>-0.222222222222222</v>
          </cell>
        </row>
        <row r="5">
          <cell r="AT5">
            <v>100000</v>
          </cell>
          <cell r="AU5" t="e">
            <v>#DIV/0!</v>
          </cell>
          <cell r="AV5">
            <v>900000</v>
          </cell>
          <cell r="AW5">
            <v>800000</v>
          </cell>
          <cell r="AX5">
            <v>-0.111111111111111</v>
          </cell>
          <cell r="AY5">
            <v>100000</v>
          </cell>
          <cell r="AZ5">
            <v>100000</v>
          </cell>
          <cell r="BA5">
            <v>0</v>
          </cell>
          <cell r="BB5">
            <v>1000000</v>
          </cell>
          <cell r="BC5">
            <v>900000</v>
          </cell>
          <cell r="BD5">
            <v>-0.1</v>
          </cell>
          <cell r="BE5">
            <v>100000</v>
          </cell>
          <cell r="BF5">
            <v>0</v>
          </cell>
          <cell r="BG5">
            <v>-1</v>
          </cell>
          <cell r="BH5">
            <v>1100000</v>
          </cell>
          <cell r="BI5">
            <v>900000</v>
          </cell>
          <cell r="BJ5">
            <v>-0.181818181818182</v>
          </cell>
          <cell r="BK5">
            <v>100000</v>
          </cell>
          <cell r="BL5">
            <v>200000</v>
          </cell>
          <cell r="BM5">
            <v>1</v>
          </cell>
          <cell r="BN5">
            <v>1200000</v>
          </cell>
          <cell r="BO5">
            <v>1100000</v>
          </cell>
          <cell r="BP5">
            <v>-0.0833333333333334</v>
          </cell>
          <cell r="BQ5">
            <v>100000</v>
          </cell>
          <cell r="BR5">
            <v>200000</v>
          </cell>
        </row>
        <row r="6">
          <cell r="B6" t="str">
            <v>杭州临安一栋电器有限公司</v>
          </cell>
          <cell r="C6" t="str">
            <v>加盟</v>
          </cell>
          <cell r="D6" t="str">
            <v>临安</v>
          </cell>
          <cell r="E6" t="str">
            <v>党营军</v>
          </cell>
          <cell r="F6">
            <v>195778</v>
          </cell>
          <cell r="G6">
            <v>176000</v>
          </cell>
          <cell r="H6">
            <v>-0.101022586807506</v>
          </cell>
          <cell r="I6">
            <v>83221</v>
          </cell>
          <cell r="J6">
            <v>156700</v>
          </cell>
          <cell r="K6">
            <v>0.882938200694536</v>
          </cell>
          <cell r="L6">
            <v>278999</v>
          </cell>
          <cell r="M6">
            <v>332700</v>
          </cell>
          <cell r="N6">
            <v>0.192477392392087</v>
          </cell>
          <cell r="O6">
            <v>260000</v>
          </cell>
          <cell r="P6">
            <v>256820</v>
          </cell>
          <cell r="Q6">
            <v>-0.0122307692307693</v>
          </cell>
          <cell r="R6">
            <v>538999</v>
          </cell>
          <cell r="S6">
            <v>589520</v>
          </cell>
          <cell r="T6">
            <v>0.0937311572006627</v>
          </cell>
          <cell r="U6">
            <v>76500</v>
          </cell>
          <cell r="V6">
            <v>10000</v>
          </cell>
          <cell r="W6">
            <v>-0.869281045751634</v>
          </cell>
          <cell r="X6">
            <v>615499</v>
          </cell>
          <cell r="Y6">
            <v>599520</v>
          </cell>
          <cell r="Z6">
            <v>-0.0259610494899261</v>
          </cell>
          <cell r="AA6">
            <v>158000</v>
          </cell>
          <cell r="AB6">
            <v>180600</v>
          </cell>
          <cell r="AC6">
            <v>0.143037974683544</v>
          </cell>
          <cell r="AD6">
            <v>773499</v>
          </cell>
          <cell r="AE6">
            <v>780120</v>
          </cell>
          <cell r="AF6">
            <v>0.00855980421435576</v>
          </cell>
          <cell r="AG6">
            <v>306680</v>
          </cell>
          <cell r="AH6">
            <v>99110.05</v>
          </cell>
          <cell r="AI6">
            <v>-0.676829105256293</v>
          </cell>
          <cell r="AJ6">
            <v>1080179</v>
          </cell>
          <cell r="AK6">
            <v>879230.05</v>
          </cell>
          <cell r="AL6">
            <v>-0.186033009343822</v>
          </cell>
          <cell r="AM6">
            <v>82000</v>
          </cell>
          <cell r="AN6">
            <v>197700</v>
          </cell>
          <cell r="AO6">
            <v>1.4109756097561</v>
          </cell>
          <cell r="AP6">
            <v>1162179</v>
          </cell>
          <cell r="AQ6">
            <v>1076930.05</v>
          </cell>
          <cell r="AR6">
            <v>-0.0733526849134255</v>
          </cell>
          <cell r="AS6">
            <v>99200</v>
          </cell>
          <cell r="AT6">
            <v>196500</v>
          </cell>
          <cell r="AU6">
            <v>0.980846774193548</v>
          </cell>
          <cell r="AV6">
            <v>1261379</v>
          </cell>
          <cell r="AW6">
            <v>1273430.05</v>
          </cell>
          <cell r="AX6">
            <v>0.00955386921773704</v>
          </cell>
          <cell r="AY6">
            <v>442500</v>
          </cell>
          <cell r="AZ6">
            <v>261000</v>
          </cell>
          <cell r="BA6">
            <v>-0.410169491525424</v>
          </cell>
          <cell r="BB6">
            <v>1703879</v>
          </cell>
          <cell r="BC6">
            <v>1534430.05</v>
          </cell>
          <cell r="BD6">
            <v>-0.0994489338738255</v>
          </cell>
        </row>
        <row r="6">
          <cell r="BF6">
            <v>50000</v>
          </cell>
          <cell r="BG6" t="e">
            <v>#DIV/0!</v>
          </cell>
          <cell r="BH6">
            <v>1703879</v>
          </cell>
          <cell r="BI6">
            <v>1584430.05</v>
          </cell>
          <cell r="BJ6">
            <v>-0.0701041271123125</v>
          </cell>
          <cell r="BK6">
            <v>155000</v>
          </cell>
          <cell r="BL6">
            <v>140000</v>
          </cell>
          <cell r="BM6">
            <v>-0.0967741935483871</v>
          </cell>
          <cell r="BN6">
            <v>1858879</v>
          </cell>
          <cell r="BO6">
            <v>1724430.05</v>
          </cell>
          <cell r="BP6">
            <v>-0.0723279729342254</v>
          </cell>
          <cell r="BQ6">
            <v>216100</v>
          </cell>
          <cell r="BR6">
            <v>144558</v>
          </cell>
        </row>
        <row r="7">
          <cell r="B7" t="str">
            <v>浙江晋安家电有限公司</v>
          </cell>
          <cell r="C7" t="str">
            <v>经销</v>
          </cell>
          <cell r="D7" t="str">
            <v>富阳</v>
          </cell>
          <cell r="E7" t="str">
            <v>党营军</v>
          </cell>
        </row>
        <row r="7">
          <cell r="H7" t="e">
            <v>#DIV/0!</v>
          </cell>
        </row>
        <row r="7">
          <cell r="K7" t="e">
            <v>#DIV/0!</v>
          </cell>
          <cell r="L7">
            <v>0</v>
          </cell>
          <cell r="M7">
            <v>0</v>
          </cell>
          <cell r="N7" t="e">
            <v>#DIV/0!</v>
          </cell>
          <cell r="O7">
            <v>50000</v>
          </cell>
        </row>
        <row r="7">
          <cell r="Q7">
            <v>-1</v>
          </cell>
          <cell r="R7">
            <v>50000</v>
          </cell>
          <cell r="S7">
            <v>0</v>
          </cell>
          <cell r="T7">
            <v>-1</v>
          </cell>
        </row>
        <row r="7">
          <cell r="W7" t="e">
            <v>#DIV/0!</v>
          </cell>
          <cell r="X7">
            <v>50000</v>
          </cell>
          <cell r="Y7">
            <v>0</v>
          </cell>
          <cell r="Z7">
            <v>-1</v>
          </cell>
        </row>
        <row r="7">
          <cell r="AC7" t="e">
            <v>#DIV/0!</v>
          </cell>
          <cell r="AD7">
            <v>50000</v>
          </cell>
          <cell r="AE7">
            <v>0</v>
          </cell>
          <cell r="AF7">
            <v>-1</v>
          </cell>
        </row>
        <row r="7">
          <cell r="AI7" t="e">
            <v>#DIV/0!</v>
          </cell>
          <cell r="AJ7">
            <v>50000</v>
          </cell>
          <cell r="AK7">
            <v>0</v>
          </cell>
          <cell r="AL7">
            <v>-1</v>
          </cell>
          <cell r="AM7">
            <v>50000</v>
          </cell>
        </row>
        <row r="7">
          <cell r="AO7">
            <v>-1</v>
          </cell>
          <cell r="AP7">
            <v>100000</v>
          </cell>
          <cell r="AQ7">
            <v>0</v>
          </cell>
          <cell r="AR7">
            <v>-1</v>
          </cell>
        </row>
        <row r="7">
          <cell r="AU7" t="e">
            <v>#DIV/0!</v>
          </cell>
          <cell r="AV7">
            <v>100000</v>
          </cell>
          <cell r="AW7">
            <v>0</v>
          </cell>
          <cell r="AX7">
            <v>-1</v>
          </cell>
        </row>
        <row r="7">
          <cell r="BA7" t="e">
            <v>#DIV/0!</v>
          </cell>
          <cell r="BB7">
            <v>100000</v>
          </cell>
          <cell r="BC7">
            <v>0</v>
          </cell>
          <cell r="BD7">
            <v>-1</v>
          </cell>
        </row>
        <row r="7">
          <cell r="BG7" t="e">
            <v>#DIV/0!</v>
          </cell>
          <cell r="BH7">
            <v>100000</v>
          </cell>
          <cell r="BI7">
            <v>0</v>
          </cell>
          <cell r="BJ7">
            <v>-1</v>
          </cell>
        </row>
        <row r="7">
          <cell r="BM7" t="e">
            <v>#DIV/0!</v>
          </cell>
          <cell r="BN7">
            <v>100000</v>
          </cell>
          <cell r="BO7">
            <v>0</v>
          </cell>
          <cell r="BP7">
            <v>-1</v>
          </cell>
        </row>
        <row r="8">
          <cell r="B8" t="str">
            <v>杭州宏信机电有限公司</v>
          </cell>
          <cell r="C8" t="str">
            <v>加盟</v>
          </cell>
          <cell r="D8" t="str">
            <v>富阳</v>
          </cell>
          <cell r="E8" t="str">
            <v>党营军</v>
          </cell>
          <cell r="F8">
            <v>120379</v>
          </cell>
          <cell r="G8">
            <v>149000</v>
          </cell>
          <cell r="H8">
            <v>0.237757416160626</v>
          </cell>
          <cell r="I8">
            <v>110000</v>
          </cell>
          <cell r="J8">
            <v>285400</v>
          </cell>
          <cell r="K8">
            <v>1.59454545454545</v>
          </cell>
          <cell r="L8">
            <v>230379</v>
          </cell>
          <cell r="M8">
            <v>434400</v>
          </cell>
          <cell r="N8">
            <v>0.885588530204576</v>
          </cell>
          <cell r="O8">
            <v>372000</v>
          </cell>
          <cell r="P8">
            <v>227000</v>
          </cell>
          <cell r="Q8">
            <v>-0.389784946236559</v>
          </cell>
          <cell r="R8">
            <v>602379</v>
          </cell>
          <cell r="S8">
            <v>661400</v>
          </cell>
          <cell r="T8">
            <v>0.097979843254828</v>
          </cell>
          <cell r="U8">
            <v>260000</v>
          </cell>
          <cell r="V8">
            <v>303536</v>
          </cell>
          <cell r="W8">
            <v>0.167446153846154</v>
          </cell>
          <cell r="X8">
            <v>862379</v>
          </cell>
          <cell r="Y8">
            <v>964936</v>
          </cell>
          <cell r="Z8">
            <v>0.11892335040626</v>
          </cell>
          <cell r="AA8">
            <v>255000</v>
          </cell>
          <cell r="AB8">
            <v>302400</v>
          </cell>
          <cell r="AC8">
            <v>0.185882352941176</v>
          </cell>
          <cell r="AD8">
            <v>1117379</v>
          </cell>
          <cell r="AE8">
            <v>1267336</v>
          </cell>
          <cell r="AF8">
            <v>0.134204240459146</v>
          </cell>
          <cell r="AG8">
            <v>179200</v>
          </cell>
          <cell r="AH8">
            <v>245030</v>
          </cell>
          <cell r="AI8">
            <v>0.367354910714286</v>
          </cell>
          <cell r="AJ8">
            <v>1296579</v>
          </cell>
          <cell r="AK8">
            <v>1512366</v>
          </cell>
          <cell r="AL8">
            <v>0.166427961581978</v>
          </cell>
          <cell r="AM8">
            <v>220000</v>
          </cell>
          <cell r="AN8">
            <v>166858</v>
          </cell>
          <cell r="AO8">
            <v>-0.241554545454545</v>
          </cell>
          <cell r="AP8">
            <v>1516579</v>
          </cell>
          <cell r="AQ8">
            <v>1679224</v>
          </cell>
          <cell r="AR8">
            <v>0.107244660515542</v>
          </cell>
          <cell r="AS8">
            <v>225000</v>
          </cell>
          <cell r="AT8">
            <v>197000</v>
          </cell>
          <cell r="AU8">
            <v>-0.124444444444444</v>
          </cell>
          <cell r="AV8">
            <v>1741579</v>
          </cell>
          <cell r="AW8">
            <v>1876224</v>
          </cell>
          <cell r="AX8">
            <v>0.0773120254665449</v>
          </cell>
          <cell r="AY8">
            <v>173000</v>
          </cell>
          <cell r="AZ8">
            <v>119000</v>
          </cell>
          <cell r="BA8">
            <v>-0.312138728323699</v>
          </cell>
          <cell r="BB8">
            <v>1914579</v>
          </cell>
          <cell r="BC8">
            <v>1995224</v>
          </cell>
          <cell r="BD8">
            <v>0.042121531678766</v>
          </cell>
          <cell r="BE8">
            <v>248000</v>
          </cell>
          <cell r="BF8">
            <v>175647</v>
          </cell>
          <cell r="BG8">
            <v>-0.291745967741936</v>
          </cell>
          <cell r="BH8">
            <v>2162579</v>
          </cell>
          <cell r="BI8">
            <v>2170871</v>
          </cell>
          <cell r="BJ8">
            <v>0.00383431079280805</v>
          </cell>
          <cell r="BK8">
            <v>257000</v>
          </cell>
          <cell r="BL8">
            <v>316300</v>
          </cell>
          <cell r="BM8">
            <v>0.230739299610895</v>
          </cell>
          <cell r="BN8">
            <v>2419579</v>
          </cell>
          <cell r="BO8">
            <v>2487171</v>
          </cell>
          <cell r="BP8">
            <v>0.0279354383551849</v>
          </cell>
          <cell r="BQ8">
            <v>186000</v>
          </cell>
          <cell r="BR8">
            <v>311518</v>
          </cell>
        </row>
        <row r="9">
          <cell r="B9" t="str">
            <v>桐庐佳尼特水处理设备有限公司</v>
          </cell>
          <cell r="C9" t="str">
            <v>加盟</v>
          </cell>
          <cell r="D9" t="str">
            <v>桐庐</v>
          </cell>
          <cell r="E9" t="str">
            <v>党营军</v>
          </cell>
          <cell r="F9">
            <v>175000</v>
          </cell>
          <cell r="G9">
            <v>101900</v>
          </cell>
          <cell r="H9">
            <v>-0.417714285714286</v>
          </cell>
          <cell r="I9">
            <v>115000</v>
          </cell>
          <cell r="J9">
            <v>160000</v>
          </cell>
          <cell r="K9">
            <v>0.391304347826087</v>
          </cell>
          <cell r="L9">
            <v>290000</v>
          </cell>
          <cell r="M9">
            <v>261900</v>
          </cell>
          <cell r="N9">
            <v>-0.0968965517241379</v>
          </cell>
          <cell r="O9">
            <v>160000</v>
          </cell>
          <cell r="P9">
            <v>281000</v>
          </cell>
          <cell r="Q9">
            <v>0.75625</v>
          </cell>
          <cell r="R9">
            <v>450000</v>
          </cell>
          <cell r="S9">
            <v>542900</v>
          </cell>
          <cell r="T9">
            <v>0.206444444444444</v>
          </cell>
          <cell r="U9">
            <v>40000</v>
          </cell>
        </row>
        <row r="9">
          <cell r="W9">
            <v>-1</v>
          </cell>
          <cell r="X9">
            <v>490000</v>
          </cell>
          <cell r="Y9">
            <v>542900</v>
          </cell>
          <cell r="Z9">
            <v>0.107959183673469</v>
          </cell>
          <cell r="AA9">
            <v>60000</v>
          </cell>
          <cell r="AB9">
            <v>30000</v>
          </cell>
          <cell r="AC9">
            <v>-0.5</v>
          </cell>
          <cell r="AD9">
            <v>550000</v>
          </cell>
          <cell r="AE9">
            <v>572900</v>
          </cell>
          <cell r="AF9">
            <v>0.0416363636363637</v>
          </cell>
          <cell r="AG9">
            <v>95000</v>
          </cell>
          <cell r="AH9">
            <v>88990</v>
          </cell>
          <cell r="AI9">
            <v>-0.0632631578947368</v>
          </cell>
          <cell r="AJ9">
            <v>645000</v>
          </cell>
          <cell r="AK9">
            <v>661890</v>
          </cell>
          <cell r="AL9">
            <v>0.0261860465116279</v>
          </cell>
          <cell r="AM9">
            <v>65000</v>
          </cell>
          <cell r="AN9">
            <v>125000</v>
          </cell>
          <cell r="AO9">
            <v>0.923076923076923</v>
          </cell>
          <cell r="AP9">
            <v>710000</v>
          </cell>
          <cell r="AQ9">
            <v>786890</v>
          </cell>
          <cell r="AR9">
            <v>0.108295774647887</v>
          </cell>
          <cell r="AS9">
            <v>60000</v>
          </cell>
          <cell r="AT9">
            <v>115000</v>
          </cell>
          <cell r="AU9">
            <v>0.916666666666667</v>
          </cell>
          <cell r="AV9">
            <v>770000</v>
          </cell>
          <cell r="AW9">
            <v>901890</v>
          </cell>
          <cell r="AX9">
            <v>0.171285714285714</v>
          </cell>
          <cell r="AY9">
            <v>125680</v>
          </cell>
          <cell r="AZ9">
            <v>141978.5</v>
          </cell>
          <cell r="BA9">
            <v>0.129682527052833</v>
          </cell>
          <cell r="BB9">
            <v>895680</v>
          </cell>
          <cell r="BC9">
            <v>1043868.5</v>
          </cell>
          <cell r="BD9">
            <v>0.165448039478385</v>
          </cell>
          <cell r="BE9">
            <v>110000</v>
          </cell>
          <cell r="BF9">
            <v>70000</v>
          </cell>
          <cell r="BG9">
            <v>-0.363636363636364</v>
          </cell>
          <cell r="BH9">
            <v>1005680</v>
          </cell>
          <cell r="BI9">
            <v>1113868.5</v>
          </cell>
          <cell r="BJ9">
            <v>0.107577460027046</v>
          </cell>
          <cell r="BK9">
            <v>110000</v>
          </cell>
          <cell r="BL9">
            <v>120000</v>
          </cell>
          <cell r="BM9">
            <v>0.0909090909090908</v>
          </cell>
          <cell r="BN9">
            <v>1115680</v>
          </cell>
          <cell r="BO9">
            <v>1233868.5</v>
          </cell>
          <cell r="BP9">
            <v>0.105934049189732</v>
          </cell>
          <cell r="BQ9">
            <v>150000</v>
          </cell>
          <cell r="BR9">
            <v>130000</v>
          </cell>
        </row>
        <row r="10">
          <cell r="B10" t="str">
            <v>杭州佳威信息科技有限公司</v>
          </cell>
          <cell r="C10" t="str">
            <v>加盟</v>
          </cell>
          <cell r="D10" t="str">
            <v>建德</v>
          </cell>
          <cell r="E10" t="str">
            <v>党营军</v>
          </cell>
          <cell r="F10">
            <v>60000</v>
          </cell>
          <cell r="G10">
            <v>10000</v>
          </cell>
          <cell r="H10">
            <v>-0.833333333333333</v>
          </cell>
          <cell r="I10">
            <v>30000</v>
          </cell>
          <cell r="J10">
            <v>20000</v>
          </cell>
          <cell r="K10">
            <v>-0.333333333333333</v>
          </cell>
          <cell r="L10">
            <v>90000</v>
          </cell>
          <cell r="M10">
            <v>30000</v>
          </cell>
          <cell r="N10">
            <v>-0.666666666666667</v>
          </cell>
          <cell r="O10">
            <v>60000</v>
          </cell>
          <cell r="P10">
            <v>10000</v>
          </cell>
          <cell r="Q10">
            <v>-0.833333333333333</v>
          </cell>
          <cell r="R10">
            <v>150000</v>
          </cell>
          <cell r="S10">
            <v>40000</v>
          </cell>
          <cell r="T10">
            <v>-0.733333333333333</v>
          </cell>
        </row>
        <row r="10">
          <cell r="V10">
            <v>30000</v>
          </cell>
          <cell r="W10" t="e">
            <v>#DIV/0!</v>
          </cell>
          <cell r="X10">
            <v>150000</v>
          </cell>
          <cell r="Y10">
            <v>70000</v>
          </cell>
          <cell r="Z10">
            <v>-0.533333333333333</v>
          </cell>
        </row>
        <row r="10">
          <cell r="AC10" t="e">
            <v>#DIV/0!</v>
          </cell>
          <cell r="AD10">
            <v>150000</v>
          </cell>
          <cell r="AE10">
            <v>70000</v>
          </cell>
          <cell r="AF10">
            <v>-0.533333333333333</v>
          </cell>
        </row>
        <row r="10">
          <cell r="AI10" t="e">
            <v>#DIV/0!</v>
          </cell>
          <cell r="AJ10">
            <v>150000</v>
          </cell>
          <cell r="AK10">
            <v>70000</v>
          </cell>
          <cell r="AL10">
            <v>-0.533333333333333</v>
          </cell>
          <cell r="AM10">
            <v>10000</v>
          </cell>
          <cell r="AN10">
            <v>10000</v>
          </cell>
          <cell r="AO10">
            <v>0</v>
          </cell>
          <cell r="AP10">
            <v>160000</v>
          </cell>
          <cell r="AQ10">
            <v>80000</v>
          </cell>
          <cell r="AR10">
            <v>-0.5</v>
          </cell>
          <cell r="AS10">
            <v>20000</v>
          </cell>
        </row>
        <row r="10">
          <cell r="AU10">
            <v>-1</v>
          </cell>
          <cell r="AV10">
            <v>180000</v>
          </cell>
          <cell r="AW10">
            <v>80000</v>
          </cell>
          <cell r="AX10">
            <v>-0.555555555555556</v>
          </cell>
          <cell r="AY10">
            <v>40000</v>
          </cell>
        </row>
        <row r="10">
          <cell r="BA10">
            <v>-1</v>
          </cell>
          <cell r="BB10">
            <v>220000</v>
          </cell>
          <cell r="BC10">
            <v>80000</v>
          </cell>
          <cell r="BD10">
            <v>-0.636363636363636</v>
          </cell>
          <cell r="BE10">
            <v>20000</v>
          </cell>
        </row>
        <row r="10">
          <cell r="BG10">
            <v>-1</v>
          </cell>
          <cell r="BH10">
            <v>240000</v>
          </cell>
          <cell r="BI10">
            <v>80000</v>
          </cell>
          <cell r="BJ10">
            <v>-0.666666666666667</v>
          </cell>
          <cell r="BK10">
            <v>20000</v>
          </cell>
          <cell r="BL10">
            <v>20000</v>
          </cell>
          <cell r="BM10">
            <v>0</v>
          </cell>
          <cell r="BN10">
            <v>260000</v>
          </cell>
          <cell r="BO10">
            <v>100000</v>
          </cell>
          <cell r="BP10">
            <v>-0.615384615384615</v>
          </cell>
        </row>
        <row r="11">
          <cell r="B11" t="str">
            <v>淳安县爱满屋家电商行</v>
          </cell>
          <cell r="C11" t="str">
            <v>加盟</v>
          </cell>
          <cell r="D11" t="str">
            <v>淳安</v>
          </cell>
          <cell r="E11" t="str">
            <v>党营军</v>
          </cell>
          <cell r="F11">
            <v>59065</v>
          </cell>
        </row>
        <row r="11">
          <cell r="H11">
            <v>-1</v>
          </cell>
          <cell r="I11">
            <v>16940</v>
          </cell>
          <cell r="J11">
            <v>40938</v>
          </cell>
          <cell r="K11">
            <v>1.41664698937426</v>
          </cell>
          <cell r="L11">
            <v>76005</v>
          </cell>
          <cell r="M11">
            <v>40938</v>
          </cell>
          <cell r="N11">
            <v>-0.461377540951253</v>
          </cell>
          <cell r="O11">
            <v>88855</v>
          </cell>
          <cell r="P11">
            <v>17009</v>
          </cell>
          <cell r="Q11">
            <v>-0.808575769512127</v>
          </cell>
          <cell r="R11">
            <v>164860</v>
          </cell>
          <cell r="S11">
            <v>57947</v>
          </cell>
          <cell r="T11">
            <v>-0.64850782482106</v>
          </cell>
          <cell r="U11">
            <v>8537</v>
          </cell>
          <cell r="V11">
            <v>22743</v>
          </cell>
          <cell r="W11">
            <v>1.66405060325641</v>
          </cell>
          <cell r="X11">
            <v>173397</v>
          </cell>
          <cell r="Y11">
            <v>80690</v>
          </cell>
          <cell r="Z11">
            <v>-0.534651695242709</v>
          </cell>
        </row>
        <row r="11">
          <cell r="AB11">
            <v>17555</v>
          </cell>
          <cell r="AC11" t="e">
            <v>#DIV/0!</v>
          </cell>
          <cell r="AD11">
            <v>173397</v>
          </cell>
          <cell r="AE11">
            <v>98245</v>
          </cell>
          <cell r="AF11">
            <v>-0.433410035929111</v>
          </cell>
          <cell r="AG11">
            <v>7696</v>
          </cell>
          <cell r="AH11">
            <v>41837</v>
          </cell>
          <cell r="AI11">
            <v>4.43620062370062</v>
          </cell>
          <cell r="AJ11">
            <v>181093</v>
          </cell>
          <cell r="AK11">
            <v>140082</v>
          </cell>
          <cell r="AL11">
            <v>-0.226463750669545</v>
          </cell>
          <cell r="AM11">
            <v>34993</v>
          </cell>
          <cell r="AN11">
            <v>29146</v>
          </cell>
          <cell r="AO11">
            <v>-0.167090560969337</v>
          </cell>
          <cell r="AP11">
            <v>216086</v>
          </cell>
          <cell r="AQ11">
            <v>169228</v>
          </cell>
          <cell r="AR11">
            <v>-0.216848847218237</v>
          </cell>
          <cell r="AS11">
            <v>21887</v>
          </cell>
          <cell r="AT11">
            <v>26349</v>
          </cell>
          <cell r="AU11">
            <v>0.203865308173802</v>
          </cell>
          <cell r="AV11">
            <v>237973</v>
          </cell>
          <cell r="AW11">
            <v>195577</v>
          </cell>
          <cell r="AX11">
            <v>-0.178154664604808</v>
          </cell>
          <cell r="AY11">
            <v>15054</v>
          </cell>
          <cell r="AZ11">
            <v>52577</v>
          </cell>
          <cell r="BA11">
            <v>2.49256011691245</v>
          </cell>
          <cell r="BB11">
            <v>253027</v>
          </cell>
          <cell r="BC11">
            <v>248154</v>
          </cell>
          <cell r="BD11">
            <v>-0.0192588142767373</v>
          </cell>
          <cell r="BE11">
            <v>31247</v>
          </cell>
          <cell r="BF11">
            <v>36858</v>
          </cell>
          <cell r="BG11">
            <v>0.17956923864691</v>
          </cell>
          <cell r="BH11">
            <v>284274</v>
          </cell>
          <cell r="BI11">
            <v>285012</v>
          </cell>
          <cell r="BJ11">
            <v>0.00259608687393142</v>
          </cell>
          <cell r="BK11">
            <v>24057</v>
          </cell>
          <cell r="BL11">
            <v>66599</v>
          </cell>
          <cell r="BM11">
            <v>1.76838342270441</v>
          </cell>
          <cell r="BN11">
            <v>308331</v>
          </cell>
          <cell r="BO11">
            <v>351611</v>
          </cell>
          <cell r="BP11">
            <v>0.140368629816658</v>
          </cell>
          <cell r="BQ11">
            <v>22561</v>
          </cell>
          <cell r="BR11">
            <v>59956</v>
          </cell>
        </row>
        <row r="12">
          <cell r="B12" t="str">
            <v>杭州吉丝特家电有限公司</v>
          </cell>
          <cell r="C12" t="str">
            <v>经销</v>
          </cell>
          <cell r="D12" t="str">
            <v>萧山</v>
          </cell>
          <cell r="E12" t="str">
            <v>党营军</v>
          </cell>
        </row>
        <row r="12">
          <cell r="H12" t="e">
            <v>#DIV/0!</v>
          </cell>
        </row>
        <row r="12">
          <cell r="K12" t="e">
            <v>#DIV/0!</v>
          </cell>
          <cell r="L12">
            <v>0</v>
          </cell>
          <cell r="M12">
            <v>0</v>
          </cell>
          <cell r="N12" t="e">
            <v>#DIV/0!</v>
          </cell>
        </row>
        <row r="12">
          <cell r="Q12" t="e">
            <v>#DIV/0!</v>
          </cell>
          <cell r="R12">
            <v>0</v>
          </cell>
          <cell r="S12">
            <v>0</v>
          </cell>
          <cell r="T12" t="e">
            <v>#DIV/0!</v>
          </cell>
        </row>
        <row r="12">
          <cell r="W12" t="e">
            <v>#DIV/0!</v>
          </cell>
          <cell r="X12">
            <v>0</v>
          </cell>
          <cell r="Y12">
            <v>0</v>
          </cell>
          <cell r="Z12" t="e">
            <v>#DIV/0!</v>
          </cell>
          <cell r="AA12">
            <v>5171.23</v>
          </cell>
        </row>
        <row r="12">
          <cell r="AC12">
            <v>-1</v>
          </cell>
          <cell r="AD12">
            <v>5171.23</v>
          </cell>
          <cell r="AE12">
            <v>0</v>
          </cell>
          <cell r="AF12">
            <v>-1</v>
          </cell>
        </row>
        <row r="12">
          <cell r="AI12" t="e">
            <v>#DIV/0!</v>
          </cell>
          <cell r="AJ12">
            <v>5171.23</v>
          </cell>
          <cell r="AK12">
            <v>0</v>
          </cell>
          <cell r="AL12">
            <v>-1</v>
          </cell>
        </row>
        <row r="12">
          <cell r="AO12" t="e">
            <v>#DIV/0!</v>
          </cell>
          <cell r="AP12">
            <v>5171.23</v>
          </cell>
          <cell r="AQ12">
            <v>0</v>
          </cell>
          <cell r="AR12">
            <v>-1</v>
          </cell>
        </row>
        <row r="12">
          <cell r="AU12" t="e">
            <v>#DIV/0!</v>
          </cell>
          <cell r="AV12">
            <v>5171.23</v>
          </cell>
          <cell r="AW12">
            <v>0</v>
          </cell>
          <cell r="AX12">
            <v>-1</v>
          </cell>
        </row>
        <row r="12">
          <cell r="BA12" t="e">
            <v>#DIV/0!</v>
          </cell>
          <cell r="BB12">
            <v>5171.23</v>
          </cell>
          <cell r="BC12">
            <v>0</v>
          </cell>
          <cell r="BD12">
            <v>-1</v>
          </cell>
        </row>
        <row r="12">
          <cell r="BG12" t="e">
            <v>#DIV/0!</v>
          </cell>
          <cell r="BH12">
            <v>5171.23</v>
          </cell>
          <cell r="BI12">
            <v>0</v>
          </cell>
          <cell r="BJ12">
            <v>-1</v>
          </cell>
        </row>
        <row r="12">
          <cell r="BM12" t="e">
            <v>#DIV/0!</v>
          </cell>
          <cell r="BN12">
            <v>5171.23</v>
          </cell>
          <cell r="BO12">
            <v>0</v>
          </cell>
          <cell r="BP12">
            <v>-1</v>
          </cell>
        </row>
        <row r="13">
          <cell r="B13" t="str">
            <v>杭州司亿博环境设备有限公司</v>
          </cell>
          <cell r="C13" t="str">
            <v>经销</v>
          </cell>
          <cell r="D13" t="str">
            <v>临平</v>
          </cell>
          <cell r="E13" t="str">
            <v>董培培</v>
          </cell>
        </row>
        <row r="13">
          <cell r="H13" t="e">
            <v>#DIV/0!</v>
          </cell>
          <cell r="I13">
            <v>15000</v>
          </cell>
          <cell r="J13">
            <v>10000</v>
          </cell>
          <cell r="K13">
            <v>-0.333333333333333</v>
          </cell>
          <cell r="L13">
            <v>15000</v>
          </cell>
          <cell r="M13">
            <v>10000</v>
          </cell>
          <cell r="N13">
            <v>-0.333333333333333</v>
          </cell>
        </row>
        <row r="13">
          <cell r="Q13" t="e">
            <v>#DIV/0!</v>
          </cell>
          <cell r="R13">
            <v>15000</v>
          </cell>
          <cell r="S13">
            <v>10000</v>
          </cell>
          <cell r="T13">
            <v>-0.333333333333333</v>
          </cell>
        </row>
        <row r="13">
          <cell r="V13">
            <v>1258</v>
          </cell>
          <cell r="W13" t="e">
            <v>#DIV/0!</v>
          </cell>
          <cell r="X13">
            <v>15000</v>
          </cell>
          <cell r="Y13">
            <v>11258</v>
          </cell>
          <cell r="Z13">
            <v>-0.249466666666667</v>
          </cell>
        </row>
        <row r="13">
          <cell r="AB13">
            <v>5820</v>
          </cell>
          <cell r="AC13" t="e">
            <v>#DIV/0!</v>
          </cell>
          <cell r="AD13">
            <v>15000</v>
          </cell>
          <cell r="AE13">
            <v>17078</v>
          </cell>
          <cell r="AF13">
            <v>0.138533333333333</v>
          </cell>
        </row>
        <row r="13">
          <cell r="AI13" t="e">
            <v>#DIV/0!</v>
          </cell>
          <cell r="AJ13">
            <v>15000</v>
          </cell>
          <cell r="AK13">
            <v>17078</v>
          </cell>
          <cell r="AL13">
            <v>0.138533333333333</v>
          </cell>
        </row>
        <row r="13">
          <cell r="AN13">
            <v>5000</v>
          </cell>
          <cell r="AO13" t="e">
            <v>#DIV/0!</v>
          </cell>
          <cell r="AP13">
            <v>15000</v>
          </cell>
          <cell r="AQ13">
            <v>22078</v>
          </cell>
          <cell r="AR13">
            <v>0.471866666666667</v>
          </cell>
        </row>
        <row r="13">
          <cell r="AT13">
            <v>3000</v>
          </cell>
          <cell r="AU13" t="e">
            <v>#DIV/0!</v>
          </cell>
          <cell r="AV13">
            <v>15000</v>
          </cell>
          <cell r="AW13">
            <v>25078</v>
          </cell>
          <cell r="AX13">
            <v>0.671866666666667</v>
          </cell>
          <cell r="AY13">
            <v>30000</v>
          </cell>
          <cell r="AZ13">
            <v>2045</v>
          </cell>
          <cell r="BA13">
            <v>-0.931833333333333</v>
          </cell>
          <cell r="BB13">
            <v>45000</v>
          </cell>
          <cell r="BC13">
            <v>27123</v>
          </cell>
          <cell r="BD13">
            <v>-0.397266666666667</v>
          </cell>
          <cell r="BE13">
            <v>10000</v>
          </cell>
          <cell r="BF13">
            <v>6410</v>
          </cell>
          <cell r="BG13">
            <v>-0.359</v>
          </cell>
          <cell r="BH13">
            <v>55000</v>
          </cell>
          <cell r="BI13">
            <v>33533</v>
          </cell>
          <cell r="BJ13">
            <v>-0.390309090909091</v>
          </cell>
          <cell r="BK13">
            <v>20000</v>
          </cell>
          <cell r="BL13">
            <v>16157</v>
          </cell>
          <cell r="BM13">
            <v>-0.19215</v>
          </cell>
          <cell r="BN13">
            <v>75000</v>
          </cell>
          <cell r="BO13">
            <v>49690</v>
          </cell>
          <cell r="BP13">
            <v>-0.337466666666667</v>
          </cell>
        </row>
        <row r="13">
          <cell r="BR13">
            <v>13268</v>
          </cell>
        </row>
        <row r="14">
          <cell r="B14" t="str">
            <v>淳安县千岛湖宏兴电器有限公司</v>
          </cell>
          <cell r="C14" t="str">
            <v>经销</v>
          </cell>
          <cell r="D14" t="str">
            <v>淳安</v>
          </cell>
          <cell r="E14" t="str">
            <v>党营军</v>
          </cell>
        </row>
        <row r="14">
          <cell r="H14" t="e">
            <v>#DIV/0!</v>
          </cell>
        </row>
        <row r="14">
          <cell r="K14" t="e">
            <v>#DIV/0!</v>
          </cell>
          <cell r="L14">
            <v>0</v>
          </cell>
          <cell r="M14">
            <v>0</v>
          </cell>
          <cell r="N14" t="e">
            <v>#DIV/0!</v>
          </cell>
          <cell r="O14">
            <v>14</v>
          </cell>
        </row>
        <row r="14">
          <cell r="Q14">
            <v>-1</v>
          </cell>
          <cell r="R14">
            <v>14</v>
          </cell>
          <cell r="S14">
            <v>0</v>
          </cell>
          <cell r="T14">
            <v>-1</v>
          </cell>
        </row>
        <row r="14">
          <cell r="W14" t="e">
            <v>#DIV/0!</v>
          </cell>
          <cell r="X14">
            <v>14</v>
          </cell>
          <cell r="Y14">
            <v>0</v>
          </cell>
          <cell r="Z14">
            <v>-1</v>
          </cell>
        </row>
        <row r="14">
          <cell r="AC14" t="e">
            <v>#DIV/0!</v>
          </cell>
          <cell r="AD14">
            <v>14</v>
          </cell>
          <cell r="AE14">
            <v>0</v>
          </cell>
          <cell r="AF14">
            <v>-1</v>
          </cell>
        </row>
        <row r="14">
          <cell r="AI14" t="e">
            <v>#DIV/0!</v>
          </cell>
          <cell r="AJ14">
            <v>14</v>
          </cell>
          <cell r="AK14">
            <v>0</v>
          </cell>
          <cell r="AL14">
            <v>-1</v>
          </cell>
        </row>
        <row r="14">
          <cell r="AO14" t="e">
            <v>#DIV/0!</v>
          </cell>
          <cell r="AP14">
            <v>14</v>
          </cell>
          <cell r="AQ14">
            <v>0</v>
          </cell>
          <cell r="AR14">
            <v>-1</v>
          </cell>
        </row>
        <row r="14">
          <cell r="AU14" t="e">
            <v>#DIV/0!</v>
          </cell>
          <cell r="AV14">
            <v>14</v>
          </cell>
          <cell r="AW14">
            <v>0</v>
          </cell>
          <cell r="AX14">
            <v>-1</v>
          </cell>
        </row>
        <row r="14">
          <cell r="BA14" t="e">
            <v>#DIV/0!</v>
          </cell>
          <cell r="BB14">
            <v>14</v>
          </cell>
          <cell r="BC14">
            <v>0</v>
          </cell>
          <cell r="BD14">
            <v>-1</v>
          </cell>
        </row>
        <row r="14">
          <cell r="BG14" t="e">
            <v>#DIV/0!</v>
          </cell>
          <cell r="BH14">
            <v>14</v>
          </cell>
          <cell r="BI14">
            <v>0</v>
          </cell>
          <cell r="BJ14">
            <v>-1</v>
          </cell>
        </row>
        <row r="14">
          <cell r="BM14" t="e">
            <v>#DIV/0!</v>
          </cell>
          <cell r="BN14">
            <v>14</v>
          </cell>
          <cell r="BO14">
            <v>0</v>
          </cell>
          <cell r="BP14">
            <v>-1</v>
          </cell>
        </row>
        <row r="15">
          <cell r="B15" t="str">
            <v>国美</v>
          </cell>
          <cell r="C15" t="str">
            <v>国美</v>
          </cell>
          <cell r="D15" t="str">
            <v>市区</v>
          </cell>
        </row>
        <row r="15">
          <cell r="F15">
            <v>700000</v>
          </cell>
        </row>
        <row r="15">
          <cell r="H15">
            <v>-1</v>
          </cell>
          <cell r="I15">
            <v>500000</v>
          </cell>
        </row>
        <row r="15">
          <cell r="K15">
            <v>-1</v>
          </cell>
          <cell r="L15">
            <v>1200000</v>
          </cell>
          <cell r="M15">
            <v>0</v>
          </cell>
          <cell r="N15">
            <v>-1</v>
          </cell>
          <cell r="O15">
            <v>500000</v>
          </cell>
        </row>
        <row r="15">
          <cell r="Q15">
            <v>-1</v>
          </cell>
          <cell r="R15">
            <v>1700000</v>
          </cell>
          <cell r="S15">
            <v>0</v>
          </cell>
          <cell r="T15">
            <v>-1</v>
          </cell>
          <cell r="U15">
            <v>1010600</v>
          </cell>
        </row>
        <row r="15">
          <cell r="W15">
            <v>-1</v>
          </cell>
          <cell r="X15">
            <v>2710600</v>
          </cell>
          <cell r="Y15">
            <v>0</v>
          </cell>
          <cell r="Z15">
            <v>-1</v>
          </cell>
        </row>
        <row r="15">
          <cell r="AC15" t="e">
            <v>#DIV/0!</v>
          </cell>
          <cell r="AD15">
            <v>2710600</v>
          </cell>
          <cell r="AE15">
            <v>0</v>
          </cell>
          <cell r="AF15">
            <v>-1</v>
          </cell>
          <cell r="AG15">
            <v>559062.69</v>
          </cell>
          <cell r="AH15">
            <v>178700</v>
          </cell>
          <cell r="AI15">
            <v>-0.680357850387047</v>
          </cell>
          <cell r="AJ15">
            <v>3269662.69</v>
          </cell>
          <cell r="AK15">
            <v>178700</v>
          </cell>
          <cell r="AL15">
            <v>-0.94534604424287</v>
          </cell>
          <cell r="AM15">
            <v>590179.39</v>
          </cell>
        </row>
        <row r="15">
          <cell r="AO15">
            <v>-1</v>
          </cell>
          <cell r="AP15">
            <v>3859842.08</v>
          </cell>
          <cell r="AQ15">
            <v>178700</v>
          </cell>
          <cell r="AR15">
            <v>-0.953702769103963</v>
          </cell>
          <cell r="AS15">
            <v>589913.2</v>
          </cell>
        </row>
        <row r="15">
          <cell r="AU15">
            <v>-1</v>
          </cell>
          <cell r="AV15">
            <v>4449755.28</v>
          </cell>
          <cell r="AW15">
            <v>178700</v>
          </cell>
          <cell r="AX15">
            <v>-0.959840488126799</v>
          </cell>
          <cell r="AY15">
            <v>326481.37</v>
          </cell>
        </row>
        <row r="15">
          <cell r="BA15">
            <v>-1</v>
          </cell>
          <cell r="BB15">
            <v>4776236.65</v>
          </cell>
          <cell r="BC15">
            <v>178700</v>
          </cell>
          <cell r="BD15">
            <v>-0.962585605970759</v>
          </cell>
          <cell r="BE15">
            <v>326552.78</v>
          </cell>
        </row>
        <row r="15">
          <cell r="BG15">
            <v>-1</v>
          </cell>
          <cell r="BH15">
            <v>5102789.43</v>
          </cell>
          <cell r="BI15">
            <v>178700</v>
          </cell>
          <cell r="BJ15">
            <v>-0.964979938433399</v>
          </cell>
          <cell r="BK15">
            <v>201813.11</v>
          </cell>
        </row>
        <row r="15">
          <cell r="BM15">
            <v>-1</v>
          </cell>
          <cell r="BN15">
            <v>5304602.54</v>
          </cell>
          <cell r="BO15">
            <v>178700</v>
          </cell>
          <cell r="BP15">
            <v>-0.966312273416813</v>
          </cell>
          <cell r="BQ15">
            <v>1026370</v>
          </cell>
          <cell r="BR15">
            <v>375496</v>
          </cell>
        </row>
        <row r="16">
          <cell r="B16" t="str">
            <v>五星</v>
          </cell>
          <cell r="C16" t="str">
            <v>五星</v>
          </cell>
          <cell r="D16" t="str">
            <v>市区</v>
          </cell>
          <cell r="E16" t="str">
            <v>董培培</v>
          </cell>
        </row>
        <row r="16">
          <cell r="G16">
            <v>185197.48</v>
          </cell>
          <cell r="H16" t="e">
            <v>#DIV/0!</v>
          </cell>
          <cell r="I16">
            <v>201482.75</v>
          </cell>
          <cell r="J16">
            <v>198062.94</v>
          </cell>
          <cell r="K16">
            <v>-0.0169732148285647</v>
          </cell>
          <cell r="L16">
            <v>201482.75</v>
          </cell>
          <cell r="M16">
            <v>383260.42</v>
          </cell>
          <cell r="N16">
            <v>0.902199667217169</v>
          </cell>
          <cell r="O16">
            <v>3232.75</v>
          </cell>
          <cell r="P16">
            <v>550590.57</v>
          </cell>
          <cell r="Q16">
            <v>169.316470497255</v>
          </cell>
          <cell r="R16">
            <v>204715.5</v>
          </cell>
          <cell r="S16">
            <v>933850.99</v>
          </cell>
          <cell r="T16">
            <v>3.56170143442973</v>
          </cell>
          <cell r="U16">
            <v>509377.76</v>
          </cell>
          <cell r="V16">
            <v>274478.54</v>
          </cell>
          <cell r="W16">
            <v>-0.461149344250915</v>
          </cell>
          <cell r="X16">
            <v>714093.26</v>
          </cell>
          <cell r="Y16">
            <v>1208329.53</v>
          </cell>
          <cell r="Z16">
            <v>0.692117259305878</v>
          </cell>
          <cell r="AA16">
            <v>443516.31</v>
          </cell>
          <cell r="AB16">
            <v>881876.29</v>
          </cell>
          <cell r="AC16">
            <v>0.98837397885097</v>
          </cell>
          <cell r="AD16">
            <v>1157609.57</v>
          </cell>
          <cell r="AE16">
            <v>2090205.82</v>
          </cell>
          <cell r="AF16">
            <v>0.805622443152401</v>
          </cell>
          <cell r="AG16">
            <v>203087.02</v>
          </cell>
          <cell r="AH16">
            <v>224190.67</v>
          </cell>
          <cell r="AI16">
            <v>0.103914322047761</v>
          </cell>
          <cell r="AJ16">
            <v>1360696.59</v>
          </cell>
          <cell r="AK16">
            <v>2314396.49</v>
          </cell>
          <cell r="AL16">
            <v>0.700890931166367</v>
          </cell>
          <cell r="AM16">
            <v>279586.77</v>
          </cell>
          <cell r="AN16">
            <v>15376.83</v>
          </cell>
          <cell r="AO16">
            <v>-0.945001582156409</v>
          </cell>
          <cell r="AP16">
            <v>1640283.36</v>
          </cell>
          <cell r="AQ16">
            <v>2329773.32</v>
          </cell>
          <cell r="AR16">
            <v>0.420348079370872</v>
          </cell>
          <cell r="AS16">
            <v>139748.03</v>
          </cell>
          <cell r="AT16">
            <v>85501.02</v>
          </cell>
          <cell r="AU16">
            <v>-0.388177278778098</v>
          </cell>
          <cell r="AV16">
            <v>1780031.39</v>
          </cell>
          <cell r="AW16">
            <v>2415274.34</v>
          </cell>
          <cell r="AX16">
            <v>0.356871768424264</v>
          </cell>
          <cell r="AY16">
            <v>196822.28</v>
          </cell>
          <cell r="AZ16">
            <v>114834.16</v>
          </cell>
          <cell r="BA16">
            <v>-0.416559141576858</v>
          </cell>
          <cell r="BB16">
            <v>1976853.67</v>
          </cell>
          <cell r="BC16">
            <v>2530108.5</v>
          </cell>
          <cell r="BD16">
            <v>0.279866354498561</v>
          </cell>
          <cell r="BE16">
            <v>534992.31</v>
          </cell>
          <cell r="BF16">
            <v>558302.07</v>
          </cell>
          <cell r="BG16">
            <v>0.0435702711315606</v>
          </cell>
          <cell r="BH16">
            <v>2511845.98</v>
          </cell>
          <cell r="BI16">
            <v>3088410.57</v>
          </cell>
          <cell r="BJ16">
            <v>0.229538194057583</v>
          </cell>
          <cell r="BK16">
            <v>280082.38</v>
          </cell>
          <cell r="BL16">
            <v>170963.09</v>
          </cell>
          <cell r="BM16">
            <v>-0.389597124960164</v>
          </cell>
          <cell r="BN16">
            <v>2791928.36</v>
          </cell>
          <cell r="BO16">
            <v>3259373.66</v>
          </cell>
          <cell r="BP16">
            <v>0.167427397743114</v>
          </cell>
          <cell r="BQ16">
            <v>415386.48</v>
          </cell>
          <cell r="BR16">
            <v>710496.38</v>
          </cell>
        </row>
        <row r="17">
          <cell r="B17" t="str">
            <v>浙江百诚家居科技有限公司</v>
          </cell>
          <cell r="C17" t="str">
            <v>经销</v>
          </cell>
          <cell r="D17" t="str">
            <v>滨江</v>
          </cell>
          <cell r="E17" t="str">
            <v>董培培</v>
          </cell>
          <cell r="F17">
            <v>3953.95</v>
          </cell>
          <cell r="G17">
            <v>6229.31</v>
          </cell>
          <cell r="H17">
            <v>0.575465041287826</v>
          </cell>
        </row>
        <row r="17">
          <cell r="K17" t="e">
            <v>#DIV/0!</v>
          </cell>
          <cell r="L17">
            <v>3953.95</v>
          </cell>
          <cell r="M17">
            <v>6229.31</v>
          </cell>
          <cell r="N17">
            <v>0.575465041287826</v>
          </cell>
        </row>
        <row r="17">
          <cell r="Q17" t="e">
            <v>#DIV/0!</v>
          </cell>
          <cell r="R17">
            <v>3953.95</v>
          </cell>
          <cell r="S17">
            <v>6229.31</v>
          </cell>
          <cell r="T17">
            <v>0.575465041287826</v>
          </cell>
          <cell r="U17">
            <v>2451.54</v>
          </cell>
        </row>
        <row r="17">
          <cell r="W17">
            <v>-1</v>
          </cell>
          <cell r="X17">
            <v>6405.49</v>
          </cell>
          <cell r="Y17">
            <v>6229.31</v>
          </cell>
          <cell r="Z17">
            <v>-0.0275045312692704</v>
          </cell>
          <cell r="AA17">
            <v>1634.36</v>
          </cell>
        </row>
        <row r="17">
          <cell r="AC17">
            <v>-1</v>
          </cell>
          <cell r="AD17">
            <v>8039.85</v>
          </cell>
          <cell r="AE17">
            <v>6229.31</v>
          </cell>
          <cell r="AF17">
            <v>-0.225195743701686</v>
          </cell>
        </row>
        <row r="17">
          <cell r="AI17" t="e">
            <v>#DIV/0!</v>
          </cell>
          <cell r="AJ17">
            <v>8039.85</v>
          </cell>
          <cell r="AK17">
            <v>6229.31</v>
          </cell>
          <cell r="AL17">
            <v>-0.225195743701686</v>
          </cell>
        </row>
        <row r="17">
          <cell r="AO17" t="e">
            <v>#DIV/0!</v>
          </cell>
          <cell r="AP17">
            <v>8039.85</v>
          </cell>
          <cell r="AQ17">
            <v>6229.31</v>
          </cell>
          <cell r="AR17">
            <v>-0.225195743701686</v>
          </cell>
        </row>
        <row r="17">
          <cell r="AU17" t="e">
            <v>#DIV/0!</v>
          </cell>
          <cell r="AV17">
            <v>8039.85</v>
          </cell>
          <cell r="AW17">
            <v>6229.31</v>
          </cell>
          <cell r="AX17">
            <v>-0.225195743701686</v>
          </cell>
        </row>
        <row r="17">
          <cell r="BA17" t="e">
            <v>#DIV/0!</v>
          </cell>
          <cell r="BB17">
            <v>8039.85</v>
          </cell>
          <cell r="BC17">
            <v>6229.31</v>
          </cell>
          <cell r="BD17">
            <v>-0.225195743701686</v>
          </cell>
        </row>
        <row r="17">
          <cell r="BG17" t="e">
            <v>#DIV/0!</v>
          </cell>
          <cell r="BH17">
            <v>8039.85</v>
          </cell>
          <cell r="BI17">
            <v>6229.31</v>
          </cell>
          <cell r="BJ17">
            <v>-0.225195743701686</v>
          </cell>
        </row>
        <row r="17">
          <cell r="BM17" t="e">
            <v>#DIV/0!</v>
          </cell>
          <cell r="BN17">
            <v>8039.85</v>
          </cell>
          <cell r="BO17">
            <v>6229.31</v>
          </cell>
          <cell r="BP17">
            <v>-0.225195743701686</v>
          </cell>
        </row>
        <row r="18">
          <cell r="B18" t="str">
            <v>杭州临平江南家居专卖店</v>
          </cell>
          <cell r="C18" t="str">
            <v>直营</v>
          </cell>
          <cell r="D18" t="str">
            <v>临平</v>
          </cell>
          <cell r="E18" t="str">
            <v>专卖店</v>
          </cell>
          <cell r="F18">
            <v>81540</v>
          </cell>
          <cell r="G18">
            <v>29179</v>
          </cell>
          <cell r="H18">
            <v>-0.64215109148884</v>
          </cell>
          <cell r="I18">
            <v>101587</v>
          </cell>
          <cell r="J18">
            <v>111337</v>
          </cell>
          <cell r="K18">
            <v>0.0959768474312659</v>
          </cell>
          <cell r="L18">
            <v>183127</v>
          </cell>
          <cell r="M18">
            <v>140516</v>
          </cell>
          <cell r="N18">
            <v>-0.232685513332278</v>
          </cell>
          <cell r="O18">
            <v>267694</v>
          </cell>
          <cell r="P18">
            <v>74565</v>
          </cell>
          <cell r="Q18">
            <v>-0.721454347127691</v>
          </cell>
          <cell r="R18">
            <v>450821</v>
          </cell>
          <cell r="S18">
            <v>215081</v>
          </cell>
          <cell r="T18">
            <v>-0.522912641602765</v>
          </cell>
          <cell r="U18">
            <v>173773</v>
          </cell>
          <cell r="V18">
            <v>93352</v>
          </cell>
          <cell r="W18">
            <v>-0.462793414396943</v>
          </cell>
          <cell r="X18">
            <v>624594</v>
          </cell>
          <cell r="Y18">
            <v>308433</v>
          </cell>
          <cell r="Z18">
            <v>-0.506186418697586</v>
          </cell>
          <cell r="AA18">
            <v>163688</v>
          </cell>
          <cell r="AB18">
            <v>55599</v>
          </cell>
          <cell r="AC18">
            <v>-0.660335516348175</v>
          </cell>
          <cell r="AD18">
            <v>788282</v>
          </cell>
          <cell r="AE18">
            <v>364032</v>
          </cell>
          <cell r="AF18">
            <v>-0.538195721835587</v>
          </cell>
          <cell r="AG18">
            <v>430352</v>
          </cell>
          <cell r="AH18">
            <v>140940</v>
          </cell>
          <cell r="AI18">
            <v>-0.672500650630182</v>
          </cell>
          <cell r="AJ18">
            <v>1218634</v>
          </cell>
          <cell r="AK18">
            <v>504972</v>
          </cell>
          <cell r="AL18">
            <v>-0.585624559958117</v>
          </cell>
          <cell r="AM18">
            <v>215519</v>
          </cell>
          <cell r="AN18">
            <v>93297</v>
          </cell>
          <cell r="AO18">
            <v>-0.567105452419508</v>
          </cell>
          <cell r="AP18">
            <v>1434153</v>
          </cell>
          <cell r="AQ18">
            <v>598269</v>
          </cell>
          <cell r="AR18">
            <v>-0.582841579664094</v>
          </cell>
          <cell r="AS18">
            <v>236224</v>
          </cell>
          <cell r="AT18">
            <v>63000</v>
          </cell>
          <cell r="AU18">
            <v>-0.733303982660526</v>
          </cell>
          <cell r="AV18">
            <v>1670377</v>
          </cell>
          <cell r="AW18">
            <v>661269</v>
          </cell>
          <cell r="AX18">
            <v>-0.604119908260231</v>
          </cell>
          <cell r="AY18">
            <v>125445</v>
          </cell>
          <cell r="AZ18">
            <v>335244</v>
          </cell>
          <cell r="BA18">
            <v>1.67243812029176</v>
          </cell>
          <cell r="BB18">
            <v>1795822</v>
          </cell>
          <cell r="BC18">
            <v>996513</v>
          </cell>
          <cell r="BD18">
            <v>-0.445093667412472</v>
          </cell>
          <cell r="BE18">
            <v>138273</v>
          </cell>
          <cell r="BF18">
            <v>104219</v>
          </cell>
          <cell r="BG18">
            <v>-0.246280908058696</v>
          </cell>
          <cell r="BH18">
            <v>1934095</v>
          </cell>
          <cell r="BI18">
            <v>1100732</v>
          </cell>
          <cell r="BJ18">
            <v>-0.430880075694317</v>
          </cell>
          <cell r="BK18">
            <v>119346</v>
          </cell>
          <cell r="BL18">
            <v>127071</v>
          </cell>
          <cell r="BM18">
            <v>0.0647277663264794</v>
          </cell>
          <cell r="BN18">
            <v>2053441</v>
          </cell>
          <cell r="BO18">
            <v>1227803</v>
          </cell>
          <cell r="BP18">
            <v>-0.402075345724567</v>
          </cell>
          <cell r="BQ18">
            <v>154272</v>
          </cell>
          <cell r="BR18">
            <v>93404</v>
          </cell>
        </row>
        <row r="19">
          <cell r="B19" t="str">
            <v>杭州临平江南家居专卖店（杭州伟隆家电有限公司）</v>
          </cell>
          <cell r="C19" t="str">
            <v>经销</v>
          </cell>
          <cell r="D19" t="str">
            <v>余杭</v>
          </cell>
          <cell r="E19" t="str">
            <v>专卖店</v>
          </cell>
          <cell r="F19">
            <v>18722</v>
          </cell>
        </row>
        <row r="19">
          <cell r="H19">
            <v>-1</v>
          </cell>
        </row>
        <row r="19">
          <cell r="K19" t="e">
            <v>#DIV/0!</v>
          </cell>
          <cell r="L19">
            <v>18722</v>
          </cell>
          <cell r="M19">
            <v>0</v>
          </cell>
          <cell r="N19">
            <v>-1</v>
          </cell>
        </row>
        <row r="19">
          <cell r="Q19" t="e">
            <v>#DIV/0!</v>
          </cell>
          <cell r="R19">
            <v>18722</v>
          </cell>
          <cell r="S19">
            <v>0</v>
          </cell>
          <cell r="T19">
            <v>-1</v>
          </cell>
        </row>
        <row r="19">
          <cell r="W19" t="e">
            <v>#DIV/0!</v>
          </cell>
          <cell r="X19">
            <v>18722</v>
          </cell>
          <cell r="Y19">
            <v>0</v>
          </cell>
          <cell r="Z19">
            <v>-1</v>
          </cell>
        </row>
        <row r="19">
          <cell r="AB19">
            <v>1418.14</v>
          </cell>
          <cell r="AC19" t="e">
            <v>#DIV/0!</v>
          </cell>
          <cell r="AD19">
            <v>18722</v>
          </cell>
          <cell r="AE19">
            <v>1418.14</v>
          </cell>
          <cell r="AF19">
            <v>-0.92425275077449</v>
          </cell>
        </row>
        <row r="19">
          <cell r="AI19" t="e">
            <v>#DIV/0!</v>
          </cell>
          <cell r="AJ19">
            <v>18722</v>
          </cell>
          <cell r="AK19">
            <v>1418.14</v>
          </cell>
          <cell r="AL19">
            <v>-0.92425275077449</v>
          </cell>
        </row>
        <row r="19">
          <cell r="AO19" t="e">
            <v>#DIV/0!</v>
          </cell>
          <cell r="AP19">
            <v>18722</v>
          </cell>
          <cell r="AQ19">
            <v>1418.14</v>
          </cell>
          <cell r="AR19">
            <v>-0.92425275077449</v>
          </cell>
        </row>
        <row r="19">
          <cell r="AU19" t="e">
            <v>#DIV/0!</v>
          </cell>
          <cell r="AV19">
            <v>18722</v>
          </cell>
          <cell r="AW19">
            <v>1418.14</v>
          </cell>
          <cell r="AX19">
            <v>-0.92425275077449</v>
          </cell>
        </row>
        <row r="19">
          <cell r="BA19" t="e">
            <v>#DIV/0!</v>
          </cell>
          <cell r="BB19">
            <v>18722</v>
          </cell>
          <cell r="BC19">
            <v>1418.14</v>
          </cell>
          <cell r="BD19">
            <v>-0.92425275077449</v>
          </cell>
        </row>
        <row r="19">
          <cell r="BG19" t="e">
            <v>#DIV/0!</v>
          </cell>
          <cell r="BH19">
            <v>18722</v>
          </cell>
          <cell r="BI19">
            <v>1418.14</v>
          </cell>
          <cell r="BJ19">
            <v>-0.92425275077449</v>
          </cell>
        </row>
        <row r="19">
          <cell r="BM19" t="e">
            <v>#DIV/0!</v>
          </cell>
          <cell r="BN19">
            <v>18722</v>
          </cell>
          <cell r="BO19">
            <v>1418.14</v>
          </cell>
          <cell r="BP19">
            <v>-0.92425275077449</v>
          </cell>
        </row>
        <row r="20">
          <cell r="B20" t="str">
            <v>杭州华泓电器有限公司</v>
          </cell>
          <cell r="C20" t="str">
            <v>经销</v>
          </cell>
          <cell r="D20" t="str">
            <v>萧山</v>
          </cell>
          <cell r="E20" t="str">
            <v>董培培</v>
          </cell>
          <cell r="F20">
            <v>23918</v>
          </cell>
          <cell r="G20">
            <v>6910</v>
          </cell>
          <cell r="H20">
            <v>-0.711096245505477</v>
          </cell>
          <cell r="I20">
            <v>14255</v>
          </cell>
        </row>
        <row r="20">
          <cell r="K20">
            <v>-1</v>
          </cell>
          <cell r="L20">
            <v>38173</v>
          </cell>
          <cell r="M20">
            <v>6910</v>
          </cell>
          <cell r="N20">
            <v>-0.818982002986404</v>
          </cell>
          <cell r="O20">
            <v>15143</v>
          </cell>
        </row>
        <row r="20">
          <cell r="Q20">
            <v>-1</v>
          </cell>
          <cell r="R20">
            <v>53316</v>
          </cell>
          <cell r="S20">
            <v>6910</v>
          </cell>
          <cell r="T20">
            <v>-0.870395378498012</v>
          </cell>
          <cell r="U20">
            <v>5241</v>
          </cell>
        </row>
        <row r="20">
          <cell r="W20">
            <v>-1</v>
          </cell>
          <cell r="X20">
            <v>58557</v>
          </cell>
          <cell r="Y20">
            <v>6910</v>
          </cell>
          <cell r="Z20">
            <v>-0.881995320798538</v>
          </cell>
          <cell r="AA20">
            <v>9006</v>
          </cell>
          <cell r="AB20">
            <v>12411</v>
          </cell>
          <cell r="AC20">
            <v>0.378081279147235</v>
          </cell>
          <cell r="AD20">
            <v>67563</v>
          </cell>
          <cell r="AE20">
            <v>19321</v>
          </cell>
          <cell r="AF20">
            <v>-0.714029868419105</v>
          </cell>
        </row>
        <row r="20">
          <cell r="AH20">
            <v>3910</v>
          </cell>
          <cell r="AI20" t="e">
            <v>#DIV/0!</v>
          </cell>
          <cell r="AJ20">
            <v>67563</v>
          </cell>
          <cell r="AK20">
            <v>23231</v>
          </cell>
          <cell r="AL20">
            <v>-0.656157956277844</v>
          </cell>
        </row>
        <row r="20">
          <cell r="AO20" t="e">
            <v>#DIV/0!</v>
          </cell>
          <cell r="AP20">
            <v>67563</v>
          </cell>
          <cell r="AQ20">
            <v>23231</v>
          </cell>
          <cell r="AR20">
            <v>-0.656157956277844</v>
          </cell>
          <cell r="AS20">
            <v>2800</v>
          </cell>
        </row>
        <row r="20">
          <cell r="AU20">
            <v>-1</v>
          </cell>
          <cell r="AV20">
            <v>70363</v>
          </cell>
          <cell r="AW20">
            <v>23231</v>
          </cell>
          <cell r="AX20">
            <v>-0.669840683313673</v>
          </cell>
          <cell r="AY20">
            <v>15917</v>
          </cell>
          <cell r="AZ20">
            <v>14284</v>
          </cell>
          <cell r="BA20">
            <v>-0.102594710058428</v>
          </cell>
          <cell r="BB20">
            <v>86280</v>
          </cell>
          <cell r="BC20">
            <v>37515</v>
          </cell>
          <cell r="BD20">
            <v>-0.56519471488178</v>
          </cell>
          <cell r="BE20">
            <v>3910</v>
          </cell>
          <cell r="BF20">
            <v>0</v>
          </cell>
          <cell r="BG20">
            <v>-1</v>
          </cell>
          <cell r="BH20">
            <v>90190</v>
          </cell>
          <cell r="BI20">
            <v>37515</v>
          </cell>
          <cell r="BJ20">
            <v>-0.584044794323096</v>
          </cell>
        </row>
        <row r="20">
          <cell r="BL20">
            <v>4360</v>
          </cell>
          <cell r="BM20" t="e">
            <v>#DIV/0!</v>
          </cell>
          <cell r="BN20">
            <v>90190</v>
          </cell>
          <cell r="BO20">
            <v>41875</v>
          </cell>
          <cell r="BP20">
            <v>-0.535702406031711</v>
          </cell>
          <cell r="BQ20">
            <v>3910</v>
          </cell>
        </row>
        <row r="21">
          <cell r="B21" t="str">
            <v>杭州信诚电器有限公司</v>
          </cell>
          <cell r="C21" t="str">
            <v>经销</v>
          </cell>
          <cell r="D21" t="str">
            <v>余杭</v>
          </cell>
          <cell r="E21" t="str">
            <v>党营军</v>
          </cell>
        </row>
        <row r="21">
          <cell r="H21" t="e">
            <v>#DIV/0!</v>
          </cell>
          <cell r="I21">
            <v>3941</v>
          </cell>
        </row>
        <row r="21">
          <cell r="K21">
            <v>-1</v>
          </cell>
          <cell r="L21">
            <v>3941</v>
          </cell>
          <cell r="M21">
            <v>0</v>
          </cell>
          <cell r="N21">
            <v>-1</v>
          </cell>
        </row>
        <row r="21">
          <cell r="Q21" t="e">
            <v>#DIV/0!</v>
          </cell>
          <cell r="R21">
            <v>3941</v>
          </cell>
          <cell r="S21">
            <v>0</v>
          </cell>
          <cell r="T21">
            <v>-1</v>
          </cell>
        </row>
        <row r="21">
          <cell r="W21" t="e">
            <v>#DIV/0!</v>
          </cell>
          <cell r="X21">
            <v>3941</v>
          </cell>
          <cell r="Y21">
            <v>0</v>
          </cell>
          <cell r="Z21">
            <v>-1</v>
          </cell>
        </row>
        <row r="21">
          <cell r="AC21" t="e">
            <v>#DIV/0!</v>
          </cell>
          <cell r="AD21">
            <v>3941</v>
          </cell>
          <cell r="AE21">
            <v>0</v>
          </cell>
          <cell r="AF21">
            <v>-1</v>
          </cell>
        </row>
        <row r="21">
          <cell r="AI21" t="e">
            <v>#DIV/0!</v>
          </cell>
          <cell r="AJ21">
            <v>3941</v>
          </cell>
          <cell r="AK21">
            <v>0</v>
          </cell>
          <cell r="AL21">
            <v>-1</v>
          </cell>
          <cell r="AM21">
            <v>2147</v>
          </cell>
        </row>
        <row r="21">
          <cell r="AO21">
            <v>-1</v>
          </cell>
          <cell r="AP21">
            <v>6088</v>
          </cell>
          <cell r="AQ21">
            <v>0</v>
          </cell>
          <cell r="AR21">
            <v>-1</v>
          </cell>
        </row>
        <row r="21">
          <cell r="AU21" t="e">
            <v>#DIV/0!</v>
          </cell>
          <cell r="AV21">
            <v>6088</v>
          </cell>
          <cell r="AW21">
            <v>0</v>
          </cell>
          <cell r="AX21">
            <v>-1</v>
          </cell>
        </row>
        <row r="21">
          <cell r="BA21" t="e">
            <v>#DIV/0!</v>
          </cell>
          <cell r="BB21">
            <v>6088</v>
          </cell>
          <cell r="BC21">
            <v>0</v>
          </cell>
          <cell r="BD21">
            <v>-1</v>
          </cell>
        </row>
        <row r="21">
          <cell r="BG21" t="e">
            <v>#DIV/0!</v>
          </cell>
          <cell r="BH21">
            <v>6088</v>
          </cell>
          <cell r="BI21">
            <v>0</v>
          </cell>
          <cell r="BJ21">
            <v>-1</v>
          </cell>
        </row>
        <row r="21">
          <cell r="BM21" t="e">
            <v>#DIV/0!</v>
          </cell>
          <cell r="BN21">
            <v>6088</v>
          </cell>
          <cell r="BO21">
            <v>0</v>
          </cell>
          <cell r="BP21">
            <v>-1</v>
          </cell>
        </row>
        <row r="22">
          <cell r="B22" t="str">
            <v>杭州碌诚电器有限公司</v>
          </cell>
          <cell r="C22" t="str">
            <v>经销</v>
          </cell>
          <cell r="D22" t="str">
            <v>余杭</v>
          </cell>
          <cell r="E22" t="str">
            <v>党营军</v>
          </cell>
          <cell r="F22">
            <v>7130</v>
          </cell>
        </row>
        <row r="22">
          <cell r="H22">
            <v>-1</v>
          </cell>
        </row>
        <row r="22">
          <cell r="K22" t="e">
            <v>#DIV/0!</v>
          </cell>
          <cell r="L22">
            <v>7130</v>
          </cell>
          <cell r="M22">
            <v>0</v>
          </cell>
          <cell r="N22">
            <v>-1</v>
          </cell>
        </row>
        <row r="22">
          <cell r="Q22" t="e">
            <v>#DIV/0!</v>
          </cell>
          <cell r="R22">
            <v>7130</v>
          </cell>
          <cell r="S22">
            <v>0</v>
          </cell>
          <cell r="T22">
            <v>-1</v>
          </cell>
        </row>
        <row r="22">
          <cell r="W22" t="e">
            <v>#DIV/0!</v>
          </cell>
          <cell r="X22">
            <v>7130</v>
          </cell>
          <cell r="Y22">
            <v>0</v>
          </cell>
          <cell r="Z22">
            <v>-1</v>
          </cell>
        </row>
        <row r="22">
          <cell r="AC22" t="e">
            <v>#DIV/0!</v>
          </cell>
          <cell r="AD22">
            <v>7130</v>
          </cell>
          <cell r="AE22">
            <v>0</v>
          </cell>
          <cell r="AF22">
            <v>-1</v>
          </cell>
        </row>
        <row r="22">
          <cell r="AI22" t="e">
            <v>#DIV/0!</v>
          </cell>
          <cell r="AJ22">
            <v>7130</v>
          </cell>
          <cell r="AK22">
            <v>0</v>
          </cell>
          <cell r="AL22">
            <v>-1</v>
          </cell>
        </row>
        <row r="22">
          <cell r="AO22" t="e">
            <v>#DIV/0!</v>
          </cell>
          <cell r="AP22">
            <v>7130</v>
          </cell>
          <cell r="AQ22">
            <v>0</v>
          </cell>
          <cell r="AR22">
            <v>-1</v>
          </cell>
        </row>
        <row r="22">
          <cell r="AU22" t="e">
            <v>#DIV/0!</v>
          </cell>
          <cell r="AV22">
            <v>7130</v>
          </cell>
          <cell r="AW22">
            <v>0</v>
          </cell>
          <cell r="AX22">
            <v>-1</v>
          </cell>
        </row>
        <row r="22">
          <cell r="BA22" t="e">
            <v>#DIV/0!</v>
          </cell>
          <cell r="BB22">
            <v>7130</v>
          </cell>
          <cell r="BC22">
            <v>0</v>
          </cell>
          <cell r="BD22">
            <v>-1</v>
          </cell>
        </row>
        <row r="22">
          <cell r="BG22" t="e">
            <v>#DIV/0!</v>
          </cell>
          <cell r="BH22">
            <v>7130</v>
          </cell>
          <cell r="BI22">
            <v>0</v>
          </cell>
          <cell r="BJ22">
            <v>-1</v>
          </cell>
        </row>
        <row r="22">
          <cell r="BM22" t="e">
            <v>#DIV/0!</v>
          </cell>
          <cell r="BN22">
            <v>7130</v>
          </cell>
          <cell r="BO22">
            <v>0</v>
          </cell>
          <cell r="BP22">
            <v>-1</v>
          </cell>
        </row>
        <row r="23">
          <cell r="B23" t="str">
            <v>杭州金蝶零售</v>
          </cell>
          <cell r="C23" t="str">
            <v>零售</v>
          </cell>
          <cell r="D23" t="str">
            <v>市区</v>
          </cell>
          <cell r="E23" t="str">
            <v>零售</v>
          </cell>
          <cell r="F23">
            <v>208968.6</v>
          </cell>
          <cell r="G23">
            <v>82929</v>
          </cell>
          <cell r="H23">
            <v>-0.603150904011416</v>
          </cell>
          <cell r="I23">
            <v>60300</v>
          </cell>
          <cell r="J23">
            <v>190484.1</v>
          </cell>
          <cell r="K23">
            <v>2.15894029850746</v>
          </cell>
          <cell r="L23">
            <v>269268.6</v>
          </cell>
          <cell r="M23">
            <v>273413.1</v>
          </cell>
          <cell r="N23">
            <v>0.0153916943899139</v>
          </cell>
          <cell r="O23">
            <v>424006.17</v>
          </cell>
          <cell r="P23">
            <v>134699</v>
          </cell>
          <cell r="Q23">
            <v>-0.682318302113387</v>
          </cell>
          <cell r="R23">
            <v>693274.77</v>
          </cell>
          <cell r="S23">
            <v>408112.1</v>
          </cell>
          <cell r="T23">
            <v>-0.411327055793477</v>
          </cell>
          <cell r="U23">
            <v>97829.1</v>
          </cell>
          <cell r="V23">
            <v>47622.6</v>
          </cell>
          <cell r="W23">
            <v>-0.513206193249248</v>
          </cell>
          <cell r="X23">
            <v>791103.87</v>
          </cell>
          <cell r="Y23">
            <v>455734.7</v>
          </cell>
          <cell r="Z23">
            <v>-0.42392558388066</v>
          </cell>
          <cell r="AA23">
            <v>46691.62</v>
          </cell>
          <cell r="AB23">
            <v>61310.2</v>
          </cell>
          <cell r="AC23">
            <v>0.313087873155825</v>
          </cell>
          <cell r="AD23">
            <v>837795.49</v>
          </cell>
          <cell r="AE23">
            <v>517044.9</v>
          </cell>
          <cell r="AF23">
            <v>-0.382850700234732</v>
          </cell>
          <cell r="AG23">
            <v>160814.3</v>
          </cell>
          <cell r="AH23">
            <v>165502.8</v>
          </cell>
          <cell r="AI23">
            <v>0.0291547455667811</v>
          </cell>
          <cell r="AJ23">
            <v>998609.79</v>
          </cell>
          <cell r="AK23">
            <v>682547.7</v>
          </cell>
          <cell r="AL23">
            <v>-0.316502094376623</v>
          </cell>
          <cell r="AM23">
            <v>140814.2</v>
          </cell>
          <cell r="AN23">
            <v>189717.66</v>
          </cell>
          <cell r="AO23">
            <v>0.347290685172376</v>
          </cell>
          <cell r="AP23">
            <v>1139423.99</v>
          </cell>
          <cell r="AQ23">
            <v>872265.36</v>
          </cell>
          <cell r="AR23">
            <v>-0.234468145611012</v>
          </cell>
          <cell r="AS23">
            <v>394502.8</v>
          </cell>
          <cell r="AT23">
            <v>122596.28</v>
          </cell>
          <cell r="AU23">
            <v>-0.689238504771069</v>
          </cell>
          <cell r="AV23">
            <v>1533926.79</v>
          </cell>
          <cell r="AW23">
            <v>994861.64</v>
          </cell>
          <cell r="AX23">
            <v>-0.351428212555046</v>
          </cell>
          <cell r="AY23">
            <v>145471.7</v>
          </cell>
          <cell r="AZ23">
            <v>170352.72</v>
          </cell>
          <cell r="BA23">
            <v>0.171036840842583</v>
          </cell>
          <cell r="BB23">
            <v>1679398.49</v>
          </cell>
          <cell r="BC23">
            <v>1165214.36</v>
          </cell>
          <cell r="BD23">
            <v>-0.306171604334359</v>
          </cell>
          <cell r="BE23">
            <v>340723.2</v>
          </cell>
          <cell r="BF23">
            <v>262688.3</v>
          </cell>
          <cell r="BG23">
            <v>-0.229027257316203</v>
          </cell>
          <cell r="BH23">
            <v>2020121.69</v>
          </cell>
          <cell r="BI23">
            <v>1427902.66</v>
          </cell>
          <cell r="BJ23">
            <v>-0.29316007690606</v>
          </cell>
          <cell r="BK23">
            <v>285461.2</v>
          </cell>
          <cell r="BL23">
            <v>334440.32</v>
          </cell>
          <cell r="BM23">
            <v>0.171578904593689</v>
          </cell>
          <cell r="BN23">
            <v>2305582.89</v>
          </cell>
          <cell r="BO23">
            <v>1762342.98</v>
          </cell>
          <cell r="BP23">
            <v>-0.235619336158415</v>
          </cell>
          <cell r="BQ23">
            <v>313736.6</v>
          </cell>
          <cell r="BR23">
            <v>175216.1</v>
          </cell>
        </row>
        <row r="24">
          <cell r="B24" t="str">
            <v>杭州恒隆电器设备有限公司</v>
          </cell>
          <cell r="C24" t="str">
            <v>经销</v>
          </cell>
          <cell r="D24" t="str">
            <v>余杭</v>
          </cell>
          <cell r="E24" t="str">
            <v>党营军</v>
          </cell>
          <cell r="F24">
            <v>22567</v>
          </cell>
          <cell r="G24">
            <v>790</v>
          </cell>
          <cell r="H24">
            <v>-0.964993131563788</v>
          </cell>
          <cell r="I24">
            <v>25787</v>
          </cell>
        </row>
        <row r="24">
          <cell r="K24">
            <v>-1</v>
          </cell>
          <cell r="L24">
            <v>48354</v>
          </cell>
          <cell r="M24">
            <v>790</v>
          </cell>
          <cell r="N24">
            <v>-0.983662158249576</v>
          </cell>
          <cell r="O24">
            <v>61291</v>
          </cell>
        </row>
        <row r="24">
          <cell r="Q24">
            <v>-1</v>
          </cell>
          <cell r="R24">
            <v>109645</v>
          </cell>
          <cell r="S24">
            <v>790</v>
          </cell>
          <cell r="T24">
            <v>-0.992794929089334</v>
          </cell>
          <cell r="U24">
            <v>1907</v>
          </cell>
          <cell r="V24">
            <v>3941</v>
          </cell>
          <cell r="W24">
            <v>1.06659674882014</v>
          </cell>
          <cell r="X24">
            <v>111552</v>
          </cell>
          <cell r="Y24">
            <v>4731</v>
          </cell>
          <cell r="Z24">
            <v>-0.957589285714286</v>
          </cell>
          <cell r="AA24">
            <v>11080</v>
          </cell>
        </row>
        <row r="24">
          <cell r="AC24">
            <v>-1</v>
          </cell>
          <cell r="AD24">
            <v>122632</v>
          </cell>
          <cell r="AE24">
            <v>4731</v>
          </cell>
          <cell r="AF24">
            <v>-0.961421162502446</v>
          </cell>
          <cell r="AG24">
            <v>19693</v>
          </cell>
          <cell r="AH24">
            <v>3125</v>
          </cell>
          <cell r="AI24">
            <v>-0.841314172548621</v>
          </cell>
          <cell r="AJ24">
            <v>142325</v>
          </cell>
          <cell r="AK24">
            <v>7856</v>
          </cell>
          <cell r="AL24">
            <v>-0.944802388898647</v>
          </cell>
          <cell r="AM24">
            <v>15366</v>
          </cell>
        </row>
        <row r="24">
          <cell r="AO24">
            <v>-1</v>
          </cell>
          <cell r="AP24">
            <v>157691</v>
          </cell>
          <cell r="AQ24">
            <v>7856</v>
          </cell>
          <cell r="AR24">
            <v>-0.95018105028188</v>
          </cell>
          <cell r="AS24">
            <v>5661</v>
          </cell>
        </row>
        <row r="24">
          <cell r="AU24">
            <v>-1</v>
          </cell>
          <cell r="AV24">
            <v>163352</v>
          </cell>
          <cell r="AW24">
            <v>7856</v>
          </cell>
          <cell r="AX24">
            <v>-0.951907537097801</v>
          </cell>
          <cell r="AY24">
            <v>19255</v>
          </cell>
        </row>
        <row r="24">
          <cell r="BA24">
            <v>-1</v>
          </cell>
          <cell r="BB24">
            <v>182607</v>
          </cell>
          <cell r="BC24">
            <v>7856</v>
          </cell>
          <cell r="BD24">
            <v>-0.956978648135066</v>
          </cell>
          <cell r="BE24">
            <v>29154</v>
          </cell>
        </row>
        <row r="24">
          <cell r="BG24">
            <v>-1</v>
          </cell>
          <cell r="BH24">
            <v>211761</v>
          </cell>
          <cell r="BI24">
            <v>7856</v>
          </cell>
          <cell r="BJ24">
            <v>-0.96290157299975</v>
          </cell>
          <cell r="BK24">
            <v>27447</v>
          </cell>
        </row>
        <row r="24">
          <cell r="BM24">
            <v>-1</v>
          </cell>
          <cell r="BN24">
            <v>239208</v>
          </cell>
          <cell r="BO24">
            <v>7856</v>
          </cell>
          <cell r="BP24">
            <v>-0.967158289020434</v>
          </cell>
        </row>
        <row r="25">
          <cell r="B25" t="str">
            <v>萧山世纪龙建材专卖店</v>
          </cell>
          <cell r="C25" t="str">
            <v>直营</v>
          </cell>
          <cell r="D25" t="str">
            <v>萧山</v>
          </cell>
          <cell r="E25" t="str">
            <v>专卖店</v>
          </cell>
          <cell r="F25">
            <v>-3670.4</v>
          </cell>
        </row>
        <row r="25">
          <cell r="H25">
            <v>-1</v>
          </cell>
        </row>
        <row r="25">
          <cell r="J25">
            <v>14214</v>
          </cell>
          <cell r="K25" t="e">
            <v>#DIV/0!</v>
          </cell>
          <cell r="L25">
            <v>-3670.4</v>
          </cell>
          <cell r="M25">
            <v>14214</v>
          </cell>
          <cell r="N25">
            <v>-4.87260244115083</v>
          </cell>
        </row>
        <row r="25">
          <cell r="P25">
            <v>26766</v>
          </cell>
          <cell r="Q25" t="e">
            <v>#DIV/0!</v>
          </cell>
          <cell r="R25">
            <v>-3670.4</v>
          </cell>
          <cell r="S25">
            <v>40980</v>
          </cell>
          <cell r="T25">
            <v>-12.1649956408021</v>
          </cell>
        </row>
        <row r="25">
          <cell r="V25">
            <v>21834</v>
          </cell>
          <cell r="W25" t="e">
            <v>#DIV/0!</v>
          </cell>
          <cell r="X25">
            <v>-3670.4</v>
          </cell>
          <cell r="Y25">
            <v>62814</v>
          </cell>
          <cell r="Z25">
            <v>-18.1136660854403</v>
          </cell>
          <cell r="AA25">
            <v>2529</v>
          </cell>
          <cell r="AB25">
            <v>6999</v>
          </cell>
          <cell r="AC25">
            <v>1.76749703440095</v>
          </cell>
          <cell r="AD25">
            <v>-1141.4</v>
          </cell>
          <cell r="AE25">
            <v>69813</v>
          </cell>
          <cell r="AF25">
            <v>-62.164359558437</v>
          </cell>
          <cell r="AG25">
            <v>6300</v>
          </cell>
          <cell r="AH25">
            <v>30981</v>
          </cell>
          <cell r="AI25">
            <v>3.91761904761905</v>
          </cell>
          <cell r="AJ25">
            <v>5158.6</v>
          </cell>
          <cell r="AK25">
            <v>100794</v>
          </cell>
          <cell r="AL25">
            <v>18.5390222153297</v>
          </cell>
          <cell r="AM25">
            <v>7200</v>
          </cell>
          <cell r="AN25">
            <v>53347</v>
          </cell>
          <cell r="AO25">
            <v>6.40930555555556</v>
          </cell>
          <cell r="AP25">
            <v>12358.6</v>
          </cell>
          <cell r="AQ25">
            <v>154141</v>
          </cell>
          <cell r="AR25">
            <v>11.472367420258</v>
          </cell>
          <cell r="AS25">
            <v>6669</v>
          </cell>
          <cell r="AT25">
            <v>63547</v>
          </cell>
          <cell r="AU25">
            <v>8.52871494976758</v>
          </cell>
          <cell r="AV25">
            <v>19027.6</v>
          </cell>
          <cell r="AW25">
            <v>217688</v>
          </cell>
          <cell r="AX25">
            <v>10.4406441169669</v>
          </cell>
          <cell r="AY25">
            <v>47077</v>
          </cell>
          <cell r="AZ25">
            <v>129104</v>
          </cell>
          <cell r="BA25">
            <v>1.7424007477112</v>
          </cell>
          <cell r="BB25">
            <v>66104.6</v>
          </cell>
          <cell r="BC25">
            <v>346792</v>
          </cell>
          <cell r="BD25">
            <v>4.24610995301386</v>
          </cell>
          <cell r="BE25">
            <v>9280</v>
          </cell>
          <cell r="BF25">
            <v>81847</v>
          </cell>
          <cell r="BG25">
            <v>7.81971982758621</v>
          </cell>
          <cell r="BH25">
            <v>75384.6</v>
          </cell>
          <cell r="BI25">
            <v>428639</v>
          </cell>
          <cell r="BJ25">
            <v>4.68602871143443</v>
          </cell>
          <cell r="BK25">
            <v>19929</v>
          </cell>
          <cell r="BL25">
            <v>99030</v>
          </cell>
          <cell r="BM25">
            <v>3.9691404485925</v>
          </cell>
          <cell r="BN25">
            <v>95313.6</v>
          </cell>
          <cell r="BO25">
            <v>527669</v>
          </cell>
          <cell r="BP25">
            <v>4.5361354518138</v>
          </cell>
          <cell r="BQ25">
            <v>6548</v>
          </cell>
          <cell r="BR25">
            <v>109815</v>
          </cell>
        </row>
        <row r="26">
          <cell r="B26" t="str">
            <v>（新）古墩新时代专卖店</v>
          </cell>
          <cell r="C26" t="str">
            <v>直营</v>
          </cell>
          <cell r="D26" t="str">
            <v>西湖</v>
          </cell>
          <cell r="E26" t="str">
            <v>专卖店</v>
          </cell>
          <cell r="F26">
            <v>335136</v>
          </cell>
          <cell r="G26">
            <v>431498</v>
          </cell>
          <cell r="H26">
            <v>0.287531032177981</v>
          </cell>
          <cell r="I26">
            <v>264049</v>
          </cell>
          <cell r="J26">
            <v>555081</v>
          </cell>
          <cell r="K26">
            <v>1.10218936636761</v>
          </cell>
          <cell r="L26">
            <v>599185</v>
          </cell>
          <cell r="M26">
            <v>986579</v>
          </cell>
          <cell r="N26">
            <v>0.646534876540634</v>
          </cell>
          <cell r="O26">
            <v>615946</v>
          </cell>
          <cell r="P26">
            <v>601937</v>
          </cell>
          <cell r="Q26">
            <v>-0.0227438768982995</v>
          </cell>
          <cell r="R26">
            <v>1215131</v>
          </cell>
          <cell r="S26">
            <v>1588516</v>
          </cell>
          <cell r="T26">
            <v>0.307279626641078</v>
          </cell>
          <cell r="U26">
            <v>463254</v>
          </cell>
          <cell r="V26">
            <v>445677</v>
          </cell>
          <cell r="W26">
            <v>-0.0379424678470126</v>
          </cell>
          <cell r="X26">
            <v>1678385</v>
          </cell>
          <cell r="Y26">
            <v>2034193</v>
          </cell>
          <cell r="Z26">
            <v>0.211994268299586</v>
          </cell>
          <cell r="AA26">
            <v>378356</v>
          </cell>
          <cell r="AB26">
            <v>486210.7</v>
          </cell>
          <cell r="AC26">
            <v>0.285061423632769</v>
          </cell>
          <cell r="AD26">
            <v>2056741</v>
          </cell>
          <cell r="AE26">
            <v>2520403.7</v>
          </cell>
          <cell r="AF26">
            <v>0.225435628501595</v>
          </cell>
          <cell r="AG26">
            <v>461928</v>
          </cell>
          <cell r="AH26">
            <v>474139</v>
          </cell>
          <cell r="AI26">
            <v>0.0264348556484992</v>
          </cell>
          <cell r="AJ26">
            <v>2518669</v>
          </cell>
          <cell r="AK26">
            <v>2994542.7</v>
          </cell>
          <cell r="AL26">
            <v>0.188938562391485</v>
          </cell>
          <cell r="AM26">
            <v>327060</v>
          </cell>
          <cell r="AN26">
            <v>476498</v>
          </cell>
          <cell r="AO26">
            <v>0.45691310462912</v>
          </cell>
          <cell r="AP26">
            <v>2845729</v>
          </cell>
          <cell r="AQ26">
            <v>3471040.7</v>
          </cell>
          <cell r="AR26">
            <v>0.219736910998904</v>
          </cell>
          <cell r="AS26">
            <v>479140</v>
          </cell>
          <cell r="AT26">
            <v>576554</v>
          </cell>
          <cell r="AU26">
            <v>0.203310097257587</v>
          </cell>
          <cell r="AV26">
            <v>3324869</v>
          </cell>
          <cell r="AW26">
            <v>4047594.7</v>
          </cell>
          <cell r="AX26">
            <v>0.21736967682035</v>
          </cell>
          <cell r="AY26">
            <v>498136</v>
          </cell>
          <cell r="AZ26">
            <v>499405</v>
          </cell>
          <cell r="BA26">
            <v>0.00254749706907353</v>
          </cell>
          <cell r="BB26">
            <v>3823005</v>
          </cell>
          <cell r="BC26">
            <v>4546999.7</v>
          </cell>
          <cell r="BD26">
            <v>0.189378433980599</v>
          </cell>
          <cell r="BE26">
            <v>676087</v>
          </cell>
          <cell r="BF26">
            <v>326061</v>
          </cell>
          <cell r="BG26">
            <v>-0.517723310757343</v>
          </cell>
          <cell r="BH26">
            <v>4499092</v>
          </cell>
          <cell r="BI26">
            <v>4873060.7</v>
          </cell>
          <cell r="BJ26">
            <v>0.0831209275115956</v>
          </cell>
          <cell r="BK26">
            <v>705816</v>
          </cell>
          <cell r="BL26">
            <v>369698</v>
          </cell>
          <cell r="BM26">
            <v>-0.476211930588142</v>
          </cell>
          <cell r="BN26">
            <v>5204908</v>
          </cell>
          <cell r="BO26">
            <v>5242758.7</v>
          </cell>
          <cell r="BP26">
            <v>0.0072721170095611</v>
          </cell>
          <cell r="BQ26">
            <v>723826</v>
          </cell>
          <cell r="BR26">
            <v>180921</v>
          </cell>
        </row>
        <row r="27">
          <cell r="B27" t="str">
            <v>杭州月星家居超级旗舰店</v>
          </cell>
          <cell r="C27" t="str">
            <v>直营</v>
          </cell>
          <cell r="D27" t="str">
            <v>拱墅</v>
          </cell>
          <cell r="E27" t="str">
            <v>专卖店</v>
          </cell>
          <cell r="F27">
            <v>35293</v>
          </cell>
          <cell r="G27">
            <v>84451</v>
          </cell>
          <cell r="H27">
            <v>1.39285410704672</v>
          </cell>
          <cell r="I27">
            <v>7925</v>
          </cell>
          <cell r="J27">
            <v>174972.1</v>
          </cell>
          <cell r="K27">
            <v>21.0784984227129</v>
          </cell>
          <cell r="L27">
            <v>43218</v>
          </cell>
          <cell r="M27">
            <v>259423.1</v>
          </cell>
          <cell r="N27">
            <v>5.00266324216762</v>
          </cell>
          <cell r="O27">
            <v>16219</v>
          </cell>
          <cell r="P27">
            <v>150952</v>
          </cell>
          <cell r="Q27">
            <v>8.30710894629755</v>
          </cell>
          <cell r="R27">
            <v>59437</v>
          </cell>
          <cell r="S27">
            <v>410375.1</v>
          </cell>
          <cell r="T27">
            <v>5.90437101468782</v>
          </cell>
          <cell r="U27">
            <v>18226</v>
          </cell>
          <cell r="V27">
            <v>91671</v>
          </cell>
          <cell r="W27">
            <v>4.02968287062438</v>
          </cell>
          <cell r="X27">
            <v>77663</v>
          </cell>
          <cell r="Y27">
            <v>502046.1</v>
          </cell>
          <cell r="Z27">
            <v>5.46441806265532</v>
          </cell>
          <cell r="AA27">
            <v>34627</v>
          </cell>
          <cell r="AB27">
            <v>75153</v>
          </cell>
          <cell r="AC27">
            <v>1.17035839085107</v>
          </cell>
          <cell r="AD27">
            <v>112290</v>
          </cell>
          <cell r="AE27">
            <v>577199.1</v>
          </cell>
          <cell r="AF27">
            <v>4.1402538071066</v>
          </cell>
          <cell r="AG27">
            <v>48146</v>
          </cell>
          <cell r="AH27">
            <v>20340</v>
          </cell>
          <cell r="AI27">
            <v>-0.577534997715283</v>
          </cell>
          <cell r="AJ27">
            <v>160436</v>
          </cell>
          <cell r="AK27">
            <v>597539.1</v>
          </cell>
          <cell r="AL27">
            <v>2.72447019372211</v>
          </cell>
          <cell r="AM27">
            <v>21541</v>
          </cell>
        </row>
        <row r="27">
          <cell r="AO27">
            <v>-1</v>
          </cell>
          <cell r="AP27">
            <v>181977</v>
          </cell>
          <cell r="AQ27">
            <v>597539.1</v>
          </cell>
          <cell r="AR27">
            <v>2.28359682817059</v>
          </cell>
          <cell r="AS27">
            <v>35515</v>
          </cell>
        </row>
        <row r="27">
          <cell r="AU27">
            <v>-1</v>
          </cell>
          <cell r="AV27">
            <v>217492</v>
          </cell>
          <cell r="AW27">
            <v>597539.1</v>
          </cell>
          <cell r="AX27">
            <v>1.74740726095672</v>
          </cell>
          <cell r="AY27">
            <v>61978</v>
          </cell>
        </row>
        <row r="27">
          <cell r="BA27">
            <v>-1</v>
          </cell>
          <cell r="BB27">
            <v>279470</v>
          </cell>
          <cell r="BC27">
            <v>597539.1</v>
          </cell>
          <cell r="BD27">
            <v>1.13811536121945</v>
          </cell>
          <cell r="BE27">
            <v>112533</v>
          </cell>
        </row>
        <row r="27">
          <cell r="BG27">
            <v>-1</v>
          </cell>
          <cell r="BH27">
            <v>392003</v>
          </cell>
          <cell r="BI27">
            <v>597539.1</v>
          </cell>
          <cell r="BJ27">
            <v>0.524322773040002</v>
          </cell>
          <cell r="BK27">
            <v>142440</v>
          </cell>
        </row>
        <row r="27">
          <cell r="BM27">
            <v>-1</v>
          </cell>
          <cell r="BN27">
            <v>534443</v>
          </cell>
          <cell r="BO27">
            <v>597539.1</v>
          </cell>
          <cell r="BP27">
            <v>0.118059549849095</v>
          </cell>
          <cell r="BQ27">
            <v>109678</v>
          </cell>
        </row>
        <row r="28">
          <cell r="B28" t="str">
            <v>杭州恒大建材超级旗舰店</v>
          </cell>
          <cell r="C28" t="str">
            <v>直营</v>
          </cell>
          <cell r="D28" t="str">
            <v>临平</v>
          </cell>
          <cell r="E28" t="str">
            <v>专卖店</v>
          </cell>
          <cell r="F28">
            <v>97310</v>
          </cell>
          <cell r="G28">
            <v>24422</v>
          </cell>
          <cell r="H28">
            <v>-0.749028876785531</v>
          </cell>
          <cell r="I28">
            <v>52558</v>
          </cell>
          <cell r="J28">
            <v>110516.9</v>
          </cell>
          <cell r="K28">
            <v>1.10276075954184</v>
          </cell>
          <cell r="L28">
            <v>149868</v>
          </cell>
          <cell r="M28">
            <v>134938.9</v>
          </cell>
          <cell r="N28">
            <v>-0.0996149945285185</v>
          </cell>
          <cell r="O28">
            <v>161755</v>
          </cell>
          <cell r="P28">
            <v>143654.88</v>
          </cell>
          <cell r="Q28">
            <v>-0.11189836481098</v>
          </cell>
          <cell r="R28">
            <v>311623</v>
          </cell>
          <cell r="S28">
            <v>278593.78</v>
          </cell>
          <cell r="T28">
            <v>-0.105990957021786</v>
          </cell>
          <cell r="U28">
            <v>83325</v>
          </cell>
          <cell r="V28">
            <v>151575</v>
          </cell>
          <cell r="W28">
            <v>0.819081908190819</v>
          </cell>
          <cell r="X28">
            <v>394948</v>
          </cell>
          <cell r="Y28">
            <v>430168.78</v>
          </cell>
          <cell r="Z28">
            <v>0.0891782715699283</v>
          </cell>
          <cell r="AA28">
            <v>232402</v>
          </cell>
          <cell r="AB28">
            <v>213074</v>
          </cell>
          <cell r="AC28">
            <v>-0.083166237812067</v>
          </cell>
          <cell r="AD28">
            <v>627350</v>
          </cell>
          <cell r="AE28">
            <v>643242.78</v>
          </cell>
          <cell r="AF28">
            <v>0.0253331951861002</v>
          </cell>
          <cell r="AG28">
            <v>83739</v>
          </cell>
          <cell r="AH28">
            <v>204318.7</v>
          </cell>
          <cell r="AI28">
            <v>1.43994673927322</v>
          </cell>
          <cell r="AJ28">
            <v>711089</v>
          </cell>
          <cell r="AK28">
            <v>847561.48</v>
          </cell>
          <cell r="AL28">
            <v>0.191920392524705</v>
          </cell>
          <cell r="AM28">
            <v>87576</v>
          </cell>
          <cell r="AN28">
            <v>115145</v>
          </cell>
          <cell r="AO28">
            <v>0.314800858682744</v>
          </cell>
          <cell r="AP28">
            <v>798665</v>
          </cell>
          <cell r="AQ28">
            <v>962706.48</v>
          </cell>
          <cell r="AR28">
            <v>0.205394602242492</v>
          </cell>
          <cell r="AS28">
            <v>111620</v>
          </cell>
          <cell r="AT28">
            <v>198600</v>
          </cell>
          <cell r="AU28">
            <v>0.779251030281312</v>
          </cell>
          <cell r="AV28">
            <v>910285</v>
          </cell>
          <cell r="AW28">
            <v>1161306.48</v>
          </cell>
          <cell r="AX28">
            <v>0.275761415380897</v>
          </cell>
          <cell r="AY28">
            <v>102775.2</v>
          </cell>
          <cell r="AZ28">
            <v>113334.1</v>
          </cell>
          <cell r="BA28">
            <v>0.102737820018837</v>
          </cell>
          <cell r="BB28">
            <v>1013060.2</v>
          </cell>
          <cell r="BC28">
            <v>1274640.58</v>
          </cell>
          <cell r="BD28">
            <v>0.258208130178246</v>
          </cell>
          <cell r="BE28">
            <v>181154</v>
          </cell>
          <cell r="BF28">
            <v>135746.4</v>
          </cell>
          <cell r="BG28">
            <v>-0.250657451670954</v>
          </cell>
          <cell r="BH28">
            <v>1194214.2</v>
          </cell>
          <cell r="BI28">
            <v>1410386.98</v>
          </cell>
          <cell r="BJ28">
            <v>0.181016755620558</v>
          </cell>
          <cell r="BK28">
            <v>111781</v>
          </cell>
          <cell r="BL28">
            <v>105312</v>
          </cell>
          <cell r="BM28">
            <v>-0.0578720891743677</v>
          </cell>
          <cell r="BN28">
            <v>1305995.2</v>
          </cell>
          <cell r="BO28">
            <v>1515698.98</v>
          </cell>
          <cell r="BP28">
            <v>0.160570100104503</v>
          </cell>
          <cell r="BQ28">
            <v>139013</v>
          </cell>
          <cell r="BR28">
            <v>195981</v>
          </cell>
        </row>
        <row r="29">
          <cell r="B29" t="str">
            <v>二轻爱威专卖店</v>
          </cell>
          <cell r="C29" t="str">
            <v>加盟</v>
          </cell>
          <cell r="D29" t="str">
            <v>拱墅</v>
          </cell>
          <cell r="E29" t="str">
            <v>专卖店</v>
          </cell>
          <cell r="F29">
            <v>122703</v>
          </cell>
          <cell r="G29">
            <v>153577</v>
          </cell>
          <cell r="H29">
            <v>0.251615689917932</v>
          </cell>
          <cell r="I29">
            <v>58401</v>
          </cell>
          <cell r="J29">
            <v>138466</v>
          </cell>
          <cell r="K29">
            <v>1.37095255218233</v>
          </cell>
          <cell r="L29">
            <v>181104</v>
          </cell>
          <cell r="M29">
            <v>292043</v>
          </cell>
          <cell r="N29">
            <v>0.612570677621698</v>
          </cell>
          <cell r="O29">
            <v>160666</v>
          </cell>
          <cell r="P29">
            <v>247705.4</v>
          </cell>
          <cell r="Q29">
            <v>0.54174125203839</v>
          </cell>
          <cell r="R29">
            <v>341770</v>
          </cell>
          <cell r="S29">
            <v>539748.4</v>
          </cell>
          <cell r="T29">
            <v>0.579273780612693</v>
          </cell>
          <cell r="U29">
            <v>81747</v>
          </cell>
          <cell r="V29">
            <v>211406</v>
          </cell>
          <cell r="W29">
            <v>1.58610101899764</v>
          </cell>
          <cell r="X29">
            <v>423517</v>
          </cell>
          <cell r="Y29">
            <v>751154.4</v>
          </cell>
          <cell r="Z29">
            <v>0.77361097665501</v>
          </cell>
          <cell r="AA29">
            <v>90148</v>
          </cell>
          <cell r="AB29">
            <v>148012</v>
          </cell>
          <cell r="AC29">
            <v>0.64187780094955</v>
          </cell>
          <cell r="AD29">
            <v>513665</v>
          </cell>
          <cell r="AE29">
            <v>899166.4</v>
          </cell>
          <cell r="AF29">
            <v>0.750491857533607</v>
          </cell>
          <cell r="AG29">
            <v>94347</v>
          </cell>
          <cell r="AH29">
            <v>265849</v>
          </cell>
          <cell r="AI29">
            <v>1.81777904967832</v>
          </cell>
          <cell r="AJ29">
            <v>608012</v>
          </cell>
          <cell r="AK29">
            <v>1165015.4</v>
          </cell>
          <cell r="AL29">
            <v>0.916105932119761</v>
          </cell>
          <cell r="AM29">
            <v>83832</v>
          </cell>
          <cell r="AN29">
            <v>89268.5</v>
          </cell>
          <cell r="AO29">
            <v>0.0648499379711804</v>
          </cell>
          <cell r="AP29">
            <v>691844</v>
          </cell>
          <cell r="AQ29">
            <v>1254283.9</v>
          </cell>
          <cell r="AR29">
            <v>0.812957689883846</v>
          </cell>
          <cell r="AS29">
            <v>78982</v>
          </cell>
          <cell r="AT29">
            <v>237232</v>
          </cell>
          <cell r="AU29">
            <v>2.00362107822035</v>
          </cell>
          <cell r="AV29">
            <v>770826</v>
          </cell>
          <cell r="AW29">
            <v>1491515.9</v>
          </cell>
          <cell r="AX29">
            <v>0.934957954194591</v>
          </cell>
          <cell r="AY29">
            <v>107662</v>
          </cell>
          <cell r="AZ29">
            <v>39492</v>
          </cell>
          <cell r="BA29">
            <v>-0.633185339302632</v>
          </cell>
          <cell r="BB29">
            <v>878488</v>
          </cell>
          <cell r="BC29">
            <v>1531007.9</v>
          </cell>
          <cell r="BD29">
            <v>0.742776110772145</v>
          </cell>
          <cell r="BE29">
            <v>105847</v>
          </cell>
          <cell r="BF29">
            <v>59102</v>
          </cell>
          <cell r="BG29">
            <v>-0.441628010241197</v>
          </cell>
          <cell r="BH29">
            <v>984335</v>
          </cell>
          <cell r="BI29">
            <v>1590109.9</v>
          </cell>
          <cell r="BJ29">
            <v>0.615415381958378</v>
          </cell>
          <cell r="BK29">
            <v>171429</v>
          </cell>
          <cell r="BL29">
            <v>79729</v>
          </cell>
          <cell r="BM29">
            <v>-0.534915329378343</v>
          </cell>
          <cell r="BN29">
            <v>1155764</v>
          </cell>
          <cell r="BO29">
            <v>1669838.9</v>
          </cell>
          <cell r="BP29">
            <v>0.444792275931765</v>
          </cell>
          <cell r="BQ29">
            <v>160905</v>
          </cell>
          <cell r="BR29">
            <v>106859</v>
          </cell>
        </row>
        <row r="30">
          <cell r="B30" t="str">
            <v>（新）滨江第六空间专卖店</v>
          </cell>
          <cell r="C30" t="str">
            <v>直营</v>
          </cell>
          <cell r="D30" t="str">
            <v>滨江</v>
          </cell>
          <cell r="E30" t="str">
            <v>专卖店</v>
          </cell>
          <cell r="F30">
            <v>130944</v>
          </cell>
          <cell r="G30">
            <v>55888</v>
          </cell>
          <cell r="H30">
            <v>-0.573191593352884</v>
          </cell>
          <cell r="I30">
            <v>70042</v>
          </cell>
          <cell r="J30">
            <v>110150.4</v>
          </cell>
          <cell r="K30">
            <v>0.572633562719511</v>
          </cell>
          <cell r="L30">
            <v>200986</v>
          </cell>
          <cell r="M30">
            <v>166038.4</v>
          </cell>
          <cell r="N30">
            <v>-0.173880767814674</v>
          </cell>
          <cell r="O30">
            <v>221166</v>
          </cell>
          <cell r="P30">
            <v>151680.8</v>
          </cell>
          <cell r="Q30">
            <v>-0.314176681768445</v>
          </cell>
          <cell r="R30">
            <v>422152</v>
          </cell>
          <cell r="S30">
            <v>317719.2</v>
          </cell>
          <cell r="T30">
            <v>-0.247381985635506</v>
          </cell>
          <cell r="U30">
            <v>169305</v>
          </cell>
          <cell r="V30">
            <v>105900</v>
          </cell>
          <cell r="W30">
            <v>-0.374501639053779</v>
          </cell>
          <cell r="X30">
            <v>591457</v>
          </cell>
          <cell r="Y30">
            <v>423619.2</v>
          </cell>
          <cell r="Z30">
            <v>-0.283770079650761</v>
          </cell>
          <cell r="AA30">
            <v>89075</v>
          </cell>
          <cell r="AB30">
            <v>130233</v>
          </cell>
          <cell r="AC30">
            <v>0.46206006174572</v>
          </cell>
          <cell r="AD30">
            <v>680532</v>
          </cell>
          <cell r="AE30">
            <v>553852.2</v>
          </cell>
          <cell r="AF30">
            <v>-0.186148189945513</v>
          </cell>
          <cell r="AG30">
            <v>44490</v>
          </cell>
          <cell r="AH30">
            <v>230426.6</v>
          </cell>
          <cell r="AI30">
            <v>4.17928972802877</v>
          </cell>
          <cell r="AJ30">
            <v>725022</v>
          </cell>
          <cell r="AK30">
            <v>784278.8</v>
          </cell>
          <cell r="AL30">
            <v>0.0817310371271491</v>
          </cell>
          <cell r="AM30">
            <v>28913</v>
          </cell>
          <cell r="AN30">
            <v>158253.1</v>
          </cell>
          <cell r="AO30">
            <v>4.47342371943417</v>
          </cell>
          <cell r="AP30">
            <v>753935</v>
          </cell>
          <cell r="AQ30">
            <v>942531.9</v>
          </cell>
          <cell r="AR30">
            <v>0.250150079250864</v>
          </cell>
          <cell r="AS30">
            <v>68220</v>
          </cell>
          <cell r="AT30">
            <v>223421</v>
          </cell>
          <cell r="AU30">
            <v>2.27500732922896</v>
          </cell>
          <cell r="AV30">
            <v>822155</v>
          </cell>
          <cell r="AW30">
            <v>1165952.9</v>
          </cell>
          <cell r="AX30">
            <v>0.418166769039901</v>
          </cell>
          <cell r="AY30">
            <v>129936</v>
          </cell>
          <cell r="AZ30">
            <v>261343</v>
          </cell>
          <cell r="BA30">
            <v>1.0113209580101</v>
          </cell>
          <cell r="BB30">
            <v>952091</v>
          </cell>
          <cell r="BC30">
            <v>1427295.9</v>
          </cell>
          <cell r="BD30">
            <v>0.499117101201461</v>
          </cell>
          <cell r="BE30">
            <v>41570</v>
          </cell>
          <cell r="BF30">
            <v>200731</v>
          </cell>
          <cell r="BG30">
            <v>3.8287466923262</v>
          </cell>
          <cell r="BH30">
            <v>993661</v>
          </cell>
          <cell r="BI30">
            <v>1628026.9</v>
          </cell>
          <cell r="BJ30">
            <v>0.638412798731157</v>
          </cell>
          <cell r="BK30">
            <v>137945</v>
          </cell>
          <cell r="BL30">
            <v>180451</v>
          </cell>
          <cell r="BM30">
            <v>0.308137301098264</v>
          </cell>
          <cell r="BN30">
            <v>1131606</v>
          </cell>
          <cell r="BO30">
            <v>1808477.9</v>
          </cell>
          <cell r="BP30">
            <v>0.598151565120722</v>
          </cell>
          <cell r="BQ30">
            <v>119732</v>
          </cell>
          <cell r="BR30">
            <v>240463</v>
          </cell>
        </row>
        <row r="31">
          <cell r="B31" t="str">
            <v>杭州日新人工环境工程有限公司</v>
          </cell>
          <cell r="C31" t="str">
            <v>暖通</v>
          </cell>
          <cell r="D31" t="str">
            <v>西湖</v>
          </cell>
          <cell r="E31" t="str">
            <v>暖通</v>
          </cell>
        </row>
        <row r="31">
          <cell r="H31" t="e">
            <v>#DIV/0!</v>
          </cell>
          <cell r="I31">
            <v>30267</v>
          </cell>
          <cell r="J31">
            <v>9395</v>
          </cell>
          <cell r="K31">
            <v>-0.689595929560247</v>
          </cell>
          <cell r="L31">
            <v>30267</v>
          </cell>
          <cell r="M31">
            <v>9395</v>
          </cell>
          <cell r="N31">
            <v>-0.689595929560247</v>
          </cell>
          <cell r="O31">
            <v>8945</v>
          </cell>
          <cell r="P31">
            <v>1580</v>
          </cell>
          <cell r="Q31">
            <v>-0.823365008384572</v>
          </cell>
          <cell r="R31">
            <v>39212</v>
          </cell>
          <cell r="S31">
            <v>10975</v>
          </cell>
          <cell r="T31">
            <v>-0.720111190451902</v>
          </cell>
        </row>
        <row r="31">
          <cell r="V31">
            <v>11195</v>
          </cell>
          <cell r="W31" t="e">
            <v>#DIV/0!</v>
          </cell>
          <cell r="X31">
            <v>39212</v>
          </cell>
          <cell r="Y31">
            <v>22170</v>
          </cell>
          <cell r="Z31">
            <v>-0.43461185351423</v>
          </cell>
          <cell r="AA31">
            <v>21043</v>
          </cell>
        </row>
        <row r="31">
          <cell r="AC31">
            <v>-1</v>
          </cell>
          <cell r="AD31">
            <v>60255</v>
          </cell>
          <cell r="AE31">
            <v>22170</v>
          </cell>
          <cell r="AF31">
            <v>-0.632063729151108</v>
          </cell>
          <cell r="AG31">
            <v>11195</v>
          </cell>
          <cell r="AH31">
            <v>15533</v>
          </cell>
          <cell r="AI31">
            <v>0.387494417150514</v>
          </cell>
          <cell r="AJ31">
            <v>71450</v>
          </cell>
          <cell r="AK31">
            <v>37703</v>
          </cell>
          <cell r="AL31">
            <v>-0.472316305108467</v>
          </cell>
          <cell r="AM31">
            <v>20590</v>
          </cell>
          <cell r="AN31">
            <v>730</v>
          </cell>
          <cell r="AO31">
            <v>-0.964545896066051</v>
          </cell>
          <cell r="AP31">
            <v>92040</v>
          </cell>
          <cell r="AQ31">
            <v>38433</v>
          </cell>
          <cell r="AR31">
            <v>-0.582431551499348</v>
          </cell>
          <cell r="AS31">
            <v>18790</v>
          </cell>
        </row>
        <row r="31">
          <cell r="AU31">
            <v>-1</v>
          </cell>
          <cell r="AV31">
            <v>110830</v>
          </cell>
          <cell r="AW31">
            <v>38433</v>
          </cell>
          <cell r="AX31">
            <v>-0.653225660922133</v>
          </cell>
        </row>
        <row r="31">
          <cell r="BA31" t="e">
            <v>#DIV/0!</v>
          </cell>
          <cell r="BB31">
            <v>110830</v>
          </cell>
          <cell r="BC31">
            <v>38433</v>
          </cell>
          <cell r="BD31">
            <v>-0.653225660922133</v>
          </cell>
        </row>
        <row r="31">
          <cell r="BF31">
            <v>11195</v>
          </cell>
          <cell r="BG31" t="e">
            <v>#DIV/0!</v>
          </cell>
          <cell r="BH31">
            <v>110830</v>
          </cell>
          <cell r="BI31">
            <v>49628</v>
          </cell>
          <cell r="BJ31">
            <v>-0.55221510421366</v>
          </cell>
          <cell r="BK31">
            <v>16307</v>
          </cell>
          <cell r="BL31">
            <v>790</v>
          </cell>
          <cell r="BM31">
            <v>-0.951554547127001</v>
          </cell>
          <cell r="BN31">
            <v>127137</v>
          </cell>
          <cell r="BO31">
            <v>50418</v>
          </cell>
          <cell r="BP31">
            <v>-0.603435663890134</v>
          </cell>
          <cell r="BQ31">
            <v>41741</v>
          </cell>
          <cell r="BR31">
            <v>15395.36</v>
          </cell>
        </row>
        <row r="32">
          <cell r="B32" t="str">
            <v>杭州森澜环境科技有限公司</v>
          </cell>
          <cell r="C32" t="str">
            <v>暖通</v>
          </cell>
          <cell r="D32" t="str">
            <v>滨江</v>
          </cell>
          <cell r="E32" t="str">
            <v>暖通</v>
          </cell>
          <cell r="F32">
            <v>30962</v>
          </cell>
        </row>
        <row r="32">
          <cell r="H32">
            <v>-1</v>
          </cell>
        </row>
        <row r="32">
          <cell r="J32">
            <v>8351</v>
          </cell>
          <cell r="K32" t="e">
            <v>#DIV/0!</v>
          </cell>
          <cell r="L32">
            <v>30962</v>
          </cell>
          <cell r="M32">
            <v>8351</v>
          </cell>
          <cell r="N32">
            <v>-0.730282281506363</v>
          </cell>
        </row>
        <row r="32">
          <cell r="Q32" t="e">
            <v>#DIV/0!</v>
          </cell>
          <cell r="R32">
            <v>30962</v>
          </cell>
          <cell r="S32">
            <v>8351</v>
          </cell>
          <cell r="T32">
            <v>-0.730282281506363</v>
          </cell>
        </row>
        <row r="32">
          <cell r="W32" t="e">
            <v>#DIV/0!</v>
          </cell>
          <cell r="X32">
            <v>30962</v>
          </cell>
          <cell r="Y32">
            <v>8351</v>
          </cell>
          <cell r="Z32">
            <v>-0.730282281506363</v>
          </cell>
        </row>
        <row r="32">
          <cell r="AC32" t="e">
            <v>#DIV/0!</v>
          </cell>
          <cell r="AD32">
            <v>30962</v>
          </cell>
          <cell r="AE32">
            <v>8351</v>
          </cell>
          <cell r="AF32">
            <v>-0.730282281506363</v>
          </cell>
          <cell r="AG32">
            <v>6635</v>
          </cell>
        </row>
        <row r="32">
          <cell r="AI32">
            <v>-1</v>
          </cell>
          <cell r="AJ32">
            <v>37597</v>
          </cell>
          <cell r="AK32">
            <v>8351</v>
          </cell>
          <cell r="AL32">
            <v>-0.777881213926643</v>
          </cell>
        </row>
        <row r="32">
          <cell r="AO32" t="e">
            <v>#DIV/0!</v>
          </cell>
          <cell r="AP32">
            <v>37597</v>
          </cell>
          <cell r="AQ32">
            <v>8351</v>
          </cell>
          <cell r="AR32">
            <v>-0.777881213926643</v>
          </cell>
        </row>
        <row r="32">
          <cell r="AU32" t="e">
            <v>#DIV/0!</v>
          </cell>
          <cell r="AV32">
            <v>37597</v>
          </cell>
          <cell r="AW32">
            <v>8351</v>
          </cell>
          <cell r="AX32">
            <v>-0.777881213926643</v>
          </cell>
        </row>
        <row r="32">
          <cell r="BA32" t="e">
            <v>#DIV/0!</v>
          </cell>
          <cell r="BB32">
            <v>37597</v>
          </cell>
          <cell r="BC32">
            <v>8351</v>
          </cell>
          <cell r="BD32">
            <v>-0.777881213926643</v>
          </cell>
        </row>
        <row r="32">
          <cell r="BG32" t="e">
            <v>#DIV/0!</v>
          </cell>
          <cell r="BH32">
            <v>37597</v>
          </cell>
          <cell r="BI32">
            <v>8351</v>
          </cell>
          <cell r="BJ32">
            <v>-0.777881213926643</v>
          </cell>
        </row>
        <row r="32">
          <cell r="BM32" t="e">
            <v>#DIV/0!</v>
          </cell>
          <cell r="BN32">
            <v>37597</v>
          </cell>
          <cell r="BO32">
            <v>8351</v>
          </cell>
          <cell r="BP32">
            <v>-0.777881213926643</v>
          </cell>
        </row>
        <row r="33">
          <cell r="B33" t="str">
            <v>杭州顶戴环境设备有限公司</v>
          </cell>
          <cell r="C33" t="str">
            <v>暖通</v>
          </cell>
          <cell r="D33" t="str">
            <v>萧山</v>
          </cell>
          <cell r="E33" t="str">
            <v>暖通</v>
          </cell>
        </row>
        <row r="33">
          <cell r="G33">
            <v>10859</v>
          </cell>
          <cell r="H33" t="e">
            <v>#DIV/0!</v>
          </cell>
        </row>
        <row r="33">
          <cell r="K33" t="e">
            <v>#DIV/0!</v>
          </cell>
          <cell r="L33">
            <v>0</v>
          </cell>
          <cell r="M33">
            <v>10859</v>
          </cell>
          <cell r="N33" t="e">
            <v>#DIV/0!</v>
          </cell>
        </row>
        <row r="33">
          <cell r="Q33" t="e">
            <v>#DIV/0!</v>
          </cell>
          <cell r="R33">
            <v>0</v>
          </cell>
          <cell r="S33">
            <v>10859</v>
          </cell>
          <cell r="T33" t="e">
            <v>#DIV/0!</v>
          </cell>
        </row>
        <row r="33">
          <cell r="W33" t="e">
            <v>#DIV/0!</v>
          </cell>
          <cell r="X33">
            <v>0</v>
          </cell>
          <cell r="Y33">
            <v>10859</v>
          </cell>
          <cell r="Z33" t="e">
            <v>#DIV/0!</v>
          </cell>
        </row>
        <row r="33">
          <cell r="AC33" t="e">
            <v>#DIV/0!</v>
          </cell>
          <cell r="AD33">
            <v>0</v>
          </cell>
          <cell r="AE33">
            <v>10859</v>
          </cell>
          <cell r="AF33" t="e">
            <v>#DIV/0!</v>
          </cell>
        </row>
        <row r="33">
          <cell r="AI33" t="e">
            <v>#DIV/0!</v>
          </cell>
          <cell r="AJ33">
            <v>0</v>
          </cell>
          <cell r="AK33">
            <v>10859</v>
          </cell>
          <cell r="AL33" t="e">
            <v>#DIV/0!</v>
          </cell>
        </row>
        <row r="33">
          <cell r="AO33" t="e">
            <v>#DIV/0!</v>
          </cell>
          <cell r="AP33">
            <v>0</v>
          </cell>
          <cell r="AQ33">
            <v>10859</v>
          </cell>
          <cell r="AR33" t="e">
            <v>#DIV/0!</v>
          </cell>
        </row>
        <row r="33">
          <cell r="AU33" t="e">
            <v>#DIV/0!</v>
          </cell>
          <cell r="AV33">
            <v>0</v>
          </cell>
          <cell r="AW33">
            <v>10859</v>
          </cell>
          <cell r="AX33" t="e">
            <v>#DIV/0!</v>
          </cell>
        </row>
        <row r="33">
          <cell r="BA33" t="e">
            <v>#DIV/0!</v>
          </cell>
          <cell r="BB33">
            <v>0</v>
          </cell>
          <cell r="BC33">
            <v>10859</v>
          </cell>
          <cell r="BD33" t="e">
            <v>#DIV/0!</v>
          </cell>
        </row>
        <row r="33">
          <cell r="BG33" t="e">
            <v>#DIV/0!</v>
          </cell>
          <cell r="BH33">
            <v>0</v>
          </cell>
          <cell r="BI33">
            <v>10859</v>
          </cell>
          <cell r="BJ33" t="e">
            <v>#DIV/0!</v>
          </cell>
        </row>
        <row r="33">
          <cell r="BM33" t="e">
            <v>#DIV/0!</v>
          </cell>
          <cell r="BN33">
            <v>0</v>
          </cell>
          <cell r="BO33">
            <v>10859</v>
          </cell>
          <cell r="BP33" t="e">
            <v>#DIV/0!</v>
          </cell>
          <cell r="BQ33">
            <v>16092</v>
          </cell>
        </row>
        <row r="34">
          <cell r="B34" t="str">
            <v>杭州市江干区百丰电器商行</v>
          </cell>
          <cell r="C34" t="str">
            <v>经销</v>
          </cell>
          <cell r="D34" t="str">
            <v>上城</v>
          </cell>
          <cell r="E34" t="str">
            <v>党营军</v>
          </cell>
        </row>
        <row r="34">
          <cell r="H34" t="e">
            <v>#DIV/0!</v>
          </cell>
          <cell r="I34">
            <v>1590</v>
          </cell>
        </row>
        <row r="34">
          <cell r="K34">
            <v>-1</v>
          </cell>
          <cell r="L34">
            <v>1590</v>
          </cell>
          <cell r="M34">
            <v>0</v>
          </cell>
          <cell r="N34">
            <v>-1</v>
          </cell>
        </row>
        <row r="34">
          <cell r="Q34" t="e">
            <v>#DIV/0!</v>
          </cell>
          <cell r="R34">
            <v>1590</v>
          </cell>
          <cell r="S34">
            <v>0</v>
          </cell>
          <cell r="T34">
            <v>-1</v>
          </cell>
        </row>
        <row r="34">
          <cell r="W34" t="e">
            <v>#DIV/0!</v>
          </cell>
          <cell r="X34">
            <v>1590</v>
          </cell>
          <cell r="Y34">
            <v>0</v>
          </cell>
          <cell r="Z34">
            <v>-1</v>
          </cell>
        </row>
        <row r="34">
          <cell r="AC34" t="e">
            <v>#DIV/0!</v>
          </cell>
          <cell r="AD34">
            <v>1590</v>
          </cell>
          <cell r="AE34">
            <v>0</v>
          </cell>
          <cell r="AF34">
            <v>-1</v>
          </cell>
        </row>
        <row r="34">
          <cell r="AI34" t="e">
            <v>#DIV/0!</v>
          </cell>
          <cell r="AJ34">
            <v>1590</v>
          </cell>
          <cell r="AK34">
            <v>0</v>
          </cell>
          <cell r="AL34">
            <v>-1</v>
          </cell>
        </row>
        <row r="34">
          <cell r="AO34" t="e">
            <v>#DIV/0!</v>
          </cell>
          <cell r="AP34">
            <v>1590</v>
          </cell>
          <cell r="AQ34">
            <v>0</v>
          </cell>
          <cell r="AR34">
            <v>-1</v>
          </cell>
        </row>
        <row r="34">
          <cell r="AU34" t="e">
            <v>#DIV/0!</v>
          </cell>
          <cell r="AV34">
            <v>1590</v>
          </cell>
          <cell r="AW34">
            <v>0</v>
          </cell>
          <cell r="AX34">
            <v>-1</v>
          </cell>
        </row>
        <row r="34">
          <cell r="BA34" t="e">
            <v>#DIV/0!</v>
          </cell>
          <cell r="BB34">
            <v>1590</v>
          </cell>
          <cell r="BC34">
            <v>0</v>
          </cell>
          <cell r="BD34">
            <v>-1</v>
          </cell>
        </row>
        <row r="34">
          <cell r="BG34" t="e">
            <v>#DIV/0!</v>
          </cell>
          <cell r="BH34">
            <v>1590</v>
          </cell>
          <cell r="BI34">
            <v>0</v>
          </cell>
          <cell r="BJ34">
            <v>-1</v>
          </cell>
        </row>
        <row r="34">
          <cell r="BM34" t="e">
            <v>#DIV/0!</v>
          </cell>
          <cell r="BN34">
            <v>1590</v>
          </cell>
          <cell r="BO34">
            <v>0</v>
          </cell>
          <cell r="BP34">
            <v>-1</v>
          </cell>
        </row>
        <row r="35">
          <cell r="B35" t="str">
            <v>杭州晨澜暖通设备有限公司</v>
          </cell>
          <cell r="C35" t="str">
            <v>暖通</v>
          </cell>
          <cell r="D35" t="str">
            <v>萧山</v>
          </cell>
          <cell r="E35" t="str">
            <v>暖通</v>
          </cell>
        </row>
        <row r="35">
          <cell r="H35" t="e">
            <v>#DIV/0!</v>
          </cell>
        </row>
        <row r="35">
          <cell r="K35" t="e">
            <v>#DIV/0!</v>
          </cell>
          <cell r="L35">
            <v>0</v>
          </cell>
          <cell r="M35">
            <v>0</v>
          </cell>
          <cell r="N35" t="e">
            <v>#DIV/0!</v>
          </cell>
        </row>
        <row r="35">
          <cell r="Q35" t="e">
            <v>#DIV/0!</v>
          </cell>
          <cell r="R35">
            <v>0</v>
          </cell>
          <cell r="S35">
            <v>0</v>
          </cell>
          <cell r="T35" t="e">
            <v>#DIV/0!</v>
          </cell>
        </row>
        <row r="35">
          <cell r="W35" t="e">
            <v>#DIV/0!</v>
          </cell>
          <cell r="X35">
            <v>0</v>
          </cell>
          <cell r="Y35">
            <v>0</v>
          </cell>
          <cell r="Z35" t="e">
            <v>#DIV/0!</v>
          </cell>
        </row>
        <row r="35">
          <cell r="AC35" t="e">
            <v>#DIV/0!</v>
          </cell>
          <cell r="AD35">
            <v>0</v>
          </cell>
          <cell r="AE35">
            <v>0</v>
          </cell>
          <cell r="AF35" t="e">
            <v>#DIV/0!</v>
          </cell>
        </row>
        <row r="35">
          <cell r="AI35" t="e">
            <v>#DIV/0!</v>
          </cell>
          <cell r="AJ35">
            <v>0</v>
          </cell>
          <cell r="AK35">
            <v>0</v>
          </cell>
          <cell r="AL35" t="e">
            <v>#DIV/0!</v>
          </cell>
        </row>
        <row r="35">
          <cell r="AO35" t="e">
            <v>#DIV/0!</v>
          </cell>
          <cell r="AP35">
            <v>0</v>
          </cell>
          <cell r="AQ35">
            <v>0</v>
          </cell>
          <cell r="AR35" t="e">
            <v>#DIV/0!</v>
          </cell>
        </row>
        <row r="35">
          <cell r="AU35" t="e">
            <v>#DIV/0!</v>
          </cell>
          <cell r="AV35">
            <v>0</v>
          </cell>
          <cell r="AW35">
            <v>0</v>
          </cell>
          <cell r="AX35" t="e">
            <v>#DIV/0!</v>
          </cell>
        </row>
        <row r="35">
          <cell r="BA35" t="e">
            <v>#DIV/0!</v>
          </cell>
          <cell r="BB35">
            <v>0</v>
          </cell>
          <cell r="BC35">
            <v>0</v>
          </cell>
          <cell r="BD35" t="e">
            <v>#DIV/0!</v>
          </cell>
        </row>
        <row r="35">
          <cell r="BG35" t="e">
            <v>#DIV/0!</v>
          </cell>
          <cell r="BH35">
            <v>0</v>
          </cell>
          <cell r="BI35">
            <v>0</v>
          </cell>
          <cell r="BJ35" t="e">
            <v>#DIV/0!</v>
          </cell>
          <cell r="BK35">
            <v>4911</v>
          </cell>
        </row>
        <row r="35">
          <cell r="BM35">
            <v>-1</v>
          </cell>
          <cell r="BN35">
            <v>4911</v>
          </cell>
          <cell r="BO35">
            <v>0</v>
          </cell>
          <cell r="BP35">
            <v>-1</v>
          </cell>
        </row>
        <row r="36">
          <cell r="B36" t="str">
            <v>杭州扎美珂暖通设备有限公司</v>
          </cell>
          <cell r="C36" t="str">
            <v>暖通</v>
          </cell>
          <cell r="D36" t="str">
            <v>拱墅</v>
          </cell>
          <cell r="E36" t="str">
            <v>暖通</v>
          </cell>
        </row>
        <row r="36">
          <cell r="H36" t="e">
            <v>#DIV/0!</v>
          </cell>
        </row>
        <row r="36">
          <cell r="K36" t="e">
            <v>#DIV/0!</v>
          </cell>
          <cell r="L36">
            <v>0</v>
          </cell>
          <cell r="M36">
            <v>0</v>
          </cell>
          <cell r="N36" t="e">
            <v>#DIV/0!</v>
          </cell>
        </row>
        <row r="36">
          <cell r="Q36" t="e">
            <v>#DIV/0!</v>
          </cell>
          <cell r="R36">
            <v>0</v>
          </cell>
          <cell r="S36">
            <v>0</v>
          </cell>
          <cell r="T36" t="e">
            <v>#DIV/0!</v>
          </cell>
        </row>
        <row r="36">
          <cell r="W36" t="e">
            <v>#DIV/0!</v>
          </cell>
          <cell r="X36">
            <v>0</v>
          </cell>
          <cell r="Y36">
            <v>0</v>
          </cell>
          <cell r="Z36" t="e">
            <v>#DIV/0!</v>
          </cell>
          <cell r="AA36">
            <v>2991</v>
          </cell>
        </row>
        <row r="36">
          <cell r="AC36">
            <v>-1</v>
          </cell>
          <cell r="AD36">
            <v>2991</v>
          </cell>
          <cell r="AE36">
            <v>0</v>
          </cell>
          <cell r="AF36">
            <v>-1</v>
          </cell>
        </row>
        <row r="36">
          <cell r="AI36" t="e">
            <v>#DIV/0!</v>
          </cell>
          <cell r="AJ36">
            <v>2991</v>
          </cell>
          <cell r="AK36">
            <v>0</v>
          </cell>
          <cell r="AL36">
            <v>-1</v>
          </cell>
          <cell r="AM36">
            <v>9561</v>
          </cell>
        </row>
        <row r="36">
          <cell r="AO36">
            <v>-1</v>
          </cell>
          <cell r="AP36">
            <v>12552</v>
          </cell>
          <cell r="AQ36">
            <v>0</v>
          </cell>
          <cell r="AR36">
            <v>-1</v>
          </cell>
        </row>
        <row r="36">
          <cell r="AU36" t="e">
            <v>#DIV/0!</v>
          </cell>
          <cell r="AV36">
            <v>12552</v>
          </cell>
          <cell r="AW36">
            <v>0</v>
          </cell>
          <cell r="AX36">
            <v>-1</v>
          </cell>
        </row>
        <row r="36">
          <cell r="BA36" t="e">
            <v>#DIV/0!</v>
          </cell>
          <cell r="BB36">
            <v>12552</v>
          </cell>
          <cell r="BC36">
            <v>0</v>
          </cell>
          <cell r="BD36">
            <v>-1</v>
          </cell>
          <cell r="BE36">
            <v>2175</v>
          </cell>
        </row>
        <row r="36">
          <cell r="BG36">
            <v>-1</v>
          </cell>
          <cell r="BH36">
            <v>14727</v>
          </cell>
          <cell r="BI36">
            <v>0</v>
          </cell>
          <cell r="BJ36">
            <v>-1</v>
          </cell>
        </row>
        <row r="36">
          <cell r="BM36" t="e">
            <v>#DIV/0!</v>
          </cell>
          <cell r="BN36">
            <v>14727</v>
          </cell>
          <cell r="BO36">
            <v>0</v>
          </cell>
          <cell r="BP36">
            <v>-1</v>
          </cell>
          <cell r="BQ36">
            <v>3070</v>
          </cell>
        </row>
        <row r="37">
          <cell r="B37" t="str">
            <v>杭州晶东科技有限公司</v>
          </cell>
          <cell r="C37" t="str">
            <v>暖通</v>
          </cell>
          <cell r="D37" t="str">
            <v>滨江</v>
          </cell>
          <cell r="E37" t="str">
            <v>暖通</v>
          </cell>
          <cell r="F37">
            <v>8011</v>
          </cell>
        </row>
        <row r="37">
          <cell r="H37">
            <v>-1</v>
          </cell>
          <cell r="I37">
            <v>2863.5</v>
          </cell>
        </row>
        <row r="37">
          <cell r="K37">
            <v>-1</v>
          </cell>
          <cell r="L37">
            <v>10874.5</v>
          </cell>
          <cell r="M37">
            <v>0</v>
          </cell>
          <cell r="N37">
            <v>-1</v>
          </cell>
          <cell r="O37">
            <v>8682</v>
          </cell>
        </row>
        <row r="37">
          <cell r="Q37">
            <v>-1</v>
          </cell>
          <cell r="R37">
            <v>19556.5</v>
          </cell>
          <cell r="S37">
            <v>0</v>
          </cell>
          <cell r="T37">
            <v>-1</v>
          </cell>
        </row>
        <row r="37">
          <cell r="W37" t="e">
            <v>#DIV/0!</v>
          </cell>
          <cell r="X37">
            <v>19556.5</v>
          </cell>
          <cell r="Y37">
            <v>0</v>
          </cell>
          <cell r="Z37">
            <v>-1</v>
          </cell>
        </row>
        <row r="37">
          <cell r="AC37" t="e">
            <v>#DIV/0!</v>
          </cell>
          <cell r="AD37">
            <v>19556.5</v>
          </cell>
          <cell r="AE37">
            <v>0</v>
          </cell>
          <cell r="AF37">
            <v>-1</v>
          </cell>
        </row>
        <row r="37">
          <cell r="AI37" t="e">
            <v>#DIV/0!</v>
          </cell>
          <cell r="AJ37">
            <v>19556.5</v>
          </cell>
          <cell r="AK37">
            <v>0</v>
          </cell>
          <cell r="AL37">
            <v>-1</v>
          </cell>
        </row>
        <row r="37">
          <cell r="AO37" t="e">
            <v>#DIV/0!</v>
          </cell>
          <cell r="AP37">
            <v>19556.5</v>
          </cell>
          <cell r="AQ37">
            <v>0</v>
          </cell>
          <cell r="AR37">
            <v>-1</v>
          </cell>
        </row>
        <row r="37">
          <cell r="AU37" t="e">
            <v>#DIV/0!</v>
          </cell>
          <cell r="AV37">
            <v>19556.5</v>
          </cell>
          <cell r="AW37">
            <v>0</v>
          </cell>
          <cell r="AX37">
            <v>-1</v>
          </cell>
        </row>
        <row r="37">
          <cell r="BA37" t="e">
            <v>#DIV/0!</v>
          </cell>
          <cell r="BB37">
            <v>19556.5</v>
          </cell>
          <cell r="BC37">
            <v>0</v>
          </cell>
          <cell r="BD37">
            <v>-1</v>
          </cell>
        </row>
        <row r="37">
          <cell r="BG37" t="e">
            <v>#DIV/0!</v>
          </cell>
          <cell r="BH37">
            <v>19556.5</v>
          </cell>
          <cell r="BI37">
            <v>0</v>
          </cell>
          <cell r="BJ37">
            <v>-1</v>
          </cell>
        </row>
        <row r="37">
          <cell r="BM37" t="e">
            <v>#DIV/0!</v>
          </cell>
          <cell r="BN37">
            <v>19556.5</v>
          </cell>
          <cell r="BO37">
            <v>0</v>
          </cell>
          <cell r="BP37">
            <v>-1</v>
          </cell>
        </row>
        <row r="38">
          <cell r="B38" t="str">
            <v>杭州临安久信电器有限公司</v>
          </cell>
          <cell r="C38" t="str">
            <v>暖通</v>
          </cell>
          <cell r="D38" t="str">
            <v>临安</v>
          </cell>
          <cell r="E38" t="str">
            <v>党营军</v>
          </cell>
        </row>
        <row r="38">
          <cell r="H38" t="e">
            <v>#DIV/0!</v>
          </cell>
        </row>
        <row r="38">
          <cell r="K38" t="e">
            <v>#DIV/0!</v>
          </cell>
          <cell r="L38">
            <v>0</v>
          </cell>
          <cell r="M38">
            <v>0</v>
          </cell>
          <cell r="N38" t="e">
            <v>#DIV/0!</v>
          </cell>
        </row>
        <row r="38">
          <cell r="Q38" t="e">
            <v>#DIV/0!</v>
          </cell>
          <cell r="R38">
            <v>0</v>
          </cell>
          <cell r="S38">
            <v>0</v>
          </cell>
          <cell r="T38" t="e">
            <v>#DIV/0!</v>
          </cell>
        </row>
        <row r="38">
          <cell r="W38" t="e">
            <v>#DIV/0!</v>
          </cell>
          <cell r="X38">
            <v>0</v>
          </cell>
          <cell r="Y38">
            <v>0</v>
          </cell>
          <cell r="Z38" t="e">
            <v>#DIV/0!</v>
          </cell>
        </row>
        <row r="38">
          <cell r="AC38" t="e">
            <v>#DIV/0!</v>
          </cell>
          <cell r="AD38">
            <v>0</v>
          </cell>
          <cell r="AE38">
            <v>0</v>
          </cell>
          <cell r="AF38" t="e">
            <v>#DIV/0!</v>
          </cell>
        </row>
        <row r="38">
          <cell r="AI38" t="e">
            <v>#DIV/0!</v>
          </cell>
          <cell r="AJ38">
            <v>0</v>
          </cell>
          <cell r="AK38">
            <v>0</v>
          </cell>
          <cell r="AL38" t="e">
            <v>#DIV/0!</v>
          </cell>
        </row>
        <row r="38">
          <cell r="AO38" t="e">
            <v>#DIV/0!</v>
          </cell>
          <cell r="AP38">
            <v>0</v>
          </cell>
          <cell r="AQ38">
            <v>0</v>
          </cell>
          <cell r="AR38" t="e">
            <v>#DIV/0!</v>
          </cell>
        </row>
        <row r="38">
          <cell r="AU38" t="e">
            <v>#DIV/0!</v>
          </cell>
          <cell r="AV38">
            <v>0</v>
          </cell>
          <cell r="AW38">
            <v>0</v>
          </cell>
          <cell r="AX38" t="e">
            <v>#DIV/0!</v>
          </cell>
          <cell r="AY38">
            <v>5788</v>
          </cell>
        </row>
        <row r="38">
          <cell r="BA38">
            <v>-1</v>
          </cell>
          <cell r="BB38">
            <v>5788</v>
          </cell>
          <cell r="BC38">
            <v>0</v>
          </cell>
          <cell r="BD38">
            <v>-1</v>
          </cell>
        </row>
        <row r="38">
          <cell r="BG38" t="e">
            <v>#DIV/0!</v>
          </cell>
          <cell r="BH38">
            <v>5788</v>
          </cell>
          <cell r="BI38">
            <v>0</v>
          </cell>
          <cell r="BJ38">
            <v>-1</v>
          </cell>
        </row>
        <row r="38">
          <cell r="BM38" t="e">
            <v>#DIV/0!</v>
          </cell>
          <cell r="BN38">
            <v>5788</v>
          </cell>
          <cell r="BO38">
            <v>0</v>
          </cell>
          <cell r="BP38">
            <v>-1</v>
          </cell>
        </row>
        <row r="39">
          <cell r="B39" t="str">
            <v>杭州汇意商贸有限公司</v>
          </cell>
          <cell r="C39" t="str">
            <v>暖通</v>
          </cell>
          <cell r="D39" t="str">
            <v>拱墅</v>
          </cell>
          <cell r="E39" t="str">
            <v>暖通</v>
          </cell>
        </row>
        <row r="39">
          <cell r="J39">
            <v>22000</v>
          </cell>
          <cell r="K39" t="e">
            <v>#DIV/0!</v>
          </cell>
          <cell r="L39">
            <v>0</v>
          </cell>
          <cell r="M39">
            <v>22000</v>
          </cell>
          <cell r="N39" t="e">
            <v>#DIV/0!</v>
          </cell>
        </row>
        <row r="39">
          <cell r="Q39" t="e">
            <v>#DIV/0!</v>
          </cell>
          <cell r="R39">
            <v>0</v>
          </cell>
          <cell r="S39">
            <v>22000</v>
          </cell>
          <cell r="T39" t="e">
            <v>#DIV/0!</v>
          </cell>
        </row>
        <row r="39">
          <cell r="W39" t="e">
            <v>#DIV/0!</v>
          </cell>
          <cell r="X39">
            <v>0</v>
          </cell>
          <cell r="Y39">
            <v>22000</v>
          </cell>
          <cell r="Z39" t="e">
            <v>#DIV/0!</v>
          </cell>
        </row>
        <row r="39">
          <cell r="AC39" t="e">
            <v>#DIV/0!</v>
          </cell>
          <cell r="AD39">
            <v>0</v>
          </cell>
          <cell r="AE39">
            <v>22000</v>
          </cell>
          <cell r="AF39" t="e">
            <v>#DIV/0!</v>
          </cell>
        </row>
        <row r="39">
          <cell r="AI39" t="e">
            <v>#DIV/0!</v>
          </cell>
          <cell r="AJ39">
            <v>0</v>
          </cell>
          <cell r="AK39">
            <v>22000</v>
          </cell>
          <cell r="AL39" t="e">
            <v>#DIV/0!</v>
          </cell>
        </row>
        <row r="39">
          <cell r="AO39" t="e">
            <v>#DIV/0!</v>
          </cell>
          <cell r="AP39">
            <v>0</v>
          </cell>
          <cell r="AQ39">
            <v>22000</v>
          </cell>
          <cell r="AR39" t="e">
            <v>#DIV/0!</v>
          </cell>
        </row>
        <row r="39">
          <cell r="AU39" t="e">
            <v>#DIV/0!</v>
          </cell>
          <cell r="AV39">
            <v>0</v>
          </cell>
          <cell r="AW39">
            <v>22000</v>
          </cell>
          <cell r="AX39" t="e">
            <v>#DIV/0!</v>
          </cell>
        </row>
        <row r="39">
          <cell r="BA39" t="e">
            <v>#DIV/0!</v>
          </cell>
        </row>
        <row r="39">
          <cell r="BC39">
            <v>22000</v>
          </cell>
          <cell r="BD39" t="e">
            <v>#DIV/0!</v>
          </cell>
        </row>
        <row r="39">
          <cell r="BG39" t="e">
            <v>#DIV/0!</v>
          </cell>
          <cell r="BH39">
            <v>0</v>
          </cell>
          <cell r="BI39">
            <v>22000</v>
          </cell>
          <cell r="BJ39" t="e">
            <v>#DIV/0!</v>
          </cell>
        </row>
        <row r="39">
          <cell r="BM39" t="e">
            <v>#DIV/0!</v>
          </cell>
          <cell r="BN39">
            <v>0</v>
          </cell>
          <cell r="BO39">
            <v>22000</v>
          </cell>
          <cell r="BP39" t="e">
            <v>#DIV/0!</v>
          </cell>
        </row>
        <row r="40">
          <cell r="B40" t="str">
            <v>浙江初韵供应链管理有限公司</v>
          </cell>
          <cell r="C40" t="str">
            <v>经销</v>
          </cell>
          <cell r="D40" t="str">
            <v>上城</v>
          </cell>
          <cell r="E40" t="str">
            <v>董培培</v>
          </cell>
        </row>
        <row r="40">
          <cell r="AZ40">
            <v>10000</v>
          </cell>
          <cell r="BA40" t="e">
            <v>#DIV/0!</v>
          </cell>
        </row>
        <row r="40">
          <cell r="BC40">
            <v>10000</v>
          </cell>
          <cell r="BD40" t="e">
            <v>#DIV/0!</v>
          </cell>
        </row>
        <row r="40">
          <cell r="BF40">
            <v>30000</v>
          </cell>
          <cell r="BG40" t="e">
            <v>#DIV/0!</v>
          </cell>
          <cell r="BH40">
            <v>0</v>
          </cell>
          <cell r="BI40">
            <v>40000</v>
          </cell>
          <cell r="BJ40" t="e">
            <v>#DIV/0!</v>
          </cell>
        </row>
        <row r="40">
          <cell r="BL40">
            <v>20000</v>
          </cell>
          <cell r="BM40" t="e">
            <v>#DIV/0!</v>
          </cell>
          <cell r="BN40">
            <v>0</v>
          </cell>
          <cell r="BO40">
            <v>60000</v>
          </cell>
          <cell r="BP40" t="e">
            <v>#DIV/0!</v>
          </cell>
        </row>
        <row r="40">
          <cell r="BR40">
            <v>20000</v>
          </cell>
        </row>
        <row r="41">
          <cell r="B41" t="str">
            <v>杭州红星美凯龙一号店</v>
          </cell>
          <cell r="C41" t="str">
            <v>直营</v>
          </cell>
          <cell r="D41" t="str">
            <v>西湖</v>
          </cell>
          <cell r="E41" t="str">
            <v>专卖店</v>
          </cell>
        </row>
        <row r="41">
          <cell r="BR41">
            <v>30456</v>
          </cell>
        </row>
        <row r="42">
          <cell r="B42" t="str">
            <v>汇总</v>
          </cell>
        </row>
        <row r="42">
          <cell r="F42">
            <v>2995343.6</v>
          </cell>
          <cell r="G42">
            <v>2032111.54</v>
          </cell>
          <cell r="H42">
            <v>-0.321576482911677</v>
          </cell>
          <cell r="I42">
            <v>2047388.25</v>
          </cell>
          <cell r="J42">
            <v>2546068.44</v>
          </cell>
          <cell r="K42">
            <v>0.243568942041159</v>
          </cell>
          <cell r="L42">
            <v>5042731.85</v>
          </cell>
          <cell r="M42">
            <v>4578179.98</v>
          </cell>
          <cell r="N42">
            <v>-0.0921230562755384</v>
          </cell>
          <cell r="O42">
            <v>3865614.92</v>
          </cell>
          <cell r="P42">
            <v>3506670.85</v>
          </cell>
          <cell r="Q42">
            <v>-0.0928556199798608</v>
          </cell>
          <cell r="R42">
            <v>8908346.77</v>
          </cell>
          <cell r="S42">
            <v>8084850.83</v>
          </cell>
          <cell r="T42">
            <v>-0.0924409389599906</v>
          </cell>
          <cell r="U42">
            <v>3911761.05</v>
          </cell>
          <cell r="V42">
            <v>2219471.64</v>
          </cell>
          <cell r="W42">
            <v>-0.432615742211555</v>
          </cell>
          <cell r="X42">
            <v>12820107.82</v>
          </cell>
          <cell r="Y42">
            <v>10304322.47</v>
          </cell>
          <cell r="Z42">
            <v>-0.196237456449099</v>
          </cell>
          <cell r="AA42">
            <v>2756126.47</v>
          </cell>
          <cell r="AB42">
            <v>3334800.83</v>
          </cell>
          <cell r="AC42">
            <v>0.209959291164168</v>
          </cell>
          <cell r="AD42">
            <v>15576234.29</v>
          </cell>
          <cell r="AE42">
            <v>13639123.3</v>
          </cell>
          <cell r="AF42">
            <v>-0.124363241713925</v>
          </cell>
          <cell r="AG42">
            <v>3102682.66</v>
          </cell>
          <cell r="AH42">
            <v>2882200.07</v>
          </cell>
          <cell r="AI42">
            <v>-0.0710619209764753</v>
          </cell>
          <cell r="AJ42">
            <v>18678916.95</v>
          </cell>
          <cell r="AK42">
            <v>16521323.37</v>
          </cell>
          <cell r="AL42">
            <v>-0.115509565451545</v>
          </cell>
          <cell r="AM42">
            <v>2626323.86</v>
          </cell>
          <cell r="AN42">
            <v>2249003.74</v>
          </cell>
          <cell r="AO42">
            <v>-0.143668542081478</v>
          </cell>
          <cell r="AP42">
            <v>21305240.81</v>
          </cell>
          <cell r="AQ42">
            <v>18770327.11</v>
          </cell>
          <cell r="AR42">
            <v>-0.118980757955582</v>
          </cell>
          <cell r="AS42">
            <v>2769011.44</v>
          </cell>
          <cell r="AT42">
            <v>3007773.3</v>
          </cell>
          <cell r="AU42">
            <v>0.086226389877248</v>
          </cell>
          <cell r="AV42">
            <v>24074252.25</v>
          </cell>
          <cell r="AW42">
            <v>21778100.41</v>
          </cell>
          <cell r="AX42">
            <v>-0.09537790898573</v>
          </cell>
          <cell r="AY42">
            <v>4403900.95</v>
          </cell>
          <cell r="AZ42">
            <v>2913993.48</v>
          </cell>
          <cell r="BA42">
            <v>-0.338315390585703</v>
          </cell>
          <cell r="BB42">
            <v>28478153.2</v>
          </cell>
          <cell r="BC42">
            <v>24692093.89</v>
          </cell>
          <cell r="BD42">
            <v>-0.132946096729334</v>
          </cell>
          <cell r="BE42">
            <v>3278348.99</v>
          </cell>
          <cell r="BF42">
            <v>2430851.37</v>
          </cell>
          <cell r="BG42">
            <v>-0.258513545258646</v>
          </cell>
          <cell r="BH42">
            <v>31756502.19</v>
          </cell>
          <cell r="BI42">
            <v>27122945.26</v>
          </cell>
          <cell r="BJ42">
            <v>-0.145908919763181</v>
          </cell>
          <cell r="BK42">
            <v>3395969.69</v>
          </cell>
          <cell r="BL42">
            <v>3168587.86</v>
          </cell>
          <cell r="BM42">
            <v>-0.0669563779292742</v>
          </cell>
          <cell r="BN42">
            <v>35152471.88</v>
          </cell>
          <cell r="BO42">
            <v>30291533.12</v>
          </cell>
          <cell r="BP42">
            <v>-0.138281563145653</v>
          </cell>
          <cell r="BQ42">
            <v>4028163.08</v>
          </cell>
          <cell r="BR42">
            <v>3762442.99</v>
          </cell>
        </row>
        <row r="44">
          <cell r="B44" t="str">
            <v>浙江元天电子商务有限公司</v>
          </cell>
          <cell r="C44" t="str">
            <v>家装</v>
          </cell>
          <cell r="D44" t="str">
            <v>滨江</v>
          </cell>
          <cell r="E44" t="str">
            <v>黄颖</v>
          </cell>
          <cell r="F44">
            <v>21300</v>
          </cell>
        </row>
        <row r="44">
          <cell r="H44">
            <v>-1</v>
          </cell>
        </row>
        <row r="44">
          <cell r="J44">
            <v>15347</v>
          </cell>
          <cell r="K44" t="e">
            <v>#DIV/0!</v>
          </cell>
          <cell r="L44">
            <v>21300</v>
          </cell>
          <cell r="M44">
            <v>15347</v>
          </cell>
          <cell r="N44">
            <v>-0.279483568075117</v>
          </cell>
          <cell r="O44">
            <v>14219</v>
          </cell>
        </row>
        <row r="44">
          <cell r="Q44">
            <v>-1</v>
          </cell>
          <cell r="R44">
            <v>35519</v>
          </cell>
          <cell r="S44">
            <v>15347</v>
          </cell>
          <cell r="T44">
            <v>-0.567921394183395</v>
          </cell>
          <cell r="U44">
            <v>17315</v>
          </cell>
        </row>
        <row r="44">
          <cell r="W44">
            <v>-1</v>
          </cell>
          <cell r="X44">
            <v>52834</v>
          </cell>
          <cell r="Y44">
            <v>15347</v>
          </cell>
          <cell r="Z44">
            <v>-0.709524170042018</v>
          </cell>
        </row>
        <row r="44">
          <cell r="AB44">
            <v>35681</v>
          </cell>
          <cell r="AC44" t="e">
            <v>#DIV/0!</v>
          </cell>
          <cell r="AD44">
            <v>52834</v>
          </cell>
          <cell r="AE44">
            <v>51028</v>
          </cell>
          <cell r="AF44">
            <v>-0.0341825339743347</v>
          </cell>
        </row>
        <row r="44">
          <cell r="AH44">
            <v>11924</v>
          </cell>
          <cell r="AI44" t="e">
            <v>#DIV/0!</v>
          </cell>
          <cell r="AJ44">
            <v>52834</v>
          </cell>
          <cell r="AK44">
            <v>62952</v>
          </cell>
          <cell r="AL44">
            <v>0.191505469962524</v>
          </cell>
          <cell r="AM44">
            <v>29406</v>
          </cell>
          <cell r="AN44">
            <v>65625</v>
          </cell>
          <cell r="AO44">
            <v>1.2316874107325</v>
          </cell>
          <cell r="AP44">
            <v>82240</v>
          </cell>
          <cell r="AQ44">
            <v>128577</v>
          </cell>
          <cell r="AR44">
            <v>0.563436284046693</v>
          </cell>
        </row>
        <row r="44">
          <cell r="AT44">
            <v>63833</v>
          </cell>
          <cell r="AU44" t="e">
            <v>#DIV/0!</v>
          </cell>
          <cell r="AV44">
            <v>82240</v>
          </cell>
          <cell r="AW44">
            <v>192410</v>
          </cell>
          <cell r="AX44">
            <v>1.33961575875486</v>
          </cell>
          <cell r="AY44">
            <v>19778</v>
          </cell>
        </row>
        <row r="44">
          <cell r="BA44">
            <v>-1</v>
          </cell>
          <cell r="BB44">
            <v>102018</v>
          </cell>
          <cell r="BC44">
            <v>192410</v>
          </cell>
          <cell r="BD44">
            <v>0.886039718481052</v>
          </cell>
          <cell r="BE44">
            <v>21376</v>
          </cell>
          <cell r="BF44">
            <v>16871</v>
          </cell>
          <cell r="BG44">
            <v>-0.210750374251497</v>
          </cell>
          <cell r="BH44">
            <v>123394</v>
          </cell>
          <cell r="BI44">
            <v>209281</v>
          </cell>
          <cell r="BJ44">
            <v>0.696038705285508</v>
          </cell>
        </row>
        <row r="44">
          <cell r="BL44">
            <v>24673</v>
          </cell>
          <cell r="BM44" t="e">
            <v>#DIV/0!</v>
          </cell>
          <cell r="BN44">
            <v>123394</v>
          </cell>
          <cell r="BO44">
            <v>233954</v>
          </cell>
          <cell r="BP44">
            <v>0.895991701379321</v>
          </cell>
          <cell r="BQ44">
            <v>22330</v>
          </cell>
          <cell r="BR44">
            <v>28520</v>
          </cell>
        </row>
        <row r="45">
          <cell r="B45" t="str">
            <v>杭州澎湃电器有限公司</v>
          </cell>
          <cell r="C45" t="str">
            <v>家装</v>
          </cell>
          <cell r="D45" t="str">
            <v>上城</v>
          </cell>
          <cell r="E45" t="str">
            <v>黄颖</v>
          </cell>
          <cell r="F45">
            <v>24931.5</v>
          </cell>
        </row>
        <row r="45">
          <cell r="H45">
            <v>-1</v>
          </cell>
        </row>
        <row r="45">
          <cell r="K45" t="e">
            <v>#DIV/0!</v>
          </cell>
          <cell r="L45">
            <v>24931.5</v>
          </cell>
          <cell r="M45">
            <v>0</v>
          </cell>
          <cell r="N45">
            <v>-1</v>
          </cell>
          <cell r="O45">
            <v>9411</v>
          </cell>
          <cell r="P45">
            <v>10879</v>
          </cell>
          <cell r="Q45">
            <v>0.155987673998512</v>
          </cell>
          <cell r="R45">
            <v>34342.5</v>
          </cell>
          <cell r="S45">
            <v>10879</v>
          </cell>
          <cell r="T45">
            <v>-0.683220499381233</v>
          </cell>
          <cell r="U45">
            <v>4316</v>
          </cell>
          <cell r="V45">
            <v>20268</v>
          </cell>
          <cell r="W45">
            <v>3.69601482854495</v>
          </cell>
          <cell r="X45">
            <v>38658.5</v>
          </cell>
          <cell r="Y45">
            <v>31147</v>
          </cell>
          <cell r="Z45">
            <v>-0.194303969372842</v>
          </cell>
        </row>
        <row r="45">
          <cell r="AB45">
            <v>5900</v>
          </cell>
          <cell r="AC45" t="e">
            <v>#DIV/0!</v>
          </cell>
          <cell r="AD45">
            <v>38658.5</v>
          </cell>
          <cell r="AE45">
            <v>37047</v>
          </cell>
          <cell r="AF45">
            <v>-0.0416855284090174</v>
          </cell>
          <cell r="AG45">
            <v>16149</v>
          </cell>
          <cell r="AH45">
            <v>10172</v>
          </cell>
          <cell r="AI45">
            <v>-0.370115796643755</v>
          </cell>
          <cell r="AJ45">
            <v>54807.5</v>
          </cell>
          <cell r="AK45">
            <v>47219</v>
          </cell>
          <cell r="AL45">
            <v>-0.138457327920449</v>
          </cell>
        </row>
        <row r="45">
          <cell r="AN45">
            <v>5916</v>
          </cell>
          <cell r="AO45" t="e">
            <v>#DIV/0!</v>
          </cell>
          <cell r="AP45">
            <v>54807.5</v>
          </cell>
          <cell r="AQ45">
            <v>53135</v>
          </cell>
          <cell r="AR45">
            <v>-0.0305158965470055</v>
          </cell>
        </row>
        <row r="45">
          <cell r="AT45">
            <v>5731</v>
          </cell>
          <cell r="AU45" t="e">
            <v>#DIV/0!</v>
          </cell>
          <cell r="AV45">
            <v>54807.5</v>
          </cell>
          <cell r="AW45">
            <v>58866</v>
          </cell>
          <cell r="AX45">
            <v>0.074050084386261</v>
          </cell>
        </row>
        <row r="45">
          <cell r="AZ45">
            <v>3441</v>
          </cell>
          <cell r="BA45" t="e">
            <v>#DIV/0!</v>
          </cell>
          <cell r="BB45">
            <v>54807.5</v>
          </cell>
          <cell r="BC45">
            <v>62307</v>
          </cell>
          <cell r="BD45">
            <v>0.136833462573553</v>
          </cell>
        </row>
        <row r="45">
          <cell r="BF45">
            <v>9365</v>
          </cell>
          <cell r="BG45" t="e">
            <v>#DIV/0!</v>
          </cell>
          <cell r="BH45">
            <v>54807.5</v>
          </cell>
          <cell r="BI45">
            <v>71672</v>
          </cell>
          <cell r="BJ45">
            <v>0.307704237558728</v>
          </cell>
        </row>
        <row r="45">
          <cell r="BL45">
            <v>18963</v>
          </cell>
          <cell r="BM45" t="e">
            <v>#DIV/0!</v>
          </cell>
          <cell r="BN45">
            <v>54807.5</v>
          </cell>
          <cell r="BO45">
            <v>90635</v>
          </cell>
          <cell r="BP45">
            <v>0.653697030515896</v>
          </cell>
        </row>
        <row r="45">
          <cell r="BR45">
            <v>11769.5</v>
          </cell>
        </row>
        <row r="46">
          <cell r="B46" t="str">
            <v>杭州中博智能电器有限公司</v>
          </cell>
          <cell r="C46" t="str">
            <v>家装</v>
          </cell>
          <cell r="D46" t="str">
            <v>上城</v>
          </cell>
          <cell r="E46" t="str">
            <v>黄颖</v>
          </cell>
        </row>
        <row r="46">
          <cell r="J46">
            <v>15877.35</v>
          </cell>
          <cell r="K46" t="e">
            <v>#DIV/0!</v>
          </cell>
          <cell r="L46">
            <v>0</v>
          </cell>
          <cell r="M46">
            <v>15877.35</v>
          </cell>
          <cell r="N46" t="e">
            <v>#DIV/0!</v>
          </cell>
        </row>
        <row r="46">
          <cell r="P46">
            <v>35693.04</v>
          </cell>
          <cell r="Q46" t="e">
            <v>#DIV/0!</v>
          </cell>
          <cell r="R46">
            <v>0</v>
          </cell>
          <cell r="S46">
            <v>51570.39</v>
          </cell>
          <cell r="T46" t="e">
            <v>#DIV/0!</v>
          </cell>
        </row>
        <row r="46">
          <cell r="W46" t="e">
            <v>#DIV/0!</v>
          </cell>
          <cell r="X46">
            <v>0</v>
          </cell>
          <cell r="Y46">
            <v>51570.39</v>
          </cell>
          <cell r="Z46" t="e">
            <v>#DIV/0!</v>
          </cell>
        </row>
        <row r="46">
          <cell r="AB46">
            <v>372208.3</v>
          </cell>
          <cell r="AC46" t="e">
            <v>#DIV/0!</v>
          </cell>
          <cell r="AD46">
            <v>0</v>
          </cell>
          <cell r="AE46">
            <v>423778.69</v>
          </cell>
          <cell r="AF46" t="e">
            <v>#DIV/0!</v>
          </cell>
        </row>
        <row r="46">
          <cell r="AH46">
            <v>218571.81</v>
          </cell>
          <cell r="AI46" t="e">
            <v>#DIV/0!</v>
          </cell>
          <cell r="AJ46">
            <v>0</v>
          </cell>
          <cell r="AK46">
            <v>642350.5</v>
          </cell>
          <cell r="AL46" t="e">
            <v>#DIV/0!</v>
          </cell>
        </row>
        <row r="46">
          <cell r="AN46">
            <v>195700.56</v>
          </cell>
          <cell r="AO46" t="e">
            <v>#DIV/0!</v>
          </cell>
          <cell r="AP46">
            <v>0</v>
          </cell>
          <cell r="AQ46">
            <v>838051.06</v>
          </cell>
          <cell r="AR46" t="e">
            <v>#DIV/0!</v>
          </cell>
        </row>
        <row r="46">
          <cell r="AT46">
            <v>122586.09</v>
          </cell>
          <cell r="AU46" t="e">
            <v>#DIV/0!</v>
          </cell>
          <cell r="AV46">
            <v>0</v>
          </cell>
          <cell r="AW46">
            <v>960637.15</v>
          </cell>
          <cell r="AX46" t="e">
            <v>#DIV/0!</v>
          </cell>
        </row>
        <row r="46">
          <cell r="AZ46">
            <v>178665.11</v>
          </cell>
          <cell r="BA46" t="e">
            <v>#DIV/0!</v>
          </cell>
        </row>
        <row r="46">
          <cell r="BC46">
            <v>1139302.26</v>
          </cell>
          <cell r="BD46" t="e">
            <v>#DIV/0!</v>
          </cell>
        </row>
        <row r="46">
          <cell r="BF46">
            <v>88547.59</v>
          </cell>
          <cell r="BG46" t="e">
            <v>#DIV/0!</v>
          </cell>
          <cell r="BH46">
            <v>0</v>
          </cell>
          <cell r="BI46">
            <v>1227849.85</v>
          </cell>
          <cell r="BJ46" t="e">
            <v>#DIV/0!</v>
          </cell>
        </row>
        <row r="46">
          <cell r="BL46">
            <v>53037.08</v>
          </cell>
          <cell r="BM46" t="e">
            <v>#DIV/0!</v>
          </cell>
          <cell r="BN46">
            <v>0</v>
          </cell>
          <cell r="BO46">
            <v>1280886.93</v>
          </cell>
          <cell r="BP46" t="e">
            <v>#DIV/0!</v>
          </cell>
        </row>
        <row r="46">
          <cell r="BR46">
            <v>120342.55</v>
          </cell>
        </row>
        <row r="47">
          <cell r="B47" t="str">
            <v>浙江都都装饰有限公司</v>
          </cell>
          <cell r="C47" t="str">
            <v>家装</v>
          </cell>
          <cell r="D47" t="str">
            <v>拱墅</v>
          </cell>
          <cell r="E47" t="str">
            <v>黄颖</v>
          </cell>
        </row>
        <row r="47">
          <cell r="AN47">
            <v>7970</v>
          </cell>
          <cell r="AO47" t="e">
            <v>#DIV/0!</v>
          </cell>
          <cell r="AP47">
            <v>0</v>
          </cell>
          <cell r="AQ47">
            <v>7970</v>
          </cell>
          <cell r="AR47" t="e">
            <v>#DIV/0!</v>
          </cell>
        </row>
        <row r="47">
          <cell r="AU47" t="e">
            <v>#DIV/0!</v>
          </cell>
          <cell r="AV47">
            <v>0</v>
          </cell>
          <cell r="AW47">
            <v>7970</v>
          </cell>
          <cell r="AX47" t="e">
            <v>#DIV/0!</v>
          </cell>
        </row>
        <row r="47">
          <cell r="AZ47">
            <v>3794</v>
          </cell>
          <cell r="BA47" t="e">
            <v>#DIV/0!</v>
          </cell>
        </row>
        <row r="47">
          <cell r="BC47">
            <v>11764</v>
          </cell>
          <cell r="BD47" t="e">
            <v>#DIV/0!</v>
          </cell>
        </row>
        <row r="47">
          <cell r="BF47">
            <v>9897</v>
          </cell>
          <cell r="BG47" t="e">
            <v>#DIV/0!</v>
          </cell>
          <cell r="BH47">
            <v>0</v>
          </cell>
          <cell r="BI47">
            <v>21661</v>
          </cell>
          <cell r="BJ47" t="e">
            <v>#DIV/0!</v>
          </cell>
        </row>
        <row r="47">
          <cell r="BL47">
            <v>10422</v>
          </cell>
          <cell r="BM47" t="e">
            <v>#DIV/0!</v>
          </cell>
          <cell r="BN47">
            <v>0</v>
          </cell>
          <cell r="BO47">
            <v>32083</v>
          </cell>
          <cell r="BP47" t="e">
            <v>#DIV/0!</v>
          </cell>
        </row>
        <row r="47">
          <cell r="BR47">
            <v>7539</v>
          </cell>
        </row>
        <row r="48">
          <cell r="B48" t="str">
            <v>汇总</v>
          </cell>
        </row>
        <row r="48">
          <cell r="F48">
            <v>46231.5</v>
          </cell>
          <cell r="G48">
            <v>0</v>
          </cell>
          <cell r="H48">
            <v>-1</v>
          </cell>
          <cell r="I48">
            <v>0</v>
          </cell>
          <cell r="J48">
            <v>31224.35</v>
          </cell>
          <cell r="K48" t="e">
            <v>#DIV/0!</v>
          </cell>
          <cell r="L48">
            <v>46231.5</v>
          </cell>
          <cell r="M48">
            <v>31224.35</v>
          </cell>
          <cell r="N48">
            <v>-0.324608762423888</v>
          </cell>
          <cell r="O48">
            <v>23630</v>
          </cell>
          <cell r="P48">
            <v>46572.04</v>
          </cell>
          <cell r="Q48">
            <v>0.970886161658908</v>
          </cell>
          <cell r="R48">
            <v>69861.5</v>
          </cell>
          <cell r="S48">
            <v>77796.39</v>
          </cell>
          <cell r="T48">
            <v>0.113580298161362</v>
          </cell>
          <cell r="U48">
            <v>21631</v>
          </cell>
          <cell r="V48">
            <v>20268</v>
          </cell>
          <cell r="W48">
            <v>-0.0630114187970967</v>
          </cell>
          <cell r="X48">
            <v>91492.5</v>
          </cell>
          <cell r="Y48">
            <v>98064.39</v>
          </cell>
          <cell r="Z48">
            <v>0.071829822116567</v>
          </cell>
          <cell r="AA48">
            <v>0</v>
          </cell>
          <cell r="AB48">
            <v>413789.3</v>
          </cell>
          <cell r="AC48" t="e">
            <v>#DIV/0!</v>
          </cell>
          <cell r="AD48">
            <v>91492.5</v>
          </cell>
          <cell r="AE48">
            <v>511853.69</v>
          </cell>
          <cell r="AF48">
            <v>4.59448796349428</v>
          </cell>
          <cell r="AG48">
            <v>16149</v>
          </cell>
          <cell r="AH48">
            <v>240667.81</v>
          </cell>
          <cell r="AI48">
            <v>13.9029543624992</v>
          </cell>
          <cell r="AJ48">
            <v>107641.5</v>
          </cell>
          <cell r="AK48">
            <v>752521.5</v>
          </cell>
          <cell r="AL48">
            <v>5.99099789579298</v>
          </cell>
          <cell r="AM48">
            <v>29406</v>
          </cell>
          <cell r="AN48">
            <v>275211.56</v>
          </cell>
          <cell r="AO48">
            <v>8.35902740937224</v>
          </cell>
          <cell r="AP48">
            <v>137047.5</v>
          </cell>
          <cell r="AQ48">
            <v>1027733.06</v>
          </cell>
          <cell r="AR48">
            <v>6.49910111457706</v>
          </cell>
          <cell r="AS48">
            <v>0</v>
          </cell>
          <cell r="AT48">
            <v>192150.09</v>
          </cell>
          <cell r="AU48" t="e">
            <v>#DIV/0!</v>
          </cell>
          <cell r="AV48">
            <v>137047.5</v>
          </cell>
          <cell r="AW48">
            <v>1219883.15</v>
          </cell>
          <cell r="AX48">
            <v>7.90117039712508</v>
          </cell>
          <cell r="AY48">
            <v>19778</v>
          </cell>
          <cell r="AZ48">
            <v>185900.11</v>
          </cell>
          <cell r="BA48">
            <v>8.39933815350389</v>
          </cell>
          <cell r="BB48">
            <v>156825.5</v>
          </cell>
          <cell r="BC48">
            <v>1405783.26</v>
          </cell>
          <cell r="BD48">
            <v>7.96399667145968</v>
          </cell>
          <cell r="BE48">
            <v>21376</v>
          </cell>
          <cell r="BF48">
            <v>124680.59</v>
          </cell>
          <cell r="BG48">
            <v>4.83273718188623</v>
          </cell>
          <cell r="BH48">
            <v>178201.5</v>
          </cell>
          <cell r="BI48">
            <v>1530463.85</v>
          </cell>
          <cell r="BJ48">
            <v>7.58838926720594</v>
          </cell>
          <cell r="BK48">
            <v>0</v>
          </cell>
          <cell r="BL48">
            <v>107095.08</v>
          </cell>
          <cell r="BM48" t="e">
            <v>#DIV/0!</v>
          </cell>
          <cell r="BN48">
            <v>178201.5</v>
          </cell>
          <cell r="BO48">
            <v>1637558.93</v>
          </cell>
          <cell r="BP48">
            <v>8.18936670005584</v>
          </cell>
          <cell r="BQ48">
            <v>22330</v>
          </cell>
          <cell r="BR48">
            <v>168171.05</v>
          </cell>
        </row>
        <row r="50">
          <cell r="B50" t="str">
            <v>合计</v>
          </cell>
        </row>
        <row r="50">
          <cell r="F50">
            <v>3041575.1</v>
          </cell>
          <cell r="G50">
            <v>2032111.54</v>
          </cell>
          <cell r="H50">
            <v>-0.331888421890355</v>
          </cell>
          <cell r="I50">
            <v>2047388.25</v>
          </cell>
          <cell r="J50">
            <v>2577292.79</v>
          </cell>
          <cell r="K50">
            <v>0.258819762201917</v>
          </cell>
          <cell r="L50">
            <v>5088963.35</v>
          </cell>
          <cell r="M50">
            <v>4609404.33</v>
          </cell>
          <cell r="N50">
            <v>-0.0942351097891087</v>
          </cell>
          <cell r="O50">
            <v>3889244.92</v>
          </cell>
          <cell r="P50">
            <v>3553242.89</v>
          </cell>
          <cell r="Q50">
            <v>-0.0863926126822582</v>
          </cell>
          <cell r="R50">
            <v>8978208.27</v>
          </cell>
          <cell r="S50">
            <v>8162647.22</v>
          </cell>
          <cell r="T50">
            <v>-0.0908378404102225</v>
          </cell>
          <cell r="U50">
            <v>3933392.05</v>
          </cell>
          <cell r="V50">
            <v>2239739.64</v>
          </cell>
          <cell r="W50">
            <v>-0.430583168031776</v>
          </cell>
          <cell r="X50">
            <v>12911600.32</v>
          </cell>
          <cell r="Y50">
            <v>10402386.86</v>
          </cell>
          <cell r="Z50">
            <v>-0.194337913024867</v>
          </cell>
          <cell r="AA50">
            <v>2756126.47</v>
          </cell>
          <cell r="AB50">
            <v>3748590.13</v>
          </cell>
          <cell r="AC50">
            <v>0.360093657095496</v>
          </cell>
          <cell r="AD50">
            <v>15667726.79</v>
          </cell>
          <cell r="AE50">
            <v>14150976.99</v>
          </cell>
          <cell r="AF50">
            <v>-0.0968072663207323</v>
          </cell>
          <cell r="AG50">
            <v>3118831.66</v>
          </cell>
          <cell r="AH50">
            <v>3122867.88</v>
          </cell>
          <cell r="AI50">
            <v>0.00129414487218615</v>
          </cell>
          <cell r="AJ50">
            <v>18786558.45</v>
          </cell>
          <cell r="AK50">
            <v>17273844.87</v>
          </cell>
          <cell r="AL50">
            <v>-0.0805210589276399</v>
          </cell>
          <cell r="AM50">
            <v>2655729.86</v>
          </cell>
          <cell r="AN50">
            <v>2524215.3</v>
          </cell>
          <cell r="AO50">
            <v>-0.0495210608506697</v>
          </cell>
          <cell r="AP50">
            <v>21442288.31</v>
          </cell>
          <cell r="AQ50">
            <v>19798060.17</v>
          </cell>
          <cell r="AR50">
            <v>-0.0766815610455712</v>
          </cell>
          <cell r="AS50">
            <v>2769011.44</v>
          </cell>
          <cell r="AT50">
            <v>3199923.39</v>
          </cell>
          <cell r="AU50">
            <v>0.155619418459318</v>
          </cell>
          <cell r="AV50">
            <v>24211299.75</v>
          </cell>
          <cell r="AW50">
            <v>22997983.56</v>
          </cell>
          <cell r="AX50">
            <v>-0.0501136329948583</v>
          </cell>
          <cell r="AY50">
            <v>4423678.95</v>
          </cell>
          <cell r="AZ50">
            <v>3099893.59</v>
          </cell>
          <cell r="BA50">
            <v>-0.299249872100235</v>
          </cell>
          <cell r="BB50">
            <v>28634978.7</v>
          </cell>
          <cell r="BC50">
            <v>26097877.15</v>
          </cell>
          <cell r="BD50">
            <v>-0.0886014820049439</v>
          </cell>
          <cell r="BE50">
            <v>3299724.99</v>
          </cell>
          <cell r="BF50">
            <v>2555531.96</v>
          </cell>
          <cell r="BG50">
            <v>-0.225531834396902</v>
          </cell>
          <cell r="BH50">
            <v>31934703.69</v>
          </cell>
          <cell r="BI50">
            <v>28653409.11</v>
          </cell>
          <cell r="BJ50">
            <v>-0.102750118236654</v>
          </cell>
          <cell r="BK50">
            <v>3395969.69</v>
          </cell>
          <cell r="BL50">
            <v>3275682.94</v>
          </cell>
          <cell r="BM50">
            <v>-0.0354204427543049</v>
          </cell>
          <cell r="BN50">
            <v>35330673.38</v>
          </cell>
          <cell r="BO50">
            <v>31929092.05</v>
          </cell>
          <cell r="BP50">
            <v>-0.0962784177197588</v>
          </cell>
          <cell r="BQ50">
            <v>4050493.08</v>
          </cell>
          <cell r="BR50">
            <v>3930614.04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杭州"/>
      <sheetName val="湖州"/>
      <sheetName val="嘉兴"/>
      <sheetName val="金衢"/>
      <sheetName val="绍兴"/>
      <sheetName val="台州"/>
      <sheetName val="温丽"/>
      <sheetName val="壁挂炉电商"/>
      <sheetName val="6月"/>
      <sheetName val="1-6月"/>
      <sheetName val="Sheet1"/>
    </sheetNames>
    <sheetDataSet>
      <sheetData sheetId="0"/>
      <sheetData sheetId="1">
        <row r="2">
          <cell r="B2" t="str">
            <v>门店</v>
          </cell>
          <cell r="C2" t="str">
            <v>渠道</v>
          </cell>
          <cell r="D2" t="str">
            <v>市/区/县</v>
          </cell>
          <cell r="E2" t="str">
            <v>2022年</v>
          </cell>
          <cell r="F2" t="str">
            <v>2023年</v>
          </cell>
        </row>
        <row r="2">
          <cell r="H2" t="str">
            <v>2022年</v>
          </cell>
          <cell r="I2" t="str">
            <v>2023年</v>
          </cell>
        </row>
        <row r="2">
          <cell r="K2" t="str">
            <v>2022年</v>
          </cell>
          <cell r="L2" t="str">
            <v>2023年</v>
          </cell>
        </row>
        <row r="2">
          <cell r="N2" t="str">
            <v>2022年</v>
          </cell>
          <cell r="O2" t="str">
            <v>2023年</v>
          </cell>
        </row>
        <row r="2">
          <cell r="Q2" t="str">
            <v>2022年</v>
          </cell>
          <cell r="R2" t="str">
            <v>2023年</v>
          </cell>
        </row>
        <row r="2">
          <cell r="T2" t="str">
            <v>2022年</v>
          </cell>
          <cell r="U2" t="str">
            <v>2023年</v>
          </cell>
        </row>
        <row r="2">
          <cell r="W2" t="str">
            <v>2022年</v>
          </cell>
          <cell r="X2" t="str">
            <v>2023年</v>
          </cell>
        </row>
        <row r="2">
          <cell r="Z2" t="str">
            <v>2022年</v>
          </cell>
          <cell r="AA2" t="str">
            <v>2023年</v>
          </cell>
        </row>
        <row r="2">
          <cell r="AC2" t="str">
            <v>2022年</v>
          </cell>
          <cell r="AD2" t="str">
            <v>2023年</v>
          </cell>
        </row>
        <row r="2">
          <cell r="AF2" t="str">
            <v>2022年</v>
          </cell>
          <cell r="AG2" t="str">
            <v>2023年</v>
          </cell>
        </row>
        <row r="3">
          <cell r="B3" t="str">
            <v>汇德隆</v>
          </cell>
          <cell r="C3" t="str">
            <v>经销</v>
          </cell>
          <cell r="D3" t="str">
            <v>萧山</v>
          </cell>
          <cell r="E3">
            <v>120000</v>
          </cell>
          <cell r="F3">
            <v>250000</v>
          </cell>
          <cell r="G3">
            <v>1.08333333333333</v>
          </cell>
        </row>
        <row r="3">
          <cell r="I3">
            <v>130000</v>
          </cell>
          <cell r="J3" t="e">
            <v>#DIV/0!</v>
          </cell>
          <cell r="K3">
            <v>120000</v>
          </cell>
          <cell r="L3">
            <v>380000</v>
          </cell>
          <cell r="M3">
            <v>2.16666666666667</v>
          </cell>
          <cell r="N3">
            <v>210000</v>
          </cell>
          <cell r="O3">
            <v>100000</v>
          </cell>
          <cell r="P3">
            <v>-0.523809523809524</v>
          </cell>
          <cell r="Q3">
            <v>330000</v>
          </cell>
          <cell r="R3">
            <v>480000</v>
          </cell>
          <cell r="S3">
            <v>0.454545454545455</v>
          </cell>
          <cell r="T3">
            <v>688800</v>
          </cell>
          <cell r="U3">
            <v>350000</v>
          </cell>
          <cell r="V3">
            <v>-0.491869918699187</v>
          </cell>
          <cell r="W3">
            <v>1018800</v>
          </cell>
          <cell r="X3">
            <v>830000</v>
          </cell>
          <cell r="Y3">
            <v>-0.185316058107578</v>
          </cell>
          <cell r="Z3">
            <v>560000</v>
          </cell>
          <cell r="AA3">
            <v>550000</v>
          </cell>
          <cell r="AB3">
            <v>-0.0178571428571429</v>
          </cell>
          <cell r="AC3">
            <v>1578800</v>
          </cell>
          <cell r="AD3">
            <v>1380000</v>
          </cell>
          <cell r="AE3">
            <v>-0.125918419052445</v>
          </cell>
          <cell r="AF3">
            <v>100000</v>
          </cell>
          <cell r="AG3">
            <v>283800</v>
          </cell>
        </row>
        <row r="4">
          <cell r="B4" t="str">
            <v>萧山汇德隆净水</v>
          </cell>
          <cell r="C4" t="str">
            <v>经销</v>
          </cell>
          <cell r="D4" t="str">
            <v>萧山</v>
          </cell>
          <cell r="E4">
            <v>241633.45</v>
          </cell>
          <cell r="F4">
            <v>173281.75</v>
          </cell>
          <cell r="G4">
            <v>-0.282873501164677</v>
          </cell>
          <cell r="H4">
            <v>182179</v>
          </cell>
        </row>
        <row r="4">
          <cell r="J4">
            <v>-1</v>
          </cell>
          <cell r="K4">
            <v>423812.45</v>
          </cell>
          <cell r="L4">
            <v>173281.75</v>
          </cell>
          <cell r="M4">
            <v>-0.591135772438965</v>
          </cell>
        </row>
        <row r="4">
          <cell r="O4">
            <v>330711.2</v>
          </cell>
          <cell r="P4" t="e">
            <v>#DIV/0!</v>
          </cell>
          <cell r="Q4">
            <v>423812.45</v>
          </cell>
          <cell r="R4">
            <v>503992.95</v>
          </cell>
          <cell r="S4">
            <v>0.18918863756834</v>
          </cell>
          <cell r="T4">
            <v>120887.65</v>
          </cell>
          <cell r="U4">
            <v>43282.5</v>
          </cell>
          <cell r="V4">
            <v>-0.641960944728432</v>
          </cell>
          <cell r="W4">
            <v>544700.1</v>
          </cell>
          <cell r="X4">
            <v>547275.45</v>
          </cell>
          <cell r="Y4">
            <v>0.0047280145533295</v>
          </cell>
          <cell r="Z4">
            <v>91167.95</v>
          </cell>
          <cell r="AA4">
            <v>76129.5</v>
          </cell>
          <cell r="AB4">
            <v>-0.164953253857304</v>
          </cell>
          <cell r="AC4">
            <v>635868.05</v>
          </cell>
          <cell r="AD4">
            <v>623404.95</v>
          </cell>
          <cell r="AE4">
            <v>-0.0196001355941692</v>
          </cell>
          <cell r="AF4">
            <v>184317.65</v>
          </cell>
          <cell r="AG4">
            <v>65477.25</v>
          </cell>
        </row>
        <row r="5">
          <cell r="B5" t="str">
            <v>杭州兴达京昀电器有限公司</v>
          </cell>
          <cell r="C5" t="str">
            <v>经销</v>
          </cell>
          <cell r="D5" t="str">
            <v>余杭</v>
          </cell>
          <cell r="E5">
            <v>200000</v>
          </cell>
          <cell r="F5">
            <v>100000</v>
          </cell>
          <cell r="G5">
            <v>-0.5</v>
          </cell>
          <cell r="H5">
            <v>100000</v>
          </cell>
          <cell r="I5">
            <v>100000</v>
          </cell>
          <cell r="J5">
            <v>0</v>
          </cell>
          <cell r="K5">
            <v>300000</v>
          </cell>
          <cell r="L5">
            <v>200000</v>
          </cell>
          <cell r="M5">
            <v>-0.333333333333333</v>
          </cell>
          <cell r="N5">
            <v>200000</v>
          </cell>
          <cell r="O5">
            <v>200000</v>
          </cell>
          <cell r="P5">
            <v>0</v>
          </cell>
          <cell r="Q5">
            <v>500000</v>
          </cell>
          <cell r="R5">
            <v>400000</v>
          </cell>
          <cell r="S5">
            <v>-0.2</v>
          </cell>
          <cell r="T5">
            <v>100000</v>
          </cell>
        </row>
        <row r="5">
          <cell r="V5">
            <v>-1</v>
          </cell>
          <cell r="W5">
            <v>600000</v>
          </cell>
          <cell r="X5">
            <v>400000</v>
          </cell>
          <cell r="Y5">
            <v>-0.333333333333333</v>
          </cell>
          <cell r="Z5">
            <v>100000</v>
          </cell>
          <cell r="AA5">
            <v>100000</v>
          </cell>
          <cell r="AB5">
            <v>0</v>
          </cell>
          <cell r="AC5">
            <v>700000</v>
          </cell>
          <cell r="AD5">
            <v>500000</v>
          </cell>
          <cell r="AE5">
            <v>-0.285714285714286</v>
          </cell>
          <cell r="AF5">
            <v>100000</v>
          </cell>
          <cell r="AG5">
            <v>100000</v>
          </cell>
        </row>
        <row r="6">
          <cell r="B6" t="str">
            <v>杭州临安一栋电器有限公司</v>
          </cell>
          <cell r="C6" t="str">
            <v>加盟</v>
          </cell>
          <cell r="D6" t="str">
            <v>临安</v>
          </cell>
          <cell r="E6">
            <v>195778</v>
          </cell>
          <cell r="F6">
            <v>176000</v>
          </cell>
          <cell r="G6">
            <v>-0.101022586807506</v>
          </cell>
          <cell r="H6">
            <v>83221</v>
          </cell>
          <cell r="I6">
            <v>156700</v>
          </cell>
          <cell r="J6">
            <v>0.882938200694536</v>
          </cell>
          <cell r="K6">
            <v>278999</v>
          </cell>
          <cell r="L6">
            <v>332700</v>
          </cell>
          <cell r="M6">
            <v>0.192477392392087</v>
          </cell>
          <cell r="N6">
            <v>260000</v>
          </cell>
          <cell r="O6">
            <v>256820</v>
          </cell>
          <cell r="P6">
            <v>-0.0122307692307693</v>
          </cell>
          <cell r="Q6">
            <v>538999</v>
          </cell>
          <cell r="R6">
            <v>589520</v>
          </cell>
          <cell r="S6">
            <v>0.0937311572006627</v>
          </cell>
          <cell r="T6">
            <v>76500</v>
          </cell>
          <cell r="U6">
            <v>10000</v>
          </cell>
          <cell r="V6">
            <v>-0.869281045751634</v>
          </cell>
          <cell r="W6">
            <v>615499</v>
          </cell>
          <cell r="X6">
            <v>599520</v>
          </cell>
          <cell r="Y6">
            <v>-0.0259610494899261</v>
          </cell>
          <cell r="Z6">
            <v>158000</v>
          </cell>
          <cell r="AA6">
            <v>180600</v>
          </cell>
          <cell r="AB6">
            <v>0.143037974683544</v>
          </cell>
          <cell r="AC6">
            <v>773499</v>
          </cell>
          <cell r="AD6">
            <v>780120</v>
          </cell>
          <cell r="AE6">
            <v>0.00855980421435576</v>
          </cell>
          <cell r="AF6">
            <v>306680</v>
          </cell>
          <cell r="AG6">
            <v>99110.05</v>
          </cell>
        </row>
        <row r="7">
          <cell r="B7" t="str">
            <v>浙江晋安家电有限公司</v>
          </cell>
          <cell r="C7" t="str">
            <v>经销</v>
          </cell>
          <cell r="D7" t="str">
            <v>富阳</v>
          </cell>
        </row>
        <row r="7">
          <cell r="G7" t="e">
            <v>#DIV/0!</v>
          </cell>
        </row>
        <row r="7">
          <cell r="J7" t="e">
            <v>#DIV/0!</v>
          </cell>
          <cell r="K7">
            <v>0</v>
          </cell>
          <cell r="L7">
            <v>0</v>
          </cell>
          <cell r="M7" t="e">
            <v>#DIV/0!</v>
          </cell>
          <cell r="N7">
            <v>50000</v>
          </cell>
        </row>
        <row r="7">
          <cell r="P7">
            <v>-1</v>
          </cell>
          <cell r="Q7">
            <v>50000</v>
          </cell>
          <cell r="R7">
            <v>0</v>
          </cell>
          <cell r="S7">
            <v>-1</v>
          </cell>
        </row>
        <row r="7">
          <cell r="V7" t="e">
            <v>#DIV/0!</v>
          </cell>
          <cell r="W7">
            <v>50000</v>
          </cell>
          <cell r="X7">
            <v>0</v>
          </cell>
          <cell r="Y7">
            <v>-1</v>
          </cell>
        </row>
        <row r="7">
          <cell r="AB7" t="e">
            <v>#DIV/0!</v>
          </cell>
          <cell r="AC7">
            <v>50000</v>
          </cell>
          <cell r="AD7">
            <v>0</v>
          </cell>
          <cell r="AE7">
            <v>-1</v>
          </cell>
        </row>
        <row r="8">
          <cell r="B8" t="str">
            <v>杭州宏信机电有限公司</v>
          </cell>
          <cell r="C8" t="str">
            <v>加盟</v>
          </cell>
          <cell r="D8" t="str">
            <v>富阳</v>
          </cell>
          <cell r="E8">
            <v>120379</v>
          </cell>
          <cell r="F8">
            <v>149000</v>
          </cell>
          <cell r="G8">
            <v>0.237757416160626</v>
          </cell>
          <cell r="H8">
            <v>110000</v>
          </cell>
          <cell r="I8">
            <v>285400</v>
          </cell>
          <cell r="J8">
            <v>1.59454545454545</v>
          </cell>
          <cell r="K8">
            <v>230379</v>
          </cell>
          <cell r="L8">
            <v>434400</v>
          </cell>
          <cell r="M8">
            <v>0.885588530204576</v>
          </cell>
          <cell r="N8">
            <v>372000</v>
          </cell>
          <cell r="O8">
            <v>227000</v>
          </cell>
          <cell r="P8">
            <v>-0.389784946236559</v>
          </cell>
          <cell r="Q8">
            <v>602379</v>
          </cell>
          <cell r="R8">
            <v>661400</v>
          </cell>
          <cell r="S8">
            <v>0.097979843254828</v>
          </cell>
          <cell r="T8">
            <v>260000</v>
          </cell>
          <cell r="U8">
            <v>303536</v>
          </cell>
          <cell r="V8">
            <v>0.167446153846154</v>
          </cell>
          <cell r="W8">
            <v>862379</v>
          </cell>
          <cell r="X8">
            <v>964936</v>
          </cell>
          <cell r="Y8">
            <v>0.11892335040626</v>
          </cell>
          <cell r="Z8">
            <v>255000</v>
          </cell>
          <cell r="AA8">
            <v>302400</v>
          </cell>
          <cell r="AB8">
            <v>0.185882352941176</v>
          </cell>
          <cell r="AC8">
            <v>1117379</v>
          </cell>
          <cell r="AD8">
            <v>1267336</v>
          </cell>
          <cell r="AE8">
            <v>0.134204240459146</v>
          </cell>
          <cell r="AF8">
            <v>179200</v>
          </cell>
          <cell r="AG8">
            <v>245030</v>
          </cell>
        </row>
        <row r="9">
          <cell r="B9" t="str">
            <v>桐庐佳尼特水处理设备有限公司</v>
          </cell>
          <cell r="C9" t="str">
            <v>加盟</v>
          </cell>
          <cell r="D9" t="str">
            <v>桐庐</v>
          </cell>
          <cell r="E9">
            <v>175000</v>
          </cell>
          <cell r="F9">
            <v>101900</v>
          </cell>
          <cell r="G9">
            <v>-0.417714285714286</v>
          </cell>
          <cell r="H9">
            <v>115000</v>
          </cell>
          <cell r="I9">
            <v>160000</v>
          </cell>
          <cell r="J9">
            <v>0.391304347826087</v>
          </cell>
          <cell r="K9">
            <v>290000</v>
          </cell>
          <cell r="L9">
            <v>261900</v>
          </cell>
          <cell r="M9">
            <v>-0.0968965517241379</v>
          </cell>
          <cell r="N9">
            <v>160000</v>
          </cell>
          <cell r="O9">
            <v>281000</v>
          </cell>
          <cell r="P9">
            <v>0.75625</v>
          </cell>
          <cell r="Q9">
            <v>450000</v>
          </cell>
          <cell r="R9">
            <v>542900</v>
          </cell>
          <cell r="S9">
            <v>0.206444444444444</v>
          </cell>
          <cell r="T9">
            <v>40000</v>
          </cell>
        </row>
        <row r="9">
          <cell r="V9">
            <v>-1</v>
          </cell>
          <cell r="W9">
            <v>490000</v>
          </cell>
          <cell r="X9">
            <v>542900</v>
          </cell>
          <cell r="Y9">
            <v>0.107959183673469</v>
          </cell>
          <cell r="Z9">
            <v>60000</v>
          </cell>
          <cell r="AA9">
            <v>30000</v>
          </cell>
          <cell r="AB9">
            <v>-0.5</v>
          </cell>
          <cell r="AC9">
            <v>550000</v>
          </cell>
          <cell r="AD9">
            <v>572900</v>
          </cell>
          <cell r="AE9">
            <v>0.0416363636363637</v>
          </cell>
          <cell r="AF9">
            <v>95000</v>
          </cell>
          <cell r="AG9">
            <v>88990</v>
          </cell>
        </row>
        <row r="10">
          <cell r="B10" t="str">
            <v>杭州佳威信息科技有限公司</v>
          </cell>
          <cell r="C10" t="str">
            <v>加盟</v>
          </cell>
          <cell r="D10" t="str">
            <v>建德</v>
          </cell>
          <cell r="E10">
            <v>60000</v>
          </cell>
          <cell r="F10">
            <v>10000</v>
          </cell>
          <cell r="G10">
            <v>-0.833333333333333</v>
          </cell>
          <cell r="H10">
            <v>30000</v>
          </cell>
          <cell r="I10">
            <v>20000</v>
          </cell>
          <cell r="J10">
            <v>-0.333333333333333</v>
          </cell>
          <cell r="K10">
            <v>90000</v>
          </cell>
          <cell r="L10">
            <v>30000</v>
          </cell>
          <cell r="M10">
            <v>-0.666666666666667</v>
          </cell>
          <cell r="N10">
            <v>60000</v>
          </cell>
          <cell r="O10">
            <v>10000</v>
          </cell>
          <cell r="P10">
            <v>-0.833333333333333</v>
          </cell>
          <cell r="Q10">
            <v>150000</v>
          </cell>
          <cell r="R10">
            <v>40000</v>
          </cell>
          <cell r="S10">
            <v>-0.733333333333333</v>
          </cell>
        </row>
        <row r="10">
          <cell r="U10">
            <v>30000</v>
          </cell>
          <cell r="V10" t="e">
            <v>#DIV/0!</v>
          </cell>
          <cell r="W10">
            <v>150000</v>
          </cell>
          <cell r="X10">
            <v>70000</v>
          </cell>
          <cell r="Y10">
            <v>-0.533333333333333</v>
          </cell>
        </row>
        <row r="10">
          <cell r="AB10" t="e">
            <v>#DIV/0!</v>
          </cell>
          <cell r="AC10">
            <v>150000</v>
          </cell>
          <cell r="AD10">
            <v>70000</v>
          </cell>
          <cell r="AE10">
            <v>-0.533333333333333</v>
          </cell>
        </row>
        <row r="11">
          <cell r="B11" t="str">
            <v>淳安县爱满屋家电商行</v>
          </cell>
          <cell r="C11" t="str">
            <v>加盟</v>
          </cell>
          <cell r="D11" t="str">
            <v>淳安</v>
          </cell>
          <cell r="E11">
            <v>59065</v>
          </cell>
        </row>
        <row r="11">
          <cell r="G11">
            <v>-1</v>
          </cell>
          <cell r="H11">
            <v>16940</v>
          </cell>
          <cell r="I11">
            <v>40938</v>
          </cell>
          <cell r="J11">
            <v>1.41664698937426</v>
          </cell>
          <cell r="K11">
            <v>76005</v>
          </cell>
          <cell r="L11">
            <v>40938</v>
          </cell>
          <cell r="M11">
            <v>-0.461377540951253</v>
          </cell>
          <cell r="N11">
            <v>88855</v>
          </cell>
          <cell r="O11">
            <v>17009</v>
          </cell>
          <cell r="P11">
            <v>-0.808575769512127</v>
          </cell>
          <cell r="Q11">
            <v>164860</v>
          </cell>
          <cell r="R11">
            <v>57947</v>
          </cell>
          <cell r="S11">
            <v>-0.64850782482106</v>
          </cell>
          <cell r="T11">
            <v>8537</v>
          </cell>
          <cell r="U11">
            <v>22743</v>
          </cell>
          <cell r="V11">
            <v>1.66405060325641</v>
          </cell>
          <cell r="W11">
            <v>173397</v>
          </cell>
          <cell r="X11">
            <v>80690</v>
          </cell>
          <cell r="Y11">
            <v>-0.534651695242709</v>
          </cell>
        </row>
        <row r="11">
          <cell r="AA11">
            <v>17555</v>
          </cell>
          <cell r="AB11" t="e">
            <v>#DIV/0!</v>
          </cell>
          <cell r="AC11">
            <v>173397</v>
          </cell>
          <cell r="AD11">
            <v>98245</v>
          </cell>
          <cell r="AE11">
            <v>-0.433410035929111</v>
          </cell>
          <cell r="AF11">
            <v>7696</v>
          </cell>
          <cell r="AG11">
            <v>41837</v>
          </cell>
        </row>
        <row r="12">
          <cell r="B12" t="str">
            <v>杭州吉丝特家电有限公司</v>
          </cell>
          <cell r="C12" t="str">
            <v>经销</v>
          </cell>
          <cell r="D12" t="str">
            <v>萧山</v>
          </cell>
        </row>
        <row r="12">
          <cell r="G12" t="e">
            <v>#DIV/0!</v>
          </cell>
        </row>
        <row r="12">
          <cell r="J12" t="e">
            <v>#DIV/0!</v>
          </cell>
          <cell r="K12">
            <v>0</v>
          </cell>
          <cell r="L12">
            <v>0</v>
          </cell>
          <cell r="M12" t="e">
            <v>#DIV/0!</v>
          </cell>
        </row>
        <row r="12">
          <cell r="P12" t="e">
            <v>#DIV/0!</v>
          </cell>
          <cell r="Q12">
            <v>0</v>
          </cell>
          <cell r="R12">
            <v>0</v>
          </cell>
          <cell r="S12" t="e">
            <v>#DIV/0!</v>
          </cell>
        </row>
        <row r="12">
          <cell r="V12" t="e">
            <v>#DIV/0!</v>
          </cell>
          <cell r="W12">
            <v>0</v>
          </cell>
          <cell r="X12">
            <v>0</v>
          </cell>
          <cell r="Y12" t="e">
            <v>#DIV/0!</v>
          </cell>
          <cell r="Z12">
            <v>5171.23</v>
          </cell>
        </row>
        <row r="12">
          <cell r="AB12">
            <v>-1</v>
          </cell>
          <cell r="AC12">
            <v>5171.23</v>
          </cell>
          <cell r="AD12">
            <v>0</v>
          </cell>
          <cell r="AE12">
            <v>-1</v>
          </cell>
        </row>
        <row r="13">
          <cell r="B13" t="str">
            <v>杭州司亿博环境设备有限公司</v>
          </cell>
          <cell r="C13" t="str">
            <v>经销</v>
          </cell>
          <cell r="D13" t="str">
            <v>临平</v>
          </cell>
        </row>
        <row r="13">
          <cell r="G13" t="e">
            <v>#DIV/0!</v>
          </cell>
          <cell r="H13">
            <v>15000</v>
          </cell>
          <cell r="I13">
            <v>10000</v>
          </cell>
          <cell r="J13">
            <v>-0.333333333333333</v>
          </cell>
          <cell r="K13">
            <v>15000</v>
          </cell>
          <cell r="L13">
            <v>10000</v>
          </cell>
          <cell r="M13">
            <v>-0.333333333333333</v>
          </cell>
        </row>
        <row r="13">
          <cell r="P13" t="e">
            <v>#DIV/0!</v>
          </cell>
          <cell r="Q13">
            <v>15000</v>
          </cell>
          <cell r="R13">
            <v>10000</v>
          </cell>
          <cell r="S13">
            <v>-0.333333333333333</v>
          </cell>
        </row>
        <row r="13">
          <cell r="U13">
            <v>1258</v>
          </cell>
          <cell r="V13" t="e">
            <v>#DIV/0!</v>
          </cell>
          <cell r="W13">
            <v>15000</v>
          </cell>
          <cell r="X13">
            <v>11258</v>
          </cell>
          <cell r="Y13">
            <v>-0.249466666666667</v>
          </cell>
        </row>
        <row r="13">
          <cell r="AA13">
            <v>5820</v>
          </cell>
          <cell r="AB13" t="e">
            <v>#DIV/0!</v>
          </cell>
          <cell r="AC13">
            <v>15000</v>
          </cell>
          <cell r="AD13">
            <v>17078</v>
          </cell>
          <cell r="AE13">
            <v>0.138533333333333</v>
          </cell>
        </row>
        <row r="14">
          <cell r="B14" t="str">
            <v>淳安县千岛湖宏兴电器有限公司</v>
          </cell>
          <cell r="C14" t="str">
            <v>经销</v>
          </cell>
          <cell r="D14" t="str">
            <v>淳安</v>
          </cell>
        </row>
        <row r="14">
          <cell r="G14" t="e">
            <v>#DIV/0!</v>
          </cell>
        </row>
        <row r="14">
          <cell r="J14" t="e">
            <v>#DIV/0!</v>
          </cell>
          <cell r="K14">
            <v>0</v>
          </cell>
          <cell r="L14">
            <v>0</v>
          </cell>
          <cell r="M14" t="e">
            <v>#DIV/0!</v>
          </cell>
          <cell r="N14">
            <v>14</v>
          </cell>
        </row>
        <row r="14">
          <cell r="P14">
            <v>-1</v>
          </cell>
          <cell r="Q14">
            <v>14</v>
          </cell>
          <cell r="R14">
            <v>0</v>
          </cell>
          <cell r="S14">
            <v>-1</v>
          </cell>
        </row>
        <row r="14">
          <cell r="V14" t="e">
            <v>#DIV/0!</v>
          </cell>
          <cell r="W14">
            <v>14</v>
          </cell>
          <cell r="X14">
            <v>0</v>
          </cell>
          <cell r="Y14">
            <v>-1</v>
          </cell>
        </row>
        <row r="14">
          <cell r="AB14" t="e">
            <v>#DIV/0!</v>
          </cell>
          <cell r="AC14">
            <v>14</v>
          </cell>
          <cell r="AD14">
            <v>0</v>
          </cell>
          <cell r="AE14">
            <v>-1</v>
          </cell>
        </row>
        <row r="15">
          <cell r="B15" t="str">
            <v>国美</v>
          </cell>
          <cell r="C15" t="str">
            <v>国美</v>
          </cell>
          <cell r="D15" t="str">
            <v>市区</v>
          </cell>
          <cell r="E15">
            <v>700000</v>
          </cell>
        </row>
        <row r="15">
          <cell r="G15">
            <v>-1</v>
          </cell>
          <cell r="H15">
            <v>500000</v>
          </cell>
        </row>
        <row r="15">
          <cell r="J15">
            <v>-1</v>
          </cell>
          <cell r="K15">
            <v>1200000</v>
          </cell>
          <cell r="L15">
            <v>0</v>
          </cell>
          <cell r="M15">
            <v>-1</v>
          </cell>
          <cell r="N15">
            <v>500000</v>
          </cell>
        </row>
        <row r="15">
          <cell r="P15">
            <v>-1</v>
          </cell>
          <cell r="Q15">
            <v>1700000</v>
          </cell>
          <cell r="R15">
            <v>0</v>
          </cell>
          <cell r="S15">
            <v>-1</v>
          </cell>
          <cell r="T15">
            <v>1010600</v>
          </cell>
        </row>
        <row r="15">
          <cell r="V15">
            <v>-1</v>
          </cell>
          <cell r="W15">
            <v>2710600</v>
          </cell>
          <cell r="X15">
            <v>0</v>
          </cell>
          <cell r="Y15">
            <v>-1</v>
          </cell>
        </row>
        <row r="15">
          <cell r="AB15" t="e">
            <v>#DIV/0!</v>
          </cell>
          <cell r="AC15">
            <v>2710600</v>
          </cell>
          <cell r="AD15">
            <v>0</v>
          </cell>
          <cell r="AE15">
            <v>-1</v>
          </cell>
          <cell r="AF15">
            <v>559062.69</v>
          </cell>
          <cell r="AG15">
            <v>178700</v>
          </cell>
        </row>
        <row r="16">
          <cell r="B16" t="str">
            <v>五星</v>
          </cell>
          <cell r="C16" t="str">
            <v>五星</v>
          </cell>
          <cell r="D16" t="str">
            <v>市区</v>
          </cell>
        </row>
        <row r="16">
          <cell r="F16">
            <v>185197.48</v>
          </cell>
          <cell r="G16" t="e">
            <v>#DIV/0!</v>
          </cell>
          <cell r="H16">
            <v>201482.75</v>
          </cell>
          <cell r="I16">
            <v>198062.94</v>
          </cell>
          <cell r="J16">
            <v>-0.0169732148285647</v>
          </cell>
          <cell r="K16">
            <v>201482.75</v>
          </cell>
          <cell r="L16">
            <v>383260.42</v>
          </cell>
          <cell r="M16">
            <v>0.902199667217169</v>
          </cell>
          <cell r="N16">
            <v>3232.75</v>
          </cell>
          <cell r="O16">
            <v>550590.57</v>
          </cell>
          <cell r="P16">
            <v>169.316470497255</v>
          </cell>
          <cell r="Q16">
            <v>204715.5</v>
          </cell>
          <cell r="R16">
            <v>933850.99</v>
          </cell>
          <cell r="S16">
            <v>3.56170143442973</v>
          </cell>
          <cell r="T16">
            <v>509377.76</v>
          </cell>
          <cell r="U16">
            <v>274478.54</v>
          </cell>
          <cell r="V16">
            <v>-0.461149344250915</v>
          </cell>
          <cell r="W16">
            <v>714093.26</v>
          </cell>
          <cell r="X16">
            <v>1208329.53</v>
          </cell>
          <cell r="Y16">
            <v>0.692117259305878</v>
          </cell>
          <cell r="Z16">
            <v>443516.31</v>
          </cell>
          <cell r="AA16">
            <v>881876.29</v>
          </cell>
          <cell r="AB16">
            <v>0.98837397885097</v>
          </cell>
          <cell r="AC16">
            <v>1157609.57</v>
          </cell>
          <cell r="AD16">
            <v>2090205.82</v>
          </cell>
          <cell r="AE16">
            <v>0.805622443152401</v>
          </cell>
          <cell r="AF16">
            <v>203087.02</v>
          </cell>
          <cell r="AG16">
            <v>224190.67</v>
          </cell>
        </row>
        <row r="17">
          <cell r="B17" t="str">
            <v>浙江百诚家居科技有限公司</v>
          </cell>
          <cell r="C17" t="str">
            <v>经销</v>
          </cell>
          <cell r="D17" t="str">
            <v>滨江</v>
          </cell>
          <cell r="E17">
            <v>3953.95</v>
          </cell>
          <cell r="F17">
            <v>6229.31</v>
          </cell>
          <cell r="G17">
            <v>0.575465041287826</v>
          </cell>
        </row>
        <row r="17">
          <cell r="J17" t="e">
            <v>#DIV/0!</v>
          </cell>
          <cell r="K17">
            <v>3953.95</v>
          </cell>
          <cell r="L17">
            <v>6229.31</v>
          </cell>
          <cell r="M17">
            <v>0.575465041287826</v>
          </cell>
        </row>
        <row r="17">
          <cell r="P17" t="e">
            <v>#DIV/0!</v>
          </cell>
          <cell r="Q17">
            <v>3953.95</v>
          </cell>
          <cell r="R17">
            <v>6229.31</v>
          </cell>
          <cell r="S17">
            <v>0.575465041287826</v>
          </cell>
          <cell r="T17">
            <v>2451.54</v>
          </cell>
        </row>
        <row r="17">
          <cell r="V17">
            <v>-1</v>
          </cell>
          <cell r="W17">
            <v>6405.49</v>
          </cell>
          <cell r="X17">
            <v>6229.31</v>
          </cell>
          <cell r="Y17">
            <v>-0.0275045312692704</v>
          </cell>
          <cell r="Z17">
            <v>1634.36</v>
          </cell>
        </row>
        <row r="17">
          <cell r="AB17">
            <v>-1</v>
          </cell>
          <cell r="AC17">
            <v>8039.85</v>
          </cell>
          <cell r="AD17">
            <v>6229.31</v>
          </cell>
          <cell r="AE17">
            <v>-0.225195743701686</v>
          </cell>
        </row>
        <row r="18">
          <cell r="B18" t="str">
            <v>杭州临平江南家居专卖店</v>
          </cell>
          <cell r="C18" t="str">
            <v>直营</v>
          </cell>
          <cell r="D18" t="str">
            <v>临平</v>
          </cell>
          <cell r="E18">
            <v>81540</v>
          </cell>
          <cell r="F18">
            <v>29179</v>
          </cell>
          <cell r="G18">
            <v>-0.64215109148884</v>
          </cell>
          <cell r="H18">
            <v>101587</v>
          </cell>
          <cell r="I18">
            <v>111337</v>
          </cell>
          <cell r="J18">
            <v>0.0959768474312659</v>
          </cell>
          <cell r="K18">
            <v>183127</v>
          </cell>
          <cell r="L18">
            <v>140516</v>
          </cell>
          <cell r="M18">
            <v>-0.232685513332278</v>
          </cell>
          <cell r="N18">
            <v>267694</v>
          </cell>
          <cell r="O18">
            <v>74565</v>
          </cell>
          <cell r="P18">
            <v>-0.721454347127691</v>
          </cell>
          <cell r="Q18">
            <v>450821</v>
          </cell>
          <cell r="R18">
            <v>215081</v>
          </cell>
          <cell r="S18">
            <v>-0.522912641602765</v>
          </cell>
          <cell r="T18">
            <v>173773</v>
          </cell>
          <cell r="U18">
            <v>93352</v>
          </cell>
          <cell r="V18">
            <v>-0.462793414396943</v>
          </cell>
          <cell r="W18">
            <v>624594</v>
          </cell>
          <cell r="X18">
            <v>308433</v>
          </cell>
          <cell r="Y18">
            <v>-0.506186418697586</v>
          </cell>
          <cell r="Z18">
            <v>163688</v>
          </cell>
          <cell r="AA18">
            <v>55599</v>
          </cell>
          <cell r="AB18">
            <v>-0.660335516348175</v>
          </cell>
          <cell r="AC18">
            <v>788282</v>
          </cell>
          <cell r="AD18">
            <v>364032</v>
          </cell>
          <cell r="AE18">
            <v>-0.538195721835587</v>
          </cell>
          <cell r="AF18">
            <v>430352</v>
          </cell>
          <cell r="AG18">
            <v>140940</v>
          </cell>
        </row>
        <row r="19">
          <cell r="B19" t="str">
            <v>杭州临平江南家居专卖店（杭州伟隆家电有限公司）</v>
          </cell>
          <cell r="C19" t="str">
            <v>经销</v>
          </cell>
          <cell r="D19" t="str">
            <v>余杭</v>
          </cell>
          <cell r="E19">
            <v>18722</v>
          </cell>
        </row>
        <row r="19">
          <cell r="G19">
            <v>-1</v>
          </cell>
        </row>
        <row r="19">
          <cell r="J19" t="e">
            <v>#DIV/0!</v>
          </cell>
          <cell r="K19">
            <v>18722</v>
          </cell>
          <cell r="L19">
            <v>0</v>
          </cell>
          <cell r="M19">
            <v>-1</v>
          </cell>
        </row>
        <row r="19">
          <cell r="P19" t="e">
            <v>#DIV/0!</v>
          </cell>
          <cell r="Q19">
            <v>18722</v>
          </cell>
          <cell r="R19">
            <v>0</v>
          </cell>
          <cell r="S19">
            <v>-1</v>
          </cell>
        </row>
        <row r="19">
          <cell r="V19" t="e">
            <v>#DIV/0!</v>
          </cell>
          <cell r="W19">
            <v>18722</v>
          </cell>
          <cell r="X19">
            <v>0</v>
          </cell>
          <cell r="Y19">
            <v>-1</v>
          </cell>
        </row>
        <row r="19">
          <cell r="AA19">
            <v>1418.14</v>
          </cell>
          <cell r="AB19" t="e">
            <v>#DIV/0!</v>
          </cell>
          <cell r="AC19">
            <v>18722</v>
          </cell>
          <cell r="AD19">
            <v>1418.14</v>
          </cell>
          <cell r="AE19">
            <v>-0.92425275077449</v>
          </cell>
        </row>
        <row r="20">
          <cell r="B20" t="str">
            <v>杭州华泓电器有限公司</v>
          </cell>
          <cell r="C20" t="str">
            <v>经销</v>
          </cell>
          <cell r="D20" t="str">
            <v>萧山</v>
          </cell>
          <cell r="E20">
            <v>23918</v>
          </cell>
          <cell r="F20">
            <v>6910</v>
          </cell>
          <cell r="G20">
            <v>-0.711096245505477</v>
          </cell>
          <cell r="H20">
            <v>14255</v>
          </cell>
        </row>
        <row r="20">
          <cell r="J20">
            <v>-1</v>
          </cell>
          <cell r="K20">
            <v>38173</v>
          </cell>
          <cell r="L20">
            <v>6910</v>
          </cell>
          <cell r="M20">
            <v>-0.818982002986404</v>
          </cell>
          <cell r="N20">
            <v>15143</v>
          </cell>
        </row>
        <row r="20">
          <cell r="P20">
            <v>-1</v>
          </cell>
          <cell r="Q20">
            <v>53316</v>
          </cell>
          <cell r="R20">
            <v>6910</v>
          </cell>
          <cell r="S20">
            <v>-0.870395378498012</v>
          </cell>
          <cell r="T20">
            <v>5241</v>
          </cell>
        </row>
        <row r="20">
          <cell r="V20">
            <v>-1</v>
          </cell>
          <cell r="W20">
            <v>58557</v>
          </cell>
          <cell r="X20">
            <v>6910</v>
          </cell>
          <cell r="Y20">
            <v>-0.881995320798538</v>
          </cell>
          <cell r="Z20">
            <v>9006</v>
          </cell>
          <cell r="AA20">
            <v>12411</v>
          </cell>
          <cell r="AB20">
            <v>0.378081279147235</v>
          </cell>
          <cell r="AC20">
            <v>67563</v>
          </cell>
          <cell r="AD20">
            <v>19321</v>
          </cell>
          <cell r="AE20">
            <v>-0.714029868419105</v>
          </cell>
        </row>
        <row r="20">
          <cell r="AG20">
            <v>3910</v>
          </cell>
        </row>
        <row r="21">
          <cell r="B21" t="str">
            <v>杭州信诚电器有限公司</v>
          </cell>
          <cell r="C21" t="str">
            <v>经销</v>
          </cell>
          <cell r="D21" t="str">
            <v>余杭</v>
          </cell>
        </row>
        <row r="21">
          <cell r="G21" t="e">
            <v>#DIV/0!</v>
          </cell>
          <cell r="H21">
            <v>3941</v>
          </cell>
        </row>
        <row r="21">
          <cell r="J21">
            <v>-1</v>
          </cell>
          <cell r="K21">
            <v>3941</v>
          </cell>
          <cell r="L21">
            <v>0</v>
          </cell>
          <cell r="M21">
            <v>-1</v>
          </cell>
        </row>
        <row r="21">
          <cell r="P21" t="e">
            <v>#DIV/0!</v>
          </cell>
          <cell r="Q21">
            <v>3941</v>
          </cell>
          <cell r="R21">
            <v>0</v>
          </cell>
          <cell r="S21">
            <v>-1</v>
          </cell>
        </row>
        <row r="21">
          <cell r="V21" t="e">
            <v>#DIV/0!</v>
          </cell>
          <cell r="W21">
            <v>3941</v>
          </cell>
          <cell r="X21">
            <v>0</v>
          </cell>
          <cell r="Y21">
            <v>-1</v>
          </cell>
        </row>
        <row r="21">
          <cell r="AB21" t="e">
            <v>#DIV/0!</v>
          </cell>
          <cell r="AC21">
            <v>3941</v>
          </cell>
          <cell r="AD21">
            <v>0</v>
          </cell>
          <cell r="AE21">
            <v>-1</v>
          </cell>
        </row>
        <row r="22">
          <cell r="B22" t="str">
            <v>杭州碌诚电器有限公司</v>
          </cell>
          <cell r="C22" t="str">
            <v>经销</v>
          </cell>
          <cell r="D22" t="str">
            <v>余杭</v>
          </cell>
          <cell r="E22">
            <v>7130</v>
          </cell>
        </row>
        <row r="22">
          <cell r="G22">
            <v>-1</v>
          </cell>
        </row>
        <row r="22">
          <cell r="J22" t="e">
            <v>#DIV/0!</v>
          </cell>
          <cell r="K22">
            <v>7130</v>
          </cell>
          <cell r="L22">
            <v>0</v>
          </cell>
          <cell r="M22">
            <v>-1</v>
          </cell>
        </row>
        <row r="22">
          <cell r="P22" t="e">
            <v>#DIV/0!</v>
          </cell>
          <cell r="Q22">
            <v>7130</v>
          </cell>
          <cell r="R22">
            <v>0</v>
          </cell>
          <cell r="S22">
            <v>-1</v>
          </cell>
        </row>
        <row r="22">
          <cell r="V22" t="e">
            <v>#DIV/0!</v>
          </cell>
          <cell r="W22">
            <v>7130</v>
          </cell>
          <cell r="X22">
            <v>0</v>
          </cell>
          <cell r="Y22">
            <v>-1</v>
          </cell>
        </row>
        <row r="22">
          <cell r="AB22" t="e">
            <v>#DIV/0!</v>
          </cell>
          <cell r="AC22">
            <v>7130</v>
          </cell>
          <cell r="AD22">
            <v>0</v>
          </cell>
          <cell r="AE22">
            <v>-1</v>
          </cell>
        </row>
        <row r="23">
          <cell r="B23" t="str">
            <v>杭州金蝶零售</v>
          </cell>
          <cell r="C23" t="str">
            <v>零售</v>
          </cell>
          <cell r="D23" t="str">
            <v>市区</v>
          </cell>
          <cell r="E23">
            <v>208968.6</v>
          </cell>
          <cell r="F23">
            <v>82929</v>
          </cell>
          <cell r="G23">
            <v>-0.603150904011416</v>
          </cell>
          <cell r="H23">
            <v>60300</v>
          </cell>
          <cell r="I23">
            <v>191384</v>
          </cell>
          <cell r="J23">
            <v>2.173864013267</v>
          </cell>
          <cell r="K23">
            <v>269268.6</v>
          </cell>
          <cell r="L23">
            <v>274313</v>
          </cell>
          <cell r="M23">
            <v>0.0187337105031928</v>
          </cell>
          <cell r="N23">
            <v>424006.17</v>
          </cell>
          <cell r="O23">
            <v>134699</v>
          </cell>
          <cell r="P23">
            <v>-0.682318302113387</v>
          </cell>
          <cell r="Q23">
            <v>693274.77</v>
          </cell>
          <cell r="R23">
            <v>409012</v>
          </cell>
          <cell r="S23">
            <v>-0.410029013460276</v>
          </cell>
          <cell r="T23">
            <v>97829.1</v>
          </cell>
          <cell r="U23">
            <v>47622.6</v>
          </cell>
          <cell r="V23">
            <v>-0.513206193249248</v>
          </cell>
          <cell r="W23">
            <v>791103.87</v>
          </cell>
          <cell r="X23">
            <v>456634.6</v>
          </cell>
          <cell r="Y23">
            <v>-0.422788059423853</v>
          </cell>
          <cell r="Z23">
            <v>46691.62</v>
          </cell>
          <cell r="AA23">
            <v>91445.4</v>
          </cell>
          <cell r="AB23">
            <v>0.958497049363461</v>
          </cell>
          <cell r="AC23">
            <v>837795.49</v>
          </cell>
          <cell r="AD23">
            <v>548080</v>
          </cell>
          <cell r="AE23">
            <v>-0.345806934339071</v>
          </cell>
          <cell r="AF23">
            <v>160814.3</v>
          </cell>
          <cell r="AG23">
            <v>165502.8</v>
          </cell>
        </row>
        <row r="24">
          <cell r="B24" t="str">
            <v>杭州恒隆电器设备有限公司</v>
          </cell>
          <cell r="C24" t="str">
            <v>经销</v>
          </cell>
          <cell r="D24" t="str">
            <v>余杭</v>
          </cell>
          <cell r="E24">
            <v>22567</v>
          </cell>
          <cell r="F24">
            <v>790</v>
          </cell>
          <cell r="G24">
            <v>-0.964993131563788</v>
          </cell>
          <cell r="H24">
            <v>25787</v>
          </cell>
        </row>
        <row r="24">
          <cell r="J24">
            <v>-1</v>
          </cell>
          <cell r="K24">
            <v>48354</v>
          </cell>
          <cell r="L24">
            <v>790</v>
          </cell>
          <cell r="M24">
            <v>-0.983662158249576</v>
          </cell>
          <cell r="N24">
            <v>61291</v>
          </cell>
        </row>
        <row r="24">
          <cell r="P24">
            <v>-1</v>
          </cell>
          <cell r="Q24">
            <v>109645</v>
          </cell>
          <cell r="R24">
            <v>790</v>
          </cell>
          <cell r="S24">
            <v>-0.992794929089334</v>
          </cell>
          <cell r="T24">
            <v>1907</v>
          </cell>
          <cell r="U24">
            <v>3941</v>
          </cell>
          <cell r="V24">
            <v>1.06659674882014</v>
          </cell>
          <cell r="W24">
            <v>111552</v>
          </cell>
          <cell r="X24">
            <v>4731</v>
          </cell>
          <cell r="Y24">
            <v>-0.957589285714286</v>
          </cell>
          <cell r="Z24">
            <v>11080</v>
          </cell>
        </row>
        <row r="24">
          <cell r="AB24">
            <v>-1</v>
          </cell>
          <cell r="AC24">
            <v>122632</v>
          </cell>
          <cell r="AD24">
            <v>4731</v>
          </cell>
          <cell r="AE24">
            <v>-0.961421162502446</v>
          </cell>
          <cell r="AF24">
            <v>19693</v>
          </cell>
          <cell r="AG24">
            <v>3125</v>
          </cell>
        </row>
        <row r="25">
          <cell r="B25" t="str">
            <v>萧山世纪龙建材专卖店</v>
          </cell>
          <cell r="C25" t="str">
            <v>直营</v>
          </cell>
          <cell r="D25" t="str">
            <v>萧山</v>
          </cell>
          <cell r="E25">
            <v>-3670.4</v>
          </cell>
        </row>
        <row r="25">
          <cell r="G25">
            <v>-1</v>
          </cell>
        </row>
        <row r="25">
          <cell r="I25">
            <v>14214</v>
          </cell>
          <cell r="J25" t="e">
            <v>#DIV/0!</v>
          </cell>
          <cell r="K25">
            <v>-3670.4</v>
          </cell>
          <cell r="L25">
            <v>14214</v>
          </cell>
          <cell r="M25">
            <v>-4.87260244115083</v>
          </cell>
        </row>
        <row r="25">
          <cell r="O25">
            <v>26766</v>
          </cell>
          <cell r="P25" t="e">
            <v>#DIV/0!</v>
          </cell>
          <cell r="Q25">
            <v>-3670.4</v>
          </cell>
          <cell r="R25">
            <v>40980</v>
          </cell>
          <cell r="S25">
            <v>-12.1649956408021</v>
          </cell>
        </row>
        <row r="25">
          <cell r="U25">
            <v>21834</v>
          </cell>
          <cell r="V25" t="e">
            <v>#DIV/0!</v>
          </cell>
          <cell r="W25">
            <v>-3670.4</v>
          </cell>
          <cell r="X25">
            <v>62814</v>
          </cell>
          <cell r="Y25">
            <v>-18.1136660854403</v>
          </cell>
          <cell r="Z25">
            <v>2529</v>
          </cell>
          <cell r="AA25">
            <v>6999</v>
          </cell>
          <cell r="AB25">
            <v>1.76749703440095</v>
          </cell>
          <cell r="AC25">
            <v>-1141.4</v>
          </cell>
          <cell r="AD25">
            <v>69813</v>
          </cell>
          <cell r="AE25">
            <v>-62.164359558437</v>
          </cell>
          <cell r="AF25">
            <v>6300</v>
          </cell>
          <cell r="AG25">
            <v>30981</v>
          </cell>
        </row>
        <row r="26">
          <cell r="B26" t="str">
            <v>（新）古墩新时代专卖店</v>
          </cell>
          <cell r="C26" t="str">
            <v>直营</v>
          </cell>
          <cell r="D26" t="str">
            <v>西湖</v>
          </cell>
          <cell r="E26">
            <v>335136</v>
          </cell>
          <cell r="F26">
            <v>431498</v>
          </cell>
          <cell r="G26">
            <v>0.287531032177981</v>
          </cell>
          <cell r="H26">
            <v>264049</v>
          </cell>
          <cell r="I26">
            <v>555081</v>
          </cell>
          <cell r="J26">
            <v>1.10218936636761</v>
          </cell>
          <cell r="K26">
            <v>599185</v>
          </cell>
          <cell r="L26">
            <v>986579</v>
          </cell>
          <cell r="M26">
            <v>0.646534876540634</v>
          </cell>
          <cell r="N26">
            <v>615946</v>
          </cell>
          <cell r="O26">
            <v>601937</v>
          </cell>
          <cell r="P26">
            <v>-0.0227438768982995</v>
          </cell>
          <cell r="Q26">
            <v>1215131</v>
          </cell>
          <cell r="R26">
            <v>1588516</v>
          </cell>
          <cell r="S26">
            <v>0.307279626641078</v>
          </cell>
          <cell r="T26">
            <v>463254</v>
          </cell>
          <cell r="U26">
            <v>445677</v>
          </cell>
          <cell r="V26">
            <v>-0.0379424678470126</v>
          </cell>
          <cell r="W26">
            <v>1678385</v>
          </cell>
          <cell r="X26">
            <v>2034193</v>
          </cell>
          <cell r="Y26">
            <v>0.211994268299586</v>
          </cell>
          <cell r="Z26">
            <v>378356</v>
          </cell>
          <cell r="AA26">
            <v>486210.7</v>
          </cell>
          <cell r="AB26">
            <v>0.285061423632769</v>
          </cell>
          <cell r="AC26">
            <v>2056741</v>
          </cell>
          <cell r="AD26">
            <v>2520403.7</v>
          </cell>
          <cell r="AE26">
            <v>0.225435628501595</v>
          </cell>
          <cell r="AF26">
            <v>461928</v>
          </cell>
          <cell r="AG26">
            <v>474139</v>
          </cell>
        </row>
        <row r="27">
          <cell r="B27" t="str">
            <v>杭州月星家居超级旗舰店</v>
          </cell>
          <cell r="C27" t="str">
            <v>直营</v>
          </cell>
          <cell r="D27" t="str">
            <v>拱墅</v>
          </cell>
          <cell r="E27">
            <v>35293</v>
          </cell>
          <cell r="F27">
            <v>84451</v>
          </cell>
          <cell r="G27">
            <v>1.39285410704672</v>
          </cell>
          <cell r="H27">
            <v>7925</v>
          </cell>
          <cell r="I27">
            <v>174972.1</v>
          </cell>
          <cell r="J27">
            <v>21.0784984227129</v>
          </cell>
          <cell r="K27">
            <v>43218</v>
          </cell>
          <cell r="L27">
            <v>259423.1</v>
          </cell>
          <cell r="M27">
            <v>5.00266324216762</v>
          </cell>
          <cell r="N27">
            <v>16219</v>
          </cell>
          <cell r="O27">
            <v>150952</v>
          </cell>
          <cell r="P27">
            <v>8.30710894629755</v>
          </cell>
          <cell r="Q27">
            <v>59437</v>
          </cell>
          <cell r="R27">
            <v>410375.1</v>
          </cell>
          <cell r="S27">
            <v>5.90437101468782</v>
          </cell>
          <cell r="T27">
            <v>18226</v>
          </cell>
          <cell r="U27">
            <v>91671</v>
          </cell>
          <cell r="V27">
            <v>4.02968287062438</v>
          </cell>
          <cell r="W27">
            <v>77663</v>
          </cell>
          <cell r="X27">
            <v>502046.1</v>
          </cell>
          <cell r="Y27">
            <v>5.46441806265532</v>
          </cell>
          <cell r="Z27">
            <v>34627</v>
          </cell>
          <cell r="AA27">
            <v>75153</v>
          </cell>
          <cell r="AB27">
            <v>1.17035839085107</v>
          </cell>
          <cell r="AC27">
            <v>112290</v>
          </cell>
          <cell r="AD27">
            <v>577199.1</v>
          </cell>
          <cell r="AE27">
            <v>4.1402538071066</v>
          </cell>
          <cell r="AF27">
            <v>48146</v>
          </cell>
          <cell r="AG27">
            <v>20340</v>
          </cell>
        </row>
        <row r="28">
          <cell r="B28" t="str">
            <v>杭州恒大建材超级旗舰店</v>
          </cell>
          <cell r="C28" t="str">
            <v>直营</v>
          </cell>
          <cell r="D28" t="str">
            <v>临平</v>
          </cell>
          <cell r="E28">
            <v>97310</v>
          </cell>
          <cell r="F28">
            <v>24422</v>
          </cell>
          <cell r="G28">
            <v>-0.749028876785531</v>
          </cell>
          <cell r="H28">
            <v>52558</v>
          </cell>
          <cell r="I28">
            <v>110516.9</v>
          </cell>
          <cell r="J28">
            <v>1.10276075954184</v>
          </cell>
          <cell r="K28">
            <v>149868</v>
          </cell>
          <cell r="L28">
            <v>134938.9</v>
          </cell>
          <cell r="M28">
            <v>-0.0996149945285185</v>
          </cell>
          <cell r="N28">
            <v>161755</v>
          </cell>
          <cell r="O28">
            <v>143654.88</v>
          </cell>
          <cell r="P28">
            <v>-0.11189836481098</v>
          </cell>
          <cell r="Q28">
            <v>311623</v>
          </cell>
          <cell r="R28">
            <v>278593.78</v>
          </cell>
          <cell r="S28">
            <v>-0.105990957021786</v>
          </cell>
          <cell r="T28">
            <v>83325</v>
          </cell>
          <cell r="U28">
            <v>151575</v>
          </cell>
          <cell r="V28">
            <v>0.819081908190819</v>
          </cell>
          <cell r="W28">
            <v>394948</v>
          </cell>
          <cell r="X28">
            <v>430168.78</v>
          </cell>
          <cell r="Y28">
            <v>0.0891782715699283</v>
          </cell>
          <cell r="Z28">
            <v>232402</v>
          </cell>
          <cell r="AA28">
            <v>213074</v>
          </cell>
          <cell r="AB28">
            <v>-0.083166237812067</v>
          </cell>
          <cell r="AC28">
            <v>627350</v>
          </cell>
          <cell r="AD28">
            <v>643242.78</v>
          </cell>
          <cell r="AE28">
            <v>0.0253331951861002</v>
          </cell>
          <cell r="AF28">
            <v>83739</v>
          </cell>
          <cell r="AG28">
            <v>204318.7</v>
          </cell>
        </row>
        <row r="29">
          <cell r="B29" t="str">
            <v>二轻爱威专卖店</v>
          </cell>
          <cell r="C29" t="str">
            <v>加盟</v>
          </cell>
          <cell r="D29" t="str">
            <v>拱墅</v>
          </cell>
          <cell r="E29">
            <v>122703</v>
          </cell>
          <cell r="F29">
            <v>153577</v>
          </cell>
          <cell r="G29">
            <v>0.251615689917932</v>
          </cell>
          <cell r="H29">
            <v>58401</v>
          </cell>
          <cell r="I29">
            <v>138466</v>
          </cell>
          <cell r="J29">
            <v>1.37095255218233</v>
          </cell>
          <cell r="K29">
            <v>181104</v>
          </cell>
          <cell r="L29">
            <v>292043</v>
          </cell>
          <cell r="M29">
            <v>0.612570677621698</v>
          </cell>
          <cell r="N29">
            <v>160666</v>
          </cell>
          <cell r="O29">
            <v>247705.4</v>
          </cell>
          <cell r="P29">
            <v>0.54174125203839</v>
          </cell>
          <cell r="Q29">
            <v>341770</v>
          </cell>
          <cell r="R29">
            <v>539748.4</v>
          </cell>
          <cell r="S29">
            <v>0.579273780612693</v>
          </cell>
          <cell r="T29">
            <v>81747</v>
          </cell>
          <cell r="U29">
            <v>211406</v>
          </cell>
          <cell r="V29">
            <v>1.58610101899764</v>
          </cell>
          <cell r="W29">
            <v>423517</v>
          </cell>
          <cell r="X29">
            <v>751154.4</v>
          </cell>
          <cell r="Y29">
            <v>0.77361097665501</v>
          </cell>
          <cell r="Z29">
            <v>90148</v>
          </cell>
          <cell r="AA29">
            <v>148012</v>
          </cell>
          <cell r="AB29">
            <v>0.64187780094955</v>
          </cell>
          <cell r="AC29">
            <v>513665</v>
          </cell>
          <cell r="AD29">
            <v>899166.4</v>
          </cell>
          <cell r="AE29">
            <v>0.750491857533607</v>
          </cell>
          <cell r="AF29">
            <v>94347</v>
          </cell>
          <cell r="AG29">
            <v>265849</v>
          </cell>
        </row>
        <row r="30">
          <cell r="B30" t="str">
            <v>（新）滨江第六空间专卖店</v>
          </cell>
          <cell r="C30" t="str">
            <v>直营</v>
          </cell>
          <cell r="D30" t="str">
            <v>滨江</v>
          </cell>
          <cell r="E30">
            <v>130944</v>
          </cell>
          <cell r="F30">
            <v>55888</v>
          </cell>
          <cell r="G30">
            <v>-0.573191593352884</v>
          </cell>
          <cell r="H30">
            <v>70042</v>
          </cell>
          <cell r="I30">
            <v>110150.4</v>
          </cell>
          <cell r="J30">
            <v>0.572633562719511</v>
          </cell>
          <cell r="K30">
            <v>200986</v>
          </cell>
          <cell r="L30">
            <v>166038.4</v>
          </cell>
          <cell r="M30">
            <v>-0.173880767814674</v>
          </cell>
          <cell r="N30">
            <v>221166</v>
          </cell>
          <cell r="O30">
            <v>151680.8</v>
          </cell>
          <cell r="P30">
            <v>-0.314176681768445</v>
          </cell>
          <cell r="Q30">
            <v>422152</v>
          </cell>
          <cell r="R30">
            <v>317719.2</v>
          </cell>
          <cell r="S30">
            <v>-0.247381985635506</v>
          </cell>
          <cell r="T30">
            <v>169305</v>
          </cell>
          <cell r="U30">
            <v>105900</v>
          </cell>
          <cell r="V30">
            <v>-0.374501639053779</v>
          </cell>
          <cell r="W30">
            <v>591457</v>
          </cell>
          <cell r="X30">
            <v>423619.2</v>
          </cell>
          <cell r="Y30">
            <v>-0.283770079650761</v>
          </cell>
          <cell r="Z30">
            <v>89075</v>
          </cell>
          <cell r="AA30">
            <v>130233</v>
          </cell>
          <cell r="AB30">
            <v>0.46206006174572</v>
          </cell>
          <cell r="AC30">
            <v>680532</v>
          </cell>
          <cell r="AD30">
            <v>553852.2</v>
          </cell>
          <cell r="AE30">
            <v>-0.186148189945513</v>
          </cell>
          <cell r="AF30">
            <v>44490</v>
          </cell>
          <cell r="AG30">
            <v>234526.6</v>
          </cell>
        </row>
        <row r="31">
          <cell r="B31" t="str">
            <v>杭州日新人工环境工程有限公司</v>
          </cell>
          <cell r="C31" t="str">
            <v>暖通</v>
          </cell>
          <cell r="D31" t="str">
            <v>西湖</v>
          </cell>
        </row>
        <row r="31">
          <cell r="G31" t="e">
            <v>#DIV/0!</v>
          </cell>
          <cell r="H31">
            <v>30267</v>
          </cell>
          <cell r="I31">
            <v>9395</v>
          </cell>
          <cell r="J31">
            <v>-0.689595929560247</v>
          </cell>
          <cell r="K31">
            <v>30267</v>
          </cell>
          <cell r="L31">
            <v>9395</v>
          </cell>
          <cell r="M31">
            <v>-0.689595929560247</v>
          </cell>
          <cell r="N31">
            <v>8945</v>
          </cell>
          <cell r="O31">
            <v>1580</v>
          </cell>
          <cell r="P31">
            <v>-0.823365008384572</v>
          </cell>
          <cell r="Q31">
            <v>39212</v>
          </cell>
          <cell r="R31">
            <v>10975</v>
          </cell>
          <cell r="S31">
            <v>-0.720111190451902</v>
          </cell>
        </row>
        <row r="31">
          <cell r="U31">
            <v>11195</v>
          </cell>
          <cell r="V31" t="e">
            <v>#DIV/0!</v>
          </cell>
          <cell r="W31">
            <v>39212</v>
          </cell>
          <cell r="X31">
            <v>22170</v>
          </cell>
          <cell r="Y31">
            <v>-0.43461185351423</v>
          </cell>
          <cell r="Z31">
            <v>21043</v>
          </cell>
        </row>
        <row r="31">
          <cell r="AB31">
            <v>-1</v>
          </cell>
          <cell r="AC31">
            <v>60255</v>
          </cell>
          <cell r="AD31">
            <v>22170</v>
          </cell>
          <cell r="AE31">
            <v>-0.632063729151108</v>
          </cell>
          <cell r="AF31">
            <v>11195</v>
          </cell>
          <cell r="AG31">
            <v>15533</v>
          </cell>
        </row>
        <row r="32">
          <cell r="B32" t="str">
            <v>杭州森澜环境科技有限公司</v>
          </cell>
          <cell r="C32" t="str">
            <v>经销</v>
          </cell>
          <cell r="D32" t="str">
            <v>滨江</v>
          </cell>
          <cell r="E32">
            <v>30962</v>
          </cell>
        </row>
        <row r="32">
          <cell r="G32">
            <v>-1</v>
          </cell>
        </row>
        <row r="32">
          <cell r="I32">
            <v>8351</v>
          </cell>
          <cell r="J32" t="e">
            <v>#DIV/0!</v>
          </cell>
          <cell r="K32">
            <v>30962</v>
          </cell>
          <cell r="L32">
            <v>8351</v>
          </cell>
          <cell r="M32">
            <v>-0.730282281506363</v>
          </cell>
        </row>
        <row r="32">
          <cell r="P32" t="e">
            <v>#DIV/0!</v>
          </cell>
          <cell r="Q32">
            <v>30962</v>
          </cell>
          <cell r="R32">
            <v>8351</v>
          </cell>
          <cell r="S32">
            <v>-0.730282281506363</v>
          </cell>
        </row>
        <row r="32">
          <cell r="V32" t="e">
            <v>#DIV/0!</v>
          </cell>
          <cell r="W32">
            <v>30962</v>
          </cell>
          <cell r="X32">
            <v>8351</v>
          </cell>
          <cell r="Y32">
            <v>-0.730282281506363</v>
          </cell>
        </row>
        <row r="32">
          <cell r="AB32" t="e">
            <v>#DIV/0!</v>
          </cell>
          <cell r="AC32">
            <v>30962</v>
          </cell>
          <cell r="AD32">
            <v>8351</v>
          </cell>
          <cell r="AE32">
            <v>-0.730282281506363</v>
          </cell>
          <cell r="AF32">
            <v>6635</v>
          </cell>
        </row>
        <row r="33">
          <cell r="B33" t="str">
            <v>杭州顶戴环境设备有限公司</v>
          </cell>
          <cell r="C33" t="str">
            <v>暖通</v>
          </cell>
          <cell r="D33" t="str">
            <v>萧山</v>
          </cell>
        </row>
        <row r="33">
          <cell r="F33">
            <v>10859</v>
          </cell>
          <cell r="G33" t="e">
            <v>#DIV/0!</v>
          </cell>
        </row>
        <row r="33">
          <cell r="J33" t="e">
            <v>#DIV/0!</v>
          </cell>
          <cell r="K33">
            <v>0</v>
          </cell>
          <cell r="L33">
            <v>10859</v>
          </cell>
          <cell r="M33" t="e">
            <v>#DIV/0!</v>
          </cell>
        </row>
        <row r="33">
          <cell r="P33" t="e">
            <v>#DIV/0!</v>
          </cell>
          <cell r="Q33">
            <v>0</v>
          </cell>
          <cell r="R33">
            <v>10859</v>
          </cell>
          <cell r="S33" t="e">
            <v>#DIV/0!</v>
          </cell>
        </row>
        <row r="33">
          <cell r="V33" t="e">
            <v>#DIV/0!</v>
          </cell>
          <cell r="W33">
            <v>0</v>
          </cell>
          <cell r="X33">
            <v>10859</v>
          </cell>
          <cell r="Y33" t="e">
            <v>#DIV/0!</v>
          </cell>
        </row>
        <row r="33">
          <cell r="AB33" t="e">
            <v>#DIV/0!</v>
          </cell>
          <cell r="AC33">
            <v>0</v>
          </cell>
          <cell r="AD33">
            <v>10859</v>
          </cell>
          <cell r="AE33" t="e">
            <v>#DIV/0!</v>
          </cell>
        </row>
        <row r="34">
          <cell r="B34" t="str">
            <v>杭州市江干区百丰电器商行</v>
          </cell>
          <cell r="C34" t="str">
            <v>经销</v>
          </cell>
          <cell r="D34" t="str">
            <v>上城</v>
          </cell>
        </row>
        <row r="34">
          <cell r="G34" t="e">
            <v>#DIV/0!</v>
          </cell>
          <cell r="H34">
            <v>1590</v>
          </cell>
        </row>
        <row r="34">
          <cell r="J34">
            <v>-1</v>
          </cell>
          <cell r="K34">
            <v>1590</v>
          </cell>
          <cell r="L34">
            <v>0</v>
          </cell>
          <cell r="M34">
            <v>-1</v>
          </cell>
        </row>
        <row r="34">
          <cell r="P34" t="e">
            <v>#DIV/0!</v>
          </cell>
          <cell r="Q34">
            <v>1590</v>
          </cell>
          <cell r="R34">
            <v>0</v>
          </cell>
          <cell r="S34">
            <v>-1</v>
          </cell>
        </row>
        <row r="34">
          <cell r="V34" t="e">
            <v>#DIV/0!</v>
          </cell>
          <cell r="W34">
            <v>1590</v>
          </cell>
          <cell r="X34">
            <v>0</v>
          </cell>
          <cell r="Y34">
            <v>-1</v>
          </cell>
        </row>
        <row r="34">
          <cell r="AB34" t="e">
            <v>#DIV/0!</v>
          </cell>
          <cell r="AC34">
            <v>1590</v>
          </cell>
          <cell r="AD34">
            <v>0</v>
          </cell>
          <cell r="AE34">
            <v>-1</v>
          </cell>
        </row>
        <row r="35">
          <cell r="B35" t="str">
            <v>杭州晨澜暖通设备有限公司</v>
          </cell>
          <cell r="C35" t="str">
            <v>经销</v>
          </cell>
          <cell r="D35" t="str">
            <v>萧山</v>
          </cell>
        </row>
        <row r="35">
          <cell r="G35" t="e">
            <v>#DIV/0!</v>
          </cell>
        </row>
        <row r="35">
          <cell r="J35" t="e">
            <v>#DIV/0!</v>
          </cell>
          <cell r="K35">
            <v>0</v>
          </cell>
          <cell r="L35">
            <v>0</v>
          </cell>
          <cell r="M35" t="e">
            <v>#DIV/0!</v>
          </cell>
        </row>
        <row r="35">
          <cell r="P35" t="e">
            <v>#DIV/0!</v>
          </cell>
          <cell r="Q35">
            <v>0</v>
          </cell>
          <cell r="R35">
            <v>0</v>
          </cell>
          <cell r="S35" t="e">
            <v>#DIV/0!</v>
          </cell>
        </row>
        <row r="35">
          <cell r="V35" t="e">
            <v>#DIV/0!</v>
          </cell>
          <cell r="W35">
            <v>0</v>
          </cell>
          <cell r="X35">
            <v>0</v>
          </cell>
          <cell r="Y35" t="e">
            <v>#DIV/0!</v>
          </cell>
        </row>
        <row r="35">
          <cell r="AB35" t="e">
            <v>#DIV/0!</v>
          </cell>
          <cell r="AC35">
            <v>0</v>
          </cell>
          <cell r="AD35">
            <v>0</v>
          </cell>
          <cell r="AE35" t="e">
            <v>#DIV/0!</v>
          </cell>
        </row>
        <row r="36">
          <cell r="B36" t="str">
            <v>杭州扎美珂暖通设备有限公司</v>
          </cell>
          <cell r="C36" t="str">
            <v>经销</v>
          </cell>
          <cell r="D36" t="str">
            <v>拱墅</v>
          </cell>
        </row>
        <row r="36">
          <cell r="G36" t="e">
            <v>#DIV/0!</v>
          </cell>
        </row>
        <row r="36">
          <cell r="J36" t="e">
            <v>#DIV/0!</v>
          </cell>
          <cell r="K36">
            <v>0</v>
          </cell>
          <cell r="L36">
            <v>0</v>
          </cell>
          <cell r="M36" t="e">
            <v>#DIV/0!</v>
          </cell>
        </row>
        <row r="36">
          <cell r="P36" t="e">
            <v>#DIV/0!</v>
          </cell>
          <cell r="Q36">
            <v>0</v>
          </cell>
          <cell r="R36">
            <v>0</v>
          </cell>
          <cell r="S36" t="e">
            <v>#DIV/0!</v>
          </cell>
        </row>
        <row r="36">
          <cell r="V36" t="e">
            <v>#DIV/0!</v>
          </cell>
          <cell r="W36">
            <v>0</v>
          </cell>
          <cell r="X36">
            <v>0</v>
          </cell>
          <cell r="Y36" t="e">
            <v>#DIV/0!</v>
          </cell>
          <cell r="Z36">
            <v>2991</v>
          </cell>
        </row>
        <row r="36">
          <cell r="AB36">
            <v>-1</v>
          </cell>
          <cell r="AC36">
            <v>2991</v>
          </cell>
          <cell r="AD36">
            <v>0</v>
          </cell>
          <cell r="AE36">
            <v>-1</v>
          </cell>
        </row>
        <row r="37">
          <cell r="B37" t="str">
            <v>杭州晶东科技有限公司</v>
          </cell>
          <cell r="C37" t="str">
            <v>暖通</v>
          </cell>
          <cell r="D37" t="str">
            <v>滨江</v>
          </cell>
          <cell r="E37">
            <v>8011</v>
          </cell>
        </row>
        <row r="37">
          <cell r="G37">
            <v>-1</v>
          </cell>
          <cell r="H37">
            <v>2863.5</v>
          </cell>
        </row>
        <row r="37">
          <cell r="J37">
            <v>-1</v>
          </cell>
          <cell r="K37">
            <v>10874.5</v>
          </cell>
          <cell r="L37">
            <v>0</v>
          </cell>
          <cell r="M37">
            <v>-1</v>
          </cell>
          <cell r="N37">
            <v>8682</v>
          </cell>
        </row>
        <row r="37">
          <cell r="P37">
            <v>-1</v>
          </cell>
          <cell r="Q37">
            <v>19556.5</v>
          </cell>
          <cell r="R37">
            <v>0</v>
          </cell>
          <cell r="S37">
            <v>-1</v>
          </cell>
        </row>
        <row r="37">
          <cell r="V37" t="e">
            <v>#DIV/0!</v>
          </cell>
          <cell r="W37">
            <v>19556.5</v>
          </cell>
          <cell r="X37">
            <v>0</v>
          </cell>
          <cell r="Y37">
            <v>-1</v>
          </cell>
        </row>
        <row r="37">
          <cell r="AB37" t="e">
            <v>#DIV/0!</v>
          </cell>
          <cell r="AC37">
            <v>19556.5</v>
          </cell>
          <cell r="AD37">
            <v>0</v>
          </cell>
          <cell r="AE37">
            <v>-1</v>
          </cell>
        </row>
        <row r="38">
          <cell r="B38" t="str">
            <v>杭州临安久信电器有限公司</v>
          </cell>
          <cell r="C38" t="str">
            <v>暖通</v>
          </cell>
          <cell r="D38" t="str">
            <v>临安</v>
          </cell>
        </row>
        <row r="38">
          <cell r="G38" t="e">
            <v>#DIV/0!</v>
          </cell>
        </row>
        <row r="38">
          <cell r="J38" t="e">
            <v>#DIV/0!</v>
          </cell>
          <cell r="K38">
            <v>0</v>
          </cell>
          <cell r="L38">
            <v>0</v>
          </cell>
          <cell r="M38" t="e">
            <v>#DIV/0!</v>
          </cell>
        </row>
        <row r="38">
          <cell r="P38" t="e">
            <v>#DIV/0!</v>
          </cell>
          <cell r="Q38">
            <v>0</v>
          </cell>
          <cell r="R38">
            <v>0</v>
          </cell>
          <cell r="S38" t="e">
            <v>#DIV/0!</v>
          </cell>
        </row>
        <row r="38">
          <cell r="V38" t="e">
            <v>#DIV/0!</v>
          </cell>
          <cell r="W38">
            <v>0</v>
          </cell>
          <cell r="X38">
            <v>0</v>
          </cell>
          <cell r="Y38" t="e">
            <v>#DIV/0!</v>
          </cell>
        </row>
        <row r="38">
          <cell r="AB38" t="e">
            <v>#DIV/0!</v>
          </cell>
          <cell r="AC38">
            <v>0</v>
          </cell>
          <cell r="AD38">
            <v>0</v>
          </cell>
          <cell r="AE38" t="e">
            <v>#DIV/0!</v>
          </cell>
        </row>
        <row r="39">
          <cell r="B39" t="str">
            <v>杭州汇意商贸有限公司</v>
          </cell>
          <cell r="C39" t="str">
            <v>暖通</v>
          </cell>
          <cell r="D39" t="str">
            <v>拱墅</v>
          </cell>
        </row>
        <row r="39">
          <cell r="I39">
            <v>22000</v>
          </cell>
          <cell r="J39" t="e">
            <v>#DIV/0!</v>
          </cell>
          <cell r="K39">
            <v>0</v>
          </cell>
          <cell r="L39">
            <v>22000</v>
          </cell>
          <cell r="M39" t="e">
            <v>#DIV/0!</v>
          </cell>
        </row>
        <row r="39">
          <cell r="P39" t="e">
            <v>#DIV/0!</v>
          </cell>
          <cell r="Q39">
            <v>0</v>
          </cell>
          <cell r="R39">
            <v>22000</v>
          </cell>
          <cell r="S39" t="e">
            <v>#DIV/0!</v>
          </cell>
        </row>
        <row r="39">
          <cell r="V39" t="e">
            <v>#DIV/0!</v>
          </cell>
          <cell r="W39">
            <v>0</v>
          </cell>
          <cell r="X39">
            <v>22000</v>
          </cell>
          <cell r="Y39" t="e">
            <v>#DIV/0!</v>
          </cell>
        </row>
        <row r="39">
          <cell r="AB39" t="e">
            <v>#DIV/0!</v>
          </cell>
          <cell r="AC39">
            <v>0</v>
          </cell>
          <cell r="AD39">
            <v>22000</v>
          </cell>
          <cell r="AE39" t="e">
            <v>#DIV/0!</v>
          </cell>
        </row>
        <row r="40">
          <cell r="B40" t="str">
            <v>汇总</v>
          </cell>
        </row>
        <row r="40">
          <cell r="E40">
            <v>2995343.6</v>
          </cell>
          <cell r="F40">
            <v>2032111.54</v>
          </cell>
          <cell r="G40">
            <v>-0.321576482911677</v>
          </cell>
          <cell r="H40">
            <v>2047388.25</v>
          </cell>
          <cell r="I40">
            <v>2546968.34</v>
          </cell>
          <cell r="J40">
            <v>0.244008477629976</v>
          </cell>
          <cell r="K40">
            <v>5042731.85</v>
          </cell>
          <cell r="L40">
            <v>4579079.88</v>
          </cell>
          <cell r="M40">
            <v>-0.0919446014167895</v>
          </cell>
          <cell r="N40">
            <v>3865614.92</v>
          </cell>
          <cell r="O40">
            <v>3506670.85</v>
          </cell>
          <cell r="P40">
            <v>-0.0928556199798609</v>
          </cell>
          <cell r="Q40">
            <v>8908346.77</v>
          </cell>
          <cell r="R40">
            <v>8085750.73</v>
          </cell>
          <cell r="S40">
            <v>-0.0923399213387378</v>
          </cell>
          <cell r="T40">
            <v>3911761.05</v>
          </cell>
          <cell r="U40">
            <v>2219471.64</v>
          </cell>
          <cell r="V40">
            <v>-0.432615742211555</v>
          </cell>
          <cell r="W40">
            <v>12820107.82</v>
          </cell>
          <cell r="X40">
            <v>10305222.37</v>
          </cell>
          <cell r="Y40">
            <v>-0.196167262031654</v>
          </cell>
          <cell r="Z40">
            <v>2756126.47</v>
          </cell>
          <cell r="AA40">
            <v>3364936.03</v>
          </cell>
          <cell r="AB40">
            <v>0.220893187096745</v>
          </cell>
          <cell r="AC40">
            <v>15576234.29</v>
          </cell>
          <cell r="AD40">
            <v>13670158.4</v>
          </cell>
          <cell r="AE40">
            <v>-0.122370776820153</v>
          </cell>
          <cell r="AF40">
            <v>3102682.66</v>
          </cell>
          <cell r="AG40">
            <v>2886300.07</v>
          </cell>
        </row>
        <row r="42">
          <cell r="B42" t="str">
            <v>浙江元天电子商务有限公司</v>
          </cell>
          <cell r="C42" t="str">
            <v>家装</v>
          </cell>
          <cell r="D42" t="str">
            <v>滨江</v>
          </cell>
          <cell r="E42">
            <v>21300</v>
          </cell>
        </row>
        <row r="42">
          <cell r="G42">
            <v>-1</v>
          </cell>
        </row>
        <row r="42">
          <cell r="I42">
            <v>15347</v>
          </cell>
          <cell r="J42" t="e">
            <v>#DIV/0!</v>
          </cell>
          <cell r="K42">
            <v>21300</v>
          </cell>
          <cell r="L42">
            <v>15347</v>
          </cell>
          <cell r="M42">
            <v>-0.279483568075117</v>
          </cell>
          <cell r="N42">
            <v>14219</v>
          </cell>
        </row>
        <row r="42">
          <cell r="P42">
            <v>-1</v>
          </cell>
          <cell r="Q42">
            <v>35519</v>
          </cell>
          <cell r="R42">
            <v>15347</v>
          </cell>
          <cell r="S42">
            <v>-0.567921394183395</v>
          </cell>
          <cell r="T42">
            <v>17315</v>
          </cell>
        </row>
        <row r="42">
          <cell r="V42">
            <v>-1</v>
          </cell>
          <cell r="W42">
            <v>52834</v>
          </cell>
          <cell r="X42">
            <v>15347</v>
          </cell>
          <cell r="Y42">
            <v>-0.709524170042018</v>
          </cell>
        </row>
        <row r="42">
          <cell r="AA42">
            <v>35681</v>
          </cell>
          <cell r="AB42" t="e">
            <v>#DIV/0!</v>
          </cell>
          <cell r="AC42">
            <v>52834</v>
          </cell>
          <cell r="AD42">
            <v>51028</v>
          </cell>
          <cell r="AE42">
            <v>-0.0341825339743347</v>
          </cell>
        </row>
        <row r="42">
          <cell r="AG42">
            <v>11924</v>
          </cell>
        </row>
        <row r="43">
          <cell r="B43" t="str">
            <v>杭州澎湃电器有限公司</v>
          </cell>
          <cell r="C43" t="str">
            <v>家装</v>
          </cell>
          <cell r="D43" t="str">
            <v>上城</v>
          </cell>
          <cell r="E43">
            <v>24931.5</v>
          </cell>
        </row>
        <row r="43">
          <cell r="G43">
            <v>-1</v>
          </cell>
        </row>
        <row r="43">
          <cell r="J43" t="e">
            <v>#DIV/0!</v>
          </cell>
          <cell r="K43">
            <v>24931.5</v>
          </cell>
          <cell r="L43">
            <v>0</v>
          </cell>
          <cell r="M43">
            <v>-1</v>
          </cell>
          <cell r="N43">
            <v>9411</v>
          </cell>
          <cell r="O43">
            <v>10879</v>
          </cell>
          <cell r="P43">
            <v>0.155987673998512</v>
          </cell>
          <cell r="Q43">
            <v>34342.5</v>
          </cell>
          <cell r="R43">
            <v>10879</v>
          </cell>
          <cell r="S43">
            <v>-0.683220499381233</v>
          </cell>
          <cell r="T43">
            <v>4316</v>
          </cell>
          <cell r="U43">
            <v>20268</v>
          </cell>
          <cell r="V43">
            <v>3.69601482854495</v>
          </cell>
          <cell r="W43">
            <v>38658.5</v>
          </cell>
          <cell r="X43">
            <v>31147</v>
          </cell>
          <cell r="Y43">
            <v>-0.194303969372842</v>
          </cell>
        </row>
        <row r="43">
          <cell r="AA43">
            <v>5900</v>
          </cell>
          <cell r="AB43" t="e">
            <v>#DIV/0!</v>
          </cell>
          <cell r="AC43">
            <v>38658.5</v>
          </cell>
          <cell r="AD43">
            <v>37047</v>
          </cell>
          <cell r="AE43">
            <v>-0.0416855284090174</v>
          </cell>
          <cell r="AF43">
            <v>16149</v>
          </cell>
          <cell r="AG43">
            <v>10172</v>
          </cell>
        </row>
        <row r="44">
          <cell r="B44" t="str">
            <v>杭州中博智能电器有限公司</v>
          </cell>
          <cell r="C44" t="str">
            <v>家装</v>
          </cell>
          <cell r="D44" t="str">
            <v>上城</v>
          </cell>
        </row>
        <row r="44">
          <cell r="I44">
            <v>15877.35</v>
          </cell>
          <cell r="J44" t="e">
            <v>#DIV/0!</v>
          </cell>
          <cell r="K44">
            <v>0</v>
          </cell>
          <cell r="L44">
            <v>15877.35</v>
          </cell>
          <cell r="M44" t="e">
            <v>#DIV/0!</v>
          </cell>
        </row>
        <row r="44">
          <cell r="O44">
            <v>35693.04</v>
          </cell>
          <cell r="P44" t="e">
            <v>#DIV/0!</v>
          </cell>
          <cell r="Q44">
            <v>0</v>
          </cell>
          <cell r="R44">
            <v>51570.39</v>
          </cell>
          <cell r="S44" t="e">
            <v>#DIV/0!</v>
          </cell>
        </row>
        <row r="44">
          <cell r="V44" t="e">
            <v>#DIV/0!</v>
          </cell>
          <cell r="W44">
            <v>0</v>
          </cell>
          <cell r="X44">
            <v>51570.39</v>
          </cell>
          <cell r="Y44" t="e">
            <v>#DIV/0!</v>
          </cell>
        </row>
        <row r="44">
          <cell r="AA44">
            <v>372208.3</v>
          </cell>
          <cell r="AB44" t="e">
            <v>#DIV/0!</v>
          </cell>
          <cell r="AC44">
            <v>0</v>
          </cell>
          <cell r="AD44">
            <v>423778.69</v>
          </cell>
          <cell r="AE44" t="e">
            <v>#DIV/0!</v>
          </cell>
        </row>
        <row r="44">
          <cell r="AG44">
            <v>218571.81</v>
          </cell>
        </row>
        <row r="45">
          <cell r="B45" t="str">
            <v>汇总</v>
          </cell>
        </row>
        <row r="45">
          <cell r="E45">
            <v>46231.5</v>
          </cell>
          <cell r="F45">
            <v>0</v>
          </cell>
          <cell r="G45">
            <v>-1</v>
          </cell>
          <cell r="H45">
            <v>0</v>
          </cell>
          <cell r="I45">
            <v>31224.35</v>
          </cell>
          <cell r="J45" t="e">
            <v>#DIV/0!</v>
          </cell>
          <cell r="K45">
            <v>46231.5</v>
          </cell>
          <cell r="L45">
            <v>31224.35</v>
          </cell>
          <cell r="M45">
            <v>-0.324608762423888</v>
          </cell>
          <cell r="N45">
            <v>23630</v>
          </cell>
          <cell r="O45">
            <v>46572.04</v>
          </cell>
          <cell r="P45">
            <v>0.970886161658908</v>
          </cell>
          <cell r="Q45">
            <v>69861.5</v>
          </cell>
          <cell r="R45">
            <v>77796.39</v>
          </cell>
          <cell r="S45">
            <v>0.113580298161362</v>
          </cell>
          <cell r="T45">
            <v>21631</v>
          </cell>
          <cell r="U45">
            <v>20268</v>
          </cell>
          <cell r="V45">
            <v>-0.0630114187970967</v>
          </cell>
          <cell r="W45">
            <v>91492.5</v>
          </cell>
          <cell r="X45">
            <v>98064.39</v>
          </cell>
          <cell r="Y45">
            <v>0.071829822116567</v>
          </cell>
          <cell r="Z45">
            <v>0</v>
          </cell>
          <cell r="AA45">
            <v>413789.3</v>
          </cell>
          <cell r="AB45" t="e">
            <v>#DIV/0!</v>
          </cell>
          <cell r="AC45">
            <v>91492.5</v>
          </cell>
          <cell r="AD45">
            <v>511853.69</v>
          </cell>
          <cell r="AE45">
            <v>4.59448796349428</v>
          </cell>
          <cell r="AF45">
            <v>16149</v>
          </cell>
          <cell r="AG45">
            <v>240667.81</v>
          </cell>
        </row>
        <row r="47">
          <cell r="B47" t="str">
            <v>合计</v>
          </cell>
        </row>
        <row r="47">
          <cell r="E47">
            <v>3041575.1</v>
          </cell>
          <cell r="F47">
            <v>2032111.54</v>
          </cell>
          <cell r="G47">
            <v>-0.331888421890355</v>
          </cell>
          <cell r="H47">
            <v>2047388.25</v>
          </cell>
          <cell r="I47">
            <v>2578192.69</v>
          </cell>
          <cell r="J47">
            <v>0.259259297790734</v>
          </cell>
          <cell r="K47">
            <v>5088963.35</v>
          </cell>
          <cell r="L47">
            <v>4610304.23</v>
          </cell>
          <cell r="M47">
            <v>-0.0940582761320142</v>
          </cell>
          <cell r="N47">
            <v>3889244.92</v>
          </cell>
          <cell r="O47">
            <v>3553242.89</v>
          </cell>
          <cell r="P47">
            <v>-0.0863926126822582</v>
          </cell>
          <cell r="Q47">
            <v>8978208.27</v>
          </cell>
          <cell r="R47">
            <v>8163547.12</v>
          </cell>
          <cell r="S47">
            <v>-0.0907376088302749</v>
          </cell>
          <cell r="T47">
            <v>3933392.05</v>
          </cell>
          <cell r="U47">
            <v>2239739.64</v>
          </cell>
          <cell r="V47">
            <v>-0.430583168031776</v>
          </cell>
          <cell r="W47">
            <v>12911600.32</v>
          </cell>
          <cell r="X47">
            <v>10403286.76</v>
          </cell>
          <cell r="Y47">
            <v>-0.194268216009958</v>
          </cell>
          <cell r="Z47">
            <v>2756126.47</v>
          </cell>
          <cell r="AA47">
            <v>3778725.33</v>
          </cell>
          <cell r="AB47">
            <v>0.371027553028073</v>
          </cell>
          <cell r="AC47">
            <v>15667726.79</v>
          </cell>
          <cell r="AD47">
            <v>14182012.09</v>
          </cell>
          <cell r="AE47">
            <v>-0.0948264365286399</v>
          </cell>
          <cell r="AF47">
            <v>3118831.66</v>
          </cell>
          <cell r="AG47">
            <v>3126967.88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杭州"/>
      <sheetName val="湖州"/>
      <sheetName val="嘉兴"/>
      <sheetName val="金衢"/>
      <sheetName val="绍兴"/>
      <sheetName val="台州"/>
      <sheetName val="温丽"/>
      <sheetName val="壁挂炉电商"/>
      <sheetName val="5月"/>
      <sheetName val="1-5月"/>
      <sheetName val="Sheet1"/>
    </sheetNames>
    <sheetDataSet>
      <sheetData sheetId="0"/>
      <sheetData sheetId="1">
        <row r="2">
          <cell r="B2" t="str">
            <v>门店</v>
          </cell>
          <cell r="C2" t="str">
            <v>渠道</v>
          </cell>
          <cell r="D2" t="str">
            <v>市/区/县</v>
          </cell>
          <cell r="E2" t="str">
            <v>2022年</v>
          </cell>
          <cell r="F2" t="str">
            <v>2023年</v>
          </cell>
        </row>
        <row r="2">
          <cell r="H2" t="str">
            <v>2022年</v>
          </cell>
          <cell r="I2" t="str">
            <v>2023年</v>
          </cell>
        </row>
        <row r="2">
          <cell r="K2" t="str">
            <v>2022年</v>
          </cell>
          <cell r="L2" t="str">
            <v>2023年</v>
          </cell>
        </row>
        <row r="2">
          <cell r="N2" t="str">
            <v>2022年</v>
          </cell>
          <cell r="O2" t="str">
            <v>2023年</v>
          </cell>
        </row>
        <row r="2">
          <cell r="Q2" t="str">
            <v>2022年</v>
          </cell>
          <cell r="R2" t="str">
            <v>2023年</v>
          </cell>
        </row>
        <row r="2">
          <cell r="T2" t="str">
            <v>2022年</v>
          </cell>
          <cell r="U2" t="str">
            <v>2023年</v>
          </cell>
        </row>
        <row r="2">
          <cell r="W2" t="str">
            <v>2022年</v>
          </cell>
          <cell r="X2" t="str">
            <v>2023年</v>
          </cell>
        </row>
        <row r="2">
          <cell r="Z2" t="str">
            <v>2022年</v>
          </cell>
          <cell r="AA2" t="str">
            <v>2023年</v>
          </cell>
        </row>
        <row r="3">
          <cell r="B3" t="str">
            <v>汇德隆</v>
          </cell>
          <cell r="C3" t="str">
            <v>经销</v>
          </cell>
          <cell r="D3" t="str">
            <v>萧山</v>
          </cell>
          <cell r="E3">
            <v>120000</v>
          </cell>
          <cell r="F3">
            <v>250000</v>
          </cell>
          <cell r="G3">
            <v>1.08333333333333</v>
          </cell>
        </row>
        <row r="3">
          <cell r="I3">
            <v>130000</v>
          </cell>
          <cell r="J3" t="e">
            <v>#DIV/0!</v>
          </cell>
          <cell r="K3">
            <v>120000</v>
          </cell>
          <cell r="L3">
            <v>380000</v>
          </cell>
          <cell r="M3">
            <v>2.16666666666667</v>
          </cell>
          <cell r="N3">
            <v>210000</v>
          </cell>
          <cell r="O3">
            <v>100000</v>
          </cell>
          <cell r="P3">
            <v>-0.523809523809524</v>
          </cell>
          <cell r="Q3">
            <v>330000</v>
          </cell>
          <cell r="R3">
            <v>480000</v>
          </cell>
          <cell r="S3">
            <v>0.454545454545455</v>
          </cell>
          <cell r="T3">
            <v>688800</v>
          </cell>
          <cell r="U3">
            <v>350000</v>
          </cell>
          <cell r="V3">
            <v>-0.491869918699187</v>
          </cell>
          <cell r="W3">
            <v>1018800</v>
          </cell>
          <cell r="X3">
            <v>830000</v>
          </cell>
          <cell r="Y3">
            <v>-0.185316058107578</v>
          </cell>
          <cell r="Z3">
            <v>560000</v>
          </cell>
          <cell r="AA3">
            <v>550000</v>
          </cell>
        </row>
        <row r="4">
          <cell r="B4" t="str">
            <v>萧山汇德隆净水</v>
          </cell>
          <cell r="C4" t="str">
            <v>经销</v>
          </cell>
          <cell r="D4" t="str">
            <v>萧山</v>
          </cell>
          <cell r="E4">
            <v>241633.45</v>
          </cell>
          <cell r="F4">
            <v>173281.75</v>
          </cell>
          <cell r="G4">
            <v>-0.282873501164677</v>
          </cell>
          <cell r="H4">
            <v>182179</v>
          </cell>
        </row>
        <row r="4">
          <cell r="J4">
            <v>-1</v>
          </cell>
          <cell r="K4">
            <v>423812.45</v>
          </cell>
          <cell r="L4">
            <v>173281.75</v>
          </cell>
          <cell r="M4">
            <v>-0.591135772438965</v>
          </cell>
        </row>
        <row r="4">
          <cell r="O4">
            <v>330711.2</v>
          </cell>
          <cell r="P4" t="e">
            <v>#DIV/0!</v>
          </cell>
          <cell r="Q4">
            <v>423812.45</v>
          </cell>
          <cell r="R4">
            <v>503992.95</v>
          </cell>
          <cell r="S4">
            <v>0.18918863756834</v>
          </cell>
          <cell r="T4">
            <v>120887.65</v>
          </cell>
          <cell r="U4">
            <v>43282.5</v>
          </cell>
          <cell r="V4">
            <v>-0.641960944728432</v>
          </cell>
          <cell r="W4">
            <v>544700.1</v>
          </cell>
          <cell r="X4">
            <v>547275.45</v>
          </cell>
          <cell r="Y4">
            <v>0.0047280145533295</v>
          </cell>
          <cell r="Z4">
            <v>91167.95</v>
          </cell>
          <cell r="AA4">
            <v>76129.5</v>
          </cell>
        </row>
        <row r="5">
          <cell r="B5" t="str">
            <v>杭州兴达京昀电器有限公司</v>
          </cell>
          <cell r="C5" t="str">
            <v>经销</v>
          </cell>
          <cell r="D5" t="str">
            <v>余杭</v>
          </cell>
          <cell r="E5">
            <v>200000</v>
          </cell>
          <cell r="F5">
            <v>100000</v>
          </cell>
          <cell r="G5">
            <v>-0.5</v>
          </cell>
          <cell r="H5">
            <v>100000</v>
          </cell>
          <cell r="I5">
            <v>100000</v>
          </cell>
          <cell r="J5">
            <v>0</v>
          </cell>
          <cell r="K5">
            <v>300000</v>
          </cell>
          <cell r="L5">
            <v>200000</v>
          </cell>
          <cell r="M5">
            <v>-0.333333333333333</v>
          </cell>
          <cell r="N5">
            <v>200000</v>
          </cell>
          <cell r="O5">
            <v>200000</v>
          </cell>
          <cell r="P5">
            <v>0</v>
          </cell>
          <cell r="Q5">
            <v>500000</v>
          </cell>
          <cell r="R5">
            <v>400000</v>
          </cell>
          <cell r="S5">
            <v>-0.2</v>
          </cell>
          <cell r="T5">
            <v>100000</v>
          </cell>
        </row>
        <row r="5">
          <cell r="V5">
            <v>-1</v>
          </cell>
          <cell r="W5">
            <v>600000</v>
          </cell>
          <cell r="X5">
            <v>400000</v>
          </cell>
          <cell r="Y5">
            <v>-0.333333333333333</v>
          </cell>
          <cell r="Z5">
            <v>100000</v>
          </cell>
          <cell r="AA5">
            <v>100000</v>
          </cell>
        </row>
        <row r="6">
          <cell r="B6" t="str">
            <v>杭州临安一栋电器有限公司</v>
          </cell>
          <cell r="C6" t="str">
            <v>加盟</v>
          </cell>
          <cell r="D6" t="str">
            <v>临安</v>
          </cell>
          <cell r="E6">
            <v>195778</v>
          </cell>
          <cell r="F6">
            <v>176000</v>
          </cell>
          <cell r="G6">
            <v>-0.101022586807506</v>
          </cell>
          <cell r="H6">
            <v>83221</v>
          </cell>
          <cell r="I6">
            <v>156700</v>
          </cell>
          <cell r="J6">
            <v>0.882938200694536</v>
          </cell>
          <cell r="K6">
            <v>278999</v>
          </cell>
          <cell r="L6">
            <v>332700</v>
          </cell>
          <cell r="M6">
            <v>0.192477392392087</v>
          </cell>
          <cell r="N6">
            <v>260000</v>
          </cell>
          <cell r="O6">
            <v>256820</v>
          </cell>
          <cell r="P6">
            <v>-0.0122307692307693</v>
          </cell>
          <cell r="Q6">
            <v>538999</v>
          </cell>
          <cell r="R6">
            <v>589520</v>
          </cell>
          <cell r="S6">
            <v>0.0937311572006627</v>
          </cell>
          <cell r="T6">
            <v>76500</v>
          </cell>
          <cell r="U6">
            <v>10000</v>
          </cell>
          <cell r="V6">
            <v>-0.869281045751634</v>
          </cell>
          <cell r="W6">
            <v>615499</v>
          </cell>
          <cell r="X6">
            <v>599520</v>
          </cell>
          <cell r="Y6">
            <v>-0.0259610494899261</v>
          </cell>
          <cell r="Z6">
            <v>158000</v>
          </cell>
          <cell r="AA6">
            <v>180600</v>
          </cell>
        </row>
        <row r="7">
          <cell r="B7" t="str">
            <v>浙江晋安家电有限公司</v>
          </cell>
          <cell r="C7" t="str">
            <v>经销</v>
          </cell>
          <cell r="D7" t="str">
            <v>富阳</v>
          </cell>
        </row>
        <row r="7">
          <cell r="G7" t="e">
            <v>#DIV/0!</v>
          </cell>
        </row>
        <row r="7">
          <cell r="J7" t="e">
            <v>#DIV/0!</v>
          </cell>
          <cell r="K7">
            <v>0</v>
          </cell>
          <cell r="L7">
            <v>0</v>
          </cell>
          <cell r="M7" t="e">
            <v>#DIV/0!</v>
          </cell>
          <cell r="N7">
            <v>50000</v>
          </cell>
        </row>
        <row r="7">
          <cell r="P7">
            <v>-1</v>
          </cell>
          <cell r="Q7">
            <v>50000</v>
          </cell>
          <cell r="R7">
            <v>0</v>
          </cell>
          <cell r="S7">
            <v>-1</v>
          </cell>
        </row>
        <row r="7">
          <cell r="V7" t="e">
            <v>#DIV/0!</v>
          </cell>
          <cell r="W7">
            <v>50000</v>
          </cell>
          <cell r="X7">
            <v>0</v>
          </cell>
          <cell r="Y7">
            <v>-1</v>
          </cell>
        </row>
        <row r="8">
          <cell r="B8" t="str">
            <v>杭州宏信机电有限公司</v>
          </cell>
          <cell r="C8" t="str">
            <v>加盟</v>
          </cell>
          <cell r="D8" t="str">
            <v>富阳</v>
          </cell>
          <cell r="E8">
            <v>120379</v>
          </cell>
          <cell r="F8">
            <v>149000</v>
          </cell>
          <cell r="G8">
            <v>0.237757416160626</v>
          </cell>
          <cell r="H8">
            <v>110000</v>
          </cell>
          <cell r="I8">
            <v>285400</v>
          </cell>
          <cell r="J8">
            <v>1.59454545454545</v>
          </cell>
          <cell r="K8">
            <v>230379</v>
          </cell>
          <cell r="L8">
            <v>434400</v>
          </cell>
          <cell r="M8">
            <v>0.885588530204576</v>
          </cell>
          <cell r="N8">
            <v>372000</v>
          </cell>
          <cell r="O8">
            <v>227000</v>
          </cell>
          <cell r="P8">
            <v>-0.389784946236559</v>
          </cell>
          <cell r="Q8">
            <v>602379</v>
          </cell>
          <cell r="R8">
            <v>661400</v>
          </cell>
          <cell r="S8">
            <v>0.097979843254828</v>
          </cell>
          <cell r="T8">
            <v>260000</v>
          </cell>
          <cell r="U8">
            <v>303536</v>
          </cell>
          <cell r="V8">
            <v>0.167446153846154</v>
          </cell>
          <cell r="W8">
            <v>862379</v>
          </cell>
          <cell r="X8">
            <v>964936</v>
          </cell>
          <cell r="Y8">
            <v>0.11892335040626</v>
          </cell>
          <cell r="Z8">
            <v>255000</v>
          </cell>
          <cell r="AA8">
            <v>302400</v>
          </cell>
        </row>
        <row r="9">
          <cell r="B9" t="str">
            <v>桐庐佳尼特水处理设备有限公司</v>
          </cell>
          <cell r="C9" t="str">
            <v>加盟</v>
          </cell>
          <cell r="D9" t="str">
            <v>桐庐</v>
          </cell>
          <cell r="E9">
            <v>175000</v>
          </cell>
          <cell r="F9">
            <v>101900</v>
          </cell>
          <cell r="G9">
            <v>-0.417714285714286</v>
          </cell>
          <cell r="H9">
            <v>115000</v>
          </cell>
          <cell r="I9">
            <v>160000</v>
          </cell>
          <cell r="J9">
            <v>0.391304347826087</v>
          </cell>
          <cell r="K9">
            <v>290000</v>
          </cell>
          <cell r="L9">
            <v>261900</v>
          </cell>
          <cell r="M9">
            <v>-0.0968965517241379</v>
          </cell>
          <cell r="N9">
            <v>160000</v>
          </cell>
          <cell r="O9">
            <v>281000</v>
          </cell>
          <cell r="P9">
            <v>0.75625</v>
          </cell>
          <cell r="Q9">
            <v>450000</v>
          </cell>
          <cell r="R9">
            <v>542900</v>
          </cell>
          <cell r="S9">
            <v>0.206444444444444</v>
          </cell>
          <cell r="T9">
            <v>40000</v>
          </cell>
        </row>
        <row r="9">
          <cell r="V9">
            <v>-1</v>
          </cell>
          <cell r="W9">
            <v>490000</v>
          </cell>
          <cell r="X9">
            <v>542900</v>
          </cell>
          <cell r="Y9">
            <v>0.107959183673469</v>
          </cell>
          <cell r="Z9">
            <v>60000</v>
          </cell>
          <cell r="AA9">
            <v>30000</v>
          </cell>
        </row>
        <row r="10">
          <cell r="B10" t="str">
            <v>杭州佳威信息科技有限公司</v>
          </cell>
          <cell r="C10" t="str">
            <v>加盟</v>
          </cell>
          <cell r="D10" t="str">
            <v>建德</v>
          </cell>
          <cell r="E10">
            <v>60000</v>
          </cell>
          <cell r="F10">
            <v>10000</v>
          </cell>
          <cell r="G10">
            <v>-0.833333333333333</v>
          </cell>
          <cell r="H10">
            <v>30000</v>
          </cell>
          <cell r="I10">
            <v>20000</v>
          </cell>
          <cell r="J10">
            <v>-0.333333333333333</v>
          </cell>
          <cell r="K10">
            <v>90000</v>
          </cell>
          <cell r="L10">
            <v>30000</v>
          </cell>
          <cell r="M10">
            <v>-0.666666666666667</v>
          </cell>
          <cell r="N10">
            <v>60000</v>
          </cell>
          <cell r="O10">
            <v>10000</v>
          </cell>
          <cell r="P10">
            <v>-0.833333333333333</v>
          </cell>
          <cell r="Q10">
            <v>150000</v>
          </cell>
          <cell r="R10">
            <v>40000</v>
          </cell>
          <cell r="S10">
            <v>-0.733333333333333</v>
          </cell>
        </row>
        <row r="10">
          <cell r="U10">
            <v>30000</v>
          </cell>
          <cell r="V10" t="e">
            <v>#DIV/0!</v>
          </cell>
          <cell r="W10">
            <v>150000</v>
          </cell>
          <cell r="X10">
            <v>70000</v>
          </cell>
          <cell r="Y10">
            <v>-0.533333333333333</v>
          </cell>
        </row>
        <row r="11">
          <cell r="B11" t="str">
            <v>淳安县爱满屋家电商行</v>
          </cell>
          <cell r="C11" t="str">
            <v>加盟</v>
          </cell>
          <cell r="D11" t="str">
            <v>淳安</v>
          </cell>
          <cell r="E11">
            <v>59065</v>
          </cell>
        </row>
        <row r="11">
          <cell r="G11">
            <v>-1</v>
          </cell>
          <cell r="H11">
            <v>16940</v>
          </cell>
          <cell r="I11">
            <v>40938</v>
          </cell>
          <cell r="J11">
            <v>1.41664698937426</v>
          </cell>
          <cell r="K11">
            <v>76005</v>
          </cell>
          <cell r="L11">
            <v>40938</v>
          </cell>
          <cell r="M11">
            <v>-0.461377540951253</v>
          </cell>
          <cell r="N11">
            <v>88855</v>
          </cell>
          <cell r="O11">
            <v>17009</v>
          </cell>
          <cell r="P11">
            <v>-0.808575769512127</v>
          </cell>
          <cell r="Q11">
            <v>164860</v>
          </cell>
          <cell r="R11">
            <v>57947</v>
          </cell>
          <cell r="S11">
            <v>-0.64850782482106</v>
          </cell>
          <cell r="T11">
            <v>8537</v>
          </cell>
          <cell r="U11">
            <v>22743</v>
          </cell>
          <cell r="V11">
            <v>1.66405060325641</v>
          </cell>
          <cell r="W11">
            <v>173397</v>
          </cell>
          <cell r="X11">
            <v>80690</v>
          </cell>
          <cell r="Y11">
            <v>-0.534651695242709</v>
          </cell>
        </row>
        <row r="11">
          <cell r="AA11">
            <v>17555</v>
          </cell>
        </row>
        <row r="12">
          <cell r="B12" t="str">
            <v>杭州吉丝特家电有限公司</v>
          </cell>
          <cell r="C12" t="str">
            <v>经销</v>
          </cell>
          <cell r="D12" t="str">
            <v>萧山</v>
          </cell>
        </row>
        <row r="12">
          <cell r="G12" t="e">
            <v>#DIV/0!</v>
          </cell>
        </row>
        <row r="12">
          <cell r="J12" t="e">
            <v>#DIV/0!</v>
          </cell>
          <cell r="K12">
            <v>0</v>
          </cell>
          <cell r="L12">
            <v>0</v>
          </cell>
          <cell r="M12" t="e">
            <v>#DIV/0!</v>
          </cell>
        </row>
        <row r="12">
          <cell r="P12" t="e">
            <v>#DIV/0!</v>
          </cell>
          <cell r="Q12">
            <v>0</v>
          </cell>
          <cell r="R12">
            <v>0</v>
          </cell>
          <cell r="S12" t="e">
            <v>#DIV/0!</v>
          </cell>
        </row>
        <row r="12">
          <cell r="V12" t="e">
            <v>#DIV/0!</v>
          </cell>
          <cell r="W12">
            <v>0</v>
          </cell>
          <cell r="X12">
            <v>0</v>
          </cell>
          <cell r="Y12" t="e">
            <v>#DIV/0!</v>
          </cell>
          <cell r="Z12">
            <v>5171.23</v>
          </cell>
        </row>
        <row r="13">
          <cell r="B13" t="str">
            <v>杭州司亿博环境设备有限公司</v>
          </cell>
          <cell r="C13" t="str">
            <v>经销</v>
          </cell>
          <cell r="D13" t="str">
            <v>临平</v>
          </cell>
        </row>
        <row r="13">
          <cell r="G13" t="e">
            <v>#DIV/0!</v>
          </cell>
          <cell r="H13">
            <v>15000</v>
          </cell>
          <cell r="I13">
            <v>10000</v>
          </cell>
          <cell r="J13">
            <v>-0.333333333333333</v>
          </cell>
          <cell r="K13">
            <v>15000</v>
          </cell>
          <cell r="L13">
            <v>10000</v>
          </cell>
          <cell r="M13">
            <v>-0.333333333333333</v>
          </cell>
        </row>
        <row r="13">
          <cell r="P13" t="e">
            <v>#DIV/0!</v>
          </cell>
          <cell r="Q13">
            <v>15000</v>
          </cell>
          <cell r="R13">
            <v>10000</v>
          </cell>
          <cell r="S13">
            <v>-0.333333333333333</v>
          </cell>
        </row>
        <row r="13">
          <cell r="U13">
            <v>1258</v>
          </cell>
          <cell r="V13" t="e">
            <v>#DIV/0!</v>
          </cell>
          <cell r="W13">
            <v>15000</v>
          </cell>
          <cell r="X13">
            <v>11258</v>
          </cell>
          <cell r="Y13">
            <v>-0.249466666666667</v>
          </cell>
        </row>
        <row r="13">
          <cell r="AA13">
            <v>5820</v>
          </cell>
        </row>
        <row r="14">
          <cell r="B14" t="str">
            <v>淳安县千岛湖宏兴电器有限公司</v>
          </cell>
          <cell r="C14" t="str">
            <v>经销</v>
          </cell>
          <cell r="D14" t="str">
            <v>淳安</v>
          </cell>
        </row>
        <row r="14">
          <cell r="G14" t="e">
            <v>#DIV/0!</v>
          </cell>
        </row>
        <row r="14">
          <cell r="J14" t="e">
            <v>#DIV/0!</v>
          </cell>
          <cell r="K14">
            <v>0</v>
          </cell>
          <cell r="L14">
            <v>0</v>
          </cell>
          <cell r="M14" t="e">
            <v>#DIV/0!</v>
          </cell>
          <cell r="N14">
            <v>14</v>
          </cell>
        </row>
        <row r="14">
          <cell r="P14">
            <v>-1</v>
          </cell>
          <cell r="Q14">
            <v>14</v>
          </cell>
          <cell r="R14">
            <v>0</v>
          </cell>
          <cell r="S14">
            <v>-1</v>
          </cell>
        </row>
        <row r="14">
          <cell r="V14" t="e">
            <v>#DIV/0!</v>
          </cell>
          <cell r="W14">
            <v>14</v>
          </cell>
          <cell r="X14">
            <v>0</v>
          </cell>
          <cell r="Y14">
            <v>-1</v>
          </cell>
        </row>
        <row r="15">
          <cell r="B15" t="str">
            <v>国美</v>
          </cell>
          <cell r="C15" t="str">
            <v>国美</v>
          </cell>
          <cell r="D15" t="str">
            <v>市区</v>
          </cell>
          <cell r="E15">
            <v>700000</v>
          </cell>
        </row>
        <row r="15">
          <cell r="G15">
            <v>-1</v>
          </cell>
          <cell r="H15">
            <v>500000</v>
          </cell>
        </row>
        <row r="15">
          <cell r="J15">
            <v>-1</v>
          </cell>
          <cell r="K15">
            <v>1200000</v>
          </cell>
          <cell r="L15">
            <v>0</v>
          </cell>
          <cell r="M15">
            <v>-1</v>
          </cell>
          <cell r="N15">
            <v>500000</v>
          </cell>
        </row>
        <row r="15">
          <cell r="P15">
            <v>-1</v>
          </cell>
          <cell r="Q15">
            <v>1700000</v>
          </cell>
          <cell r="R15">
            <v>0</v>
          </cell>
          <cell r="S15">
            <v>-1</v>
          </cell>
          <cell r="T15">
            <v>1010600</v>
          </cell>
        </row>
        <row r="15">
          <cell r="V15">
            <v>-1</v>
          </cell>
          <cell r="W15">
            <v>2710600</v>
          </cell>
          <cell r="X15">
            <v>0</v>
          </cell>
          <cell r="Y15">
            <v>-1</v>
          </cell>
        </row>
        <row r="16">
          <cell r="B16" t="str">
            <v>五星</v>
          </cell>
          <cell r="C16" t="str">
            <v>五星</v>
          </cell>
          <cell r="D16" t="str">
            <v>市区</v>
          </cell>
        </row>
        <row r="16">
          <cell r="F16">
            <v>185197.48</v>
          </cell>
          <cell r="G16" t="e">
            <v>#DIV/0!</v>
          </cell>
          <cell r="H16">
            <v>201482.75</v>
          </cell>
          <cell r="I16">
            <v>198062.94</v>
          </cell>
          <cell r="J16">
            <v>-0.0169732148285647</v>
          </cell>
          <cell r="K16">
            <v>201482.75</v>
          </cell>
          <cell r="L16">
            <v>383260.42</v>
          </cell>
          <cell r="M16">
            <v>0.902199667217169</v>
          </cell>
          <cell r="N16">
            <v>3232.75</v>
          </cell>
          <cell r="O16">
            <v>550590.57</v>
          </cell>
          <cell r="P16">
            <v>169.316470497255</v>
          </cell>
          <cell r="Q16">
            <v>204715.5</v>
          </cell>
          <cell r="R16">
            <v>933850.99</v>
          </cell>
          <cell r="S16">
            <v>3.56170143442973</v>
          </cell>
          <cell r="T16">
            <v>509377.76</v>
          </cell>
          <cell r="U16">
            <v>274478.54</v>
          </cell>
          <cell r="V16">
            <v>-0.461149344250915</v>
          </cell>
          <cell r="W16">
            <v>714093.26</v>
          </cell>
          <cell r="X16">
            <v>1208329.53</v>
          </cell>
          <cell r="Y16">
            <v>0.692117259305878</v>
          </cell>
          <cell r="Z16">
            <v>443516.31</v>
          </cell>
          <cell r="AA16">
            <v>881876.29</v>
          </cell>
        </row>
        <row r="17">
          <cell r="B17" t="str">
            <v>浙江百诚家居科技有限公司</v>
          </cell>
          <cell r="C17" t="str">
            <v>经销</v>
          </cell>
          <cell r="D17" t="str">
            <v>滨江</v>
          </cell>
          <cell r="E17">
            <v>3953.95</v>
          </cell>
          <cell r="F17">
            <v>6229.31</v>
          </cell>
          <cell r="G17">
            <v>0.575465041287826</v>
          </cell>
        </row>
        <row r="17">
          <cell r="J17" t="e">
            <v>#DIV/0!</v>
          </cell>
          <cell r="K17">
            <v>3953.95</v>
          </cell>
          <cell r="L17">
            <v>6229.31</v>
          </cell>
          <cell r="M17">
            <v>0.575465041287826</v>
          </cell>
        </row>
        <row r="17">
          <cell r="P17" t="e">
            <v>#DIV/0!</v>
          </cell>
          <cell r="Q17">
            <v>3953.95</v>
          </cell>
          <cell r="R17">
            <v>6229.31</v>
          </cell>
          <cell r="S17">
            <v>0.575465041287826</v>
          </cell>
          <cell r="T17">
            <v>2451.54</v>
          </cell>
        </row>
        <row r="17">
          <cell r="V17">
            <v>-1</v>
          </cell>
          <cell r="W17">
            <v>6405.49</v>
          </cell>
          <cell r="X17">
            <v>6229.31</v>
          </cell>
          <cell r="Y17">
            <v>-0.0275045312692704</v>
          </cell>
          <cell r="Z17">
            <v>1634.36</v>
          </cell>
        </row>
        <row r="18">
          <cell r="B18" t="str">
            <v>杭州临平江南家居专卖店</v>
          </cell>
          <cell r="C18" t="str">
            <v>直营</v>
          </cell>
          <cell r="D18" t="str">
            <v>临平</v>
          </cell>
          <cell r="E18">
            <v>81540</v>
          </cell>
          <cell r="F18">
            <v>29179</v>
          </cell>
          <cell r="G18">
            <v>-0.64215109148884</v>
          </cell>
          <cell r="H18">
            <v>101587</v>
          </cell>
          <cell r="I18">
            <v>111337</v>
          </cell>
          <cell r="J18">
            <v>0.0959768474312659</v>
          </cell>
          <cell r="K18">
            <v>183127</v>
          </cell>
          <cell r="L18">
            <v>140516</v>
          </cell>
          <cell r="M18">
            <v>-0.232685513332278</v>
          </cell>
          <cell r="N18">
            <v>267694</v>
          </cell>
          <cell r="O18">
            <v>74565</v>
          </cell>
          <cell r="P18">
            <v>-0.721454347127691</v>
          </cell>
          <cell r="Q18">
            <v>450821</v>
          </cell>
          <cell r="R18">
            <v>215081</v>
          </cell>
          <cell r="S18">
            <v>-0.522912641602765</v>
          </cell>
          <cell r="T18">
            <v>173773</v>
          </cell>
          <cell r="U18">
            <v>93352</v>
          </cell>
          <cell r="V18">
            <v>-0.462793414396943</v>
          </cell>
          <cell r="W18">
            <v>624594</v>
          </cell>
          <cell r="X18">
            <v>308433</v>
          </cell>
          <cell r="Y18">
            <v>-0.506186418697586</v>
          </cell>
          <cell r="Z18">
            <v>163688</v>
          </cell>
          <cell r="AA18">
            <v>55599</v>
          </cell>
        </row>
        <row r="19">
          <cell r="B19" t="str">
            <v>杭州临平江南家居专卖店（杭州伟隆家电有限公司）</v>
          </cell>
          <cell r="C19" t="str">
            <v>经销</v>
          </cell>
          <cell r="D19" t="str">
            <v>余杭</v>
          </cell>
          <cell r="E19">
            <v>18722</v>
          </cell>
        </row>
        <row r="19">
          <cell r="G19">
            <v>-1</v>
          </cell>
        </row>
        <row r="19">
          <cell r="J19" t="e">
            <v>#DIV/0!</v>
          </cell>
          <cell r="K19">
            <v>18722</v>
          </cell>
          <cell r="L19">
            <v>0</v>
          </cell>
          <cell r="M19">
            <v>-1</v>
          </cell>
        </row>
        <row r="19">
          <cell r="P19" t="e">
            <v>#DIV/0!</v>
          </cell>
          <cell r="Q19">
            <v>18722</v>
          </cell>
          <cell r="R19">
            <v>0</v>
          </cell>
          <cell r="S19">
            <v>-1</v>
          </cell>
        </row>
        <row r="19">
          <cell r="V19" t="e">
            <v>#DIV/0!</v>
          </cell>
          <cell r="W19">
            <v>18722</v>
          </cell>
          <cell r="X19">
            <v>0</v>
          </cell>
          <cell r="Y19">
            <v>-1</v>
          </cell>
        </row>
        <row r="19">
          <cell r="AA19">
            <v>1418.14</v>
          </cell>
        </row>
        <row r="20">
          <cell r="B20" t="str">
            <v>杭州华泓电器有限公司</v>
          </cell>
          <cell r="C20" t="str">
            <v>经销</v>
          </cell>
          <cell r="D20" t="str">
            <v>萧山</v>
          </cell>
          <cell r="E20">
            <v>23918</v>
          </cell>
          <cell r="F20">
            <v>6910</v>
          </cell>
          <cell r="G20">
            <v>-0.711096245505477</v>
          </cell>
          <cell r="H20">
            <v>14255</v>
          </cell>
        </row>
        <row r="20">
          <cell r="J20">
            <v>-1</v>
          </cell>
          <cell r="K20">
            <v>38173</v>
          </cell>
          <cell r="L20">
            <v>6910</v>
          </cell>
          <cell r="M20">
            <v>-0.818982002986404</v>
          </cell>
          <cell r="N20">
            <v>15143</v>
          </cell>
        </row>
        <row r="20">
          <cell r="P20">
            <v>-1</v>
          </cell>
          <cell r="Q20">
            <v>53316</v>
          </cell>
          <cell r="R20">
            <v>6910</v>
          </cell>
          <cell r="S20">
            <v>-0.870395378498012</v>
          </cell>
          <cell r="T20">
            <v>5241</v>
          </cell>
        </row>
        <row r="20">
          <cell r="V20">
            <v>-1</v>
          </cell>
          <cell r="W20">
            <v>58557</v>
          </cell>
          <cell r="X20">
            <v>6910</v>
          </cell>
          <cell r="Y20">
            <v>-0.881995320798538</v>
          </cell>
          <cell r="Z20">
            <v>9006</v>
          </cell>
          <cell r="AA20">
            <v>12411</v>
          </cell>
        </row>
        <row r="21">
          <cell r="B21" t="str">
            <v>杭州信诚电器有限公司</v>
          </cell>
          <cell r="C21" t="str">
            <v>经销</v>
          </cell>
          <cell r="D21" t="str">
            <v>余杭</v>
          </cell>
        </row>
        <row r="21">
          <cell r="G21" t="e">
            <v>#DIV/0!</v>
          </cell>
          <cell r="H21">
            <v>3941</v>
          </cell>
        </row>
        <row r="21">
          <cell r="J21">
            <v>-1</v>
          </cell>
          <cell r="K21">
            <v>3941</v>
          </cell>
          <cell r="L21">
            <v>0</v>
          </cell>
          <cell r="M21">
            <v>-1</v>
          </cell>
        </row>
        <row r="21">
          <cell r="P21" t="e">
            <v>#DIV/0!</v>
          </cell>
          <cell r="Q21">
            <v>3941</v>
          </cell>
          <cell r="R21">
            <v>0</v>
          </cell>
          <cell r="S21">
            <v>-1</v>
          </cell>
        </row>
        <row r="21">
          <cell r="V21" t="e">
            <v>#DIV/0!</v>
          </cell>
          <cell r="W21">
            <v>3941</v>
          </cell>
          <cell r="X21">
            <v>0</v>
          </cell>
          <cell r="Y21">
            <v>-1</v>
          </cell>
        </row>
        <row r="22">
          <cell r="B22" t="str">
            <v>杭州碌诚电器有限公司</v>
          </cell>
          <cell r="C22" t="str">
            <v>经销</v>
          </cell>
          <cell r="D22" t="str">
            <v>余杭</v>
          </cell>
          <cell r="E22">
            <v>7130</v>
          </cell>
        </row>
        <row r="22">
          <cell r="G22">
            <v>-1</v>
          </cell>
        </row>
        <row r="22">
          <cell r="J22" t="e">
            <v>#DIV/0!</v>
          </cell>
          <cell r="K22">
            <v>7130</v>
          </cell>
          <cell r="L22">
            <v>0</v>
          </cell>
          <cell r="M22">
            <v>-1</v>
          </cell>
        </row>
        <row r="22">
          <cell r="P22" t="e">
            <v>#DIV/0!</v>
          </cell>
          <cell r="Q22">
            <v>7130</v>
          </cell>
          <cell r="R22">
            <v>0</v>
          </cell>
          <cell r="S22">
            <v>-1</v>
          </cell>
        </row>
        <row r="22">
          <cell r="V22" t="e">
            <v>#DIV/0!</v>
          </cell>
          <cell r="W22">
            <v>7130</v>
          </cell>
          <cell r="X22">
            <v>0</v>
          </cell>
          <cell r="Y22">
            <v>-1</v>
          </cell>
        </row>
        <row r="23">
          <cell r="B23" t="str">
            <v>杭州金蝶零售</v>
          </cell>
          <cell r="C23" t="str">
            <v>零售</v>
          </cell>
          <cell r="D23" t="str">
            <v>市区</v>
          </cell>
          <cell r="E23">
            <v>208968.6</v>
          </cell>
          <cell r="F23">
            <v>82929</v>
          </cell>
          <cell r="G23">
            <v>-0.603150904011416</v>
          </cell>
          <cell r="H23">
            <v>60300</v>
          </cell>
          <cell r="I23">
            <v>191384</v>
          </cell>
          <cell r="J23">
            <v>2.173864013267</v>
          </cell>
          <cell r="K23">
            <v>269268.6</v>
          </cell>
          <cell r="L23">
            <v>274313</v>
          </cell>
          <cell r="M23">
            <v>0.0187337105031928</v>
          </cell>
          <cell r="N23">
            <v>424006.17</v>
          </cell>
          <cell r="O23">
            <v>134699</v>
          </cell>
          <cell r="P23">
            <v>-0.682318302113387</v>
          </cell>
          <cell r="Q23">
            <v>693274.77</v>
          </cell>
          <cell r="R23">
            <v>409012</v>
          </cell>
          <cell r="S23">
            <v>-0.410029013460276</v>
          </cell>
          <cell r="T23">
            <v>97829.1</v>
          </cell>
          <cell r="U23">
            <v>47622.6</v>
          </cell>
          <cell r="V23">
            <v>-0.513206193249248</v>
          </cell>
          <cell r="W23">
            <v>791103.87</v>
          </cell>
          <cell r="X23">
            <v>456634.6</v>
          </cell>
          <cell r="Y23">
            <v>-0.422788059423853</v>
          </cell>
          <cell r="Z23">
            <v>46691.62</v>
          </cell>
          <cell r="AA23">
            <v>91445.4</v>
          </cell>
        </row>
        <row r="24">
          <cell r="B24" t="str">
            <v>浙江元天电子商务有限公司</v>
          </cell>
          <cell r="C24" t="str">
            <v>家装</v>
          </cell>
          <cell r="D24" t="str">
            <v>滨江</v>
          </cell>
          <cell r="E24">
            <v>21300</v>
          </cell>
        </row>
        <row r="24">
          <cell r="G24">
            <v>-1</v>
          </cell>
        </row>
        <row r="24">
          <cell r="I24">
            <v>15347</v>
          </cell>
          <cell r="J24" t="e">
            <v>#DIV/0!</v>
          </cell>
          <cell r="K24">
            <v>21300</v>
          </cell>
          <cell r="L24">
            <v>15347</v>
          </cell>
          <cell r="M24">
            <v>-0.279483568075117</v>
          </cell>
          <cell r="N24">
            <v>14219</v>
          </cell>
        </row>
        <row r="24">
          <cell r="P24">
            <v>-1</v>
          </cell>
          <cell r="Q24">
            <v>35519</v>
          </cell>
          <cell r="R24">
            <v>15347</v>
          </cell>
          <cell r="S24">
            <v>-0.567921394183395</v>
          </cell>
          <cell r="T24">
            <v>17315</v>
          </cell>
        </row>
        <row r="24">
          <cell r="V24">
            <v>-1</v>
          </cell>
          <cell r="W24">
            <v>52834</v>
          </cell>
          <cell r="X24">
            <v>15347</v>
          </cell>
          <cell r="Y24">
            <v>-0.709524170042018</v>
          </cell>
        </row>
        <row r="24">
          <cell r="AA24">
            <v>35681</v>
          </cell>
        </row>
        <row r="25">
          <cell r="B25" t="str">
            <v>杭州恒隆电器设备有限公司</v>
          </cell>
          <cell r="C25" t="str">
            <v>经销</v>
          </cell>
          <cell r="D25" t="str">
            <v>余杭</v>
          </cell>
          <cell r="E25">
            <v>22567</v>
          </cell>
          <cell r="F25">
            <v>790</v>
          </cell>
          <cell r="G25">
            <v>-0.964993131563788</v>
          </cell>
          <cell r="H25">
            <v>25787</v>
          </cell>
        </row>
        <row r="25">
          <cell r="J25">
            <v>-1</v>
          </cell>
          <cell r="K25">
            <v>48354</v>
          </cell>
          <cell r="L25">
            <v>790</v>
          </cell>
          <cell r="M25">
            <v>-0.983662158249576</v>
          </cell>
          <cell r="N25">
            <v>61291</v>
          </cell>
        </row>
        <row r="25">
          <cell r="P25">
            <v>-1</v>
          </cell>
          <cell r="Q25">
            <v>109645</v>
          </cell>
          <cell r="R25">
            <v>790</v>
          </cell>
          <cell r="S25">
            <v>-0.992794929089334</v>
          </cell>
          <cell r="T25">
            <v>1907</v>
          </cell>
          <cell r="U25">
            <v>3941</v>
          </cell>
          <cell r="V25">
            <v>1.06659674882014</v>
          </cell>
          <cell r="W25">
            <v>111552</v>
          </cell>
          <cell r="X25">
            <v>4731</v>
          </cell>
          <cell r="Y25">
            <v>-0.957589285714286</v>
          </cell>
          <cell r="Z25">
            <v>11080</v>
          </cell>
        </row>
        <row r="26">
          <cell r="B26" t="str">
            <v>萧山世纪龙建材专卖店</v>
          </cell>
          <cell r="C26" t="str">
            <v>直营</v>
          </cell>
          <cell r="D26" t="str">
            <v>萧山</v>
          </cell>
          <cell r="E26">
            <v>-3670.4</v>
          </cell>
        </row>
        <row r="26">
          <cell r="G26">
            <v>-1</v>
          </cell>
        </row>
        <row r="26">
          <cell r="I26">
            <v>14214</v>
          </cell>
          <cell r="J26" t="e">
            <v>#DIV/0!</v>
          </cell>
          <cell r="K26">
            <v>-3670.4</v>
          </cell>
          <cell r="L26">
            <v>14214</v>
          </cell>
          <cell r="M26">
            <v>-4.87260244115083</v>
          </cell>
        </row>
        <row r="26">
          <cell r="O26">
            <v>26766</v>
          </cell>
          <cell r="P26" t="e">
            <v>#DIV/0!</v>
          </cell>
          <cell r="Q26">
            <v>-3670.4</v>
          </cell>
          <cell r="R26">
            <v>40980</v>
          </cell>
          <cell r="S26">
            <v>-12.1649956408021</v>
          </cell>
        </row>
        <row r="26">
          <cell r="U26">
            <v>21834</v>
          </cell>
          <cell r="V26" t="e">
            <v>#DIV/0!</v>
          </cell>
          <cell r="W26">
            <v>-3670.4</v>
          </cell>
          <cell r="X26">
            <v>62814</v>
          </cell>
          <cell r="Y26">
            <v>-18.1136660854403</v>
          </cell>
          <cell r="Z26">
            <v>2529</v>
          </cell>
          <cell r="AA26">
            <v>6999</v>
          </cell>
        </row>
        <row r="27">
          <cell r="B27" t="str">
            <v>（新）古墩新时代专卖店</v>
          </cell>
          <cell r="C27" t="str">
            <v>直营</v>
          </cell>
          <cell r="D27" t="str">
            <v>西湖</v>
          </cell>
          <cell r="E27">
            <v>335136</v>
          </cell>
          <cell r="F27">
            <v>431498</v>
          </cell>
          <cell r="G27">
            <v>0.287531032177981</v>
          </cell>
          <cell r="H27">
            <v>264049</v>
          </cell>
          <cell r="I27">
            <v>555081</v>
          </cell>
          <cell r="J27">
            <v>1.10218936636761</v>
          </cell>
          <cell r="K27">
            <v>599185</v>
          </cell>
          <cell r="L27">
            <v>986579</v>
          </cell>
          <cell r="M27">
            <v>0.646534876540634</v>
          </cell>
          <cell r="N27">
            <v>615946</v>
          </cell>
          <cell r="O27">
            <v>601937</v>
          </cell>
          <cell r="P27">
            <v>-0.0227438768982995</v>
          </cell>
          <cell r="Q27">
            <v>1215131</v>
          </cell>
          <cell r="R27">
            <v>1588516</v>
          </cell>
          <cell r="S27">
            <v>0.307279626641078</v>
          </cell>
          <cell r="T27">
            <v>463254</v>
          </cell>
          <cell r="U27">
            <v>445677</v>
          </cell>
          <cell r="V27">
            <v>-0.0379424678470126</v>
          </cell>
          <cell r="W27">
            <v>1678385</v>
          </cell>
          <cell r="X27">
            <v>2034193</v>
          </cell>
          <cell r="Y27">
            <v>0.211994268299586</v>
          </cell>
          <cell r="Z27">
            <v>378356</v>
          </cell>
          <cell r="AA27">
            <v>486210.7</v>
          </cell>
        </row>
        <row r="28">
          <cell r="B28" t="str">
            <v>杭州月星家居超级旗舰店</v>
          </cell>
          <cell r="C28" t="str">
            <v>直营</v>
          </cell>
          <cell r="D28" t="str">
            <v>拱墅</v>
          </cell>
          <cell r="E28">
            <v>35293</v>
          </cell>
          <cell r="F28">
            <v>84451</v>
          </cell>
          <cell r="G28">
            <v>1.39285410704672</v>
          </cell>
          <cell r="H28">
            <v>7925</v>
          </cell>
          <cell r="I28">
            <v>174972.1</v>
          </cell>
          <cell r="J28">
            <v>21.0784984227129</v>
          </cell>
          <cell r="K28">
            <v>43218</v>
          </cell>
          <cell r="L28">
            <v>259423.1</v>
          </cell>
          <cell r="M28">
            <v>5.00266324216762</v>
          </cell>
          <cell r="N28">
            <v>16219</v>
          </cell>
          <cell r="O28">
            <v>150952</v>
          </cell>
          <cell r="P28">
            <v>8.30710894629755</v>
          </cell>
          <cell r="Q28">
            <v>59437</v>
          </cell>
          <cell r="R28">
            <v>410375.1</v>
          </cell>
          <cell r="S28">
            <v>5.90437101468782</v>
          </cell>
          <cell r="T28">
            <v>18226</v>
          </cell>
          <cell r="U28">
            <v>91671</v>
          </cell>
          <cell r="V28">
            <v>4.02968287062438</v>
          </cell>
          <cell r="W28">
            <v>77663</v>
          </cell>
          <cell r="X28">
            <v>502046.1</v>
          </cell>
          <cell r="Y28">
            <v>5.46441806265532</v>
          </cell>
          <cell r="Z28">
            <v>34627</v>
          </cell>
          <cell r="AA28">
            <v>75153</v>
          </cell>
        </row>
        <row r="29">
          <cell r="B29" t="str">
            <v>杭州恒大建材超级旗舰店</v>
          </cell>
          <cell r="C29" t="str">
            <v>直营</v>
          </cell>
          <cell r="D29" t="str">
            <v>临平</v>
          </cell>
          <cell r="E29">
            <v>97310</v>
          </cell>
          <cell r="F29">
            <v>24422</v>
          </cell>
          <cell r="G29">
            <v>-0.749028876785531</v>
          </cell>
          <cell r="H29">
            <v>52558</v>
          </cell>
          <cell r="I29">
            <v>110516.9</v>
          </cell>
          <cell r="J29">
            <v>1.10276075954184</v>
          </cell>
          <cell r="K29">
            <v>149868</v>
          </cell>
          <cell r="L29">
            <v>134938.9</v>
          </cell>
          <cell r="M29">
            <v>-0.0996149945285185</v>
          </cell>
          <cell r="N29">
            <v>161755</v>
          </cell>
          <cell r="O29">
            <v>143654.88</v>
          </cell>
          <cell r="P29">
            <v>-0.11189836481098</v>
          </cell>
          <cell r="Q29">
            <v>311623</v>
          </cell>
          <cell r="R29">
            <v>278593.78</v>
          </cell>
          <cell r="S29">
            <v>-0.105990957021786</v>
          </cell>
          <cell r="T29">
            <v>83325</v>
          </cell>
          <cell r="U29">
            <v>151575</v>
          </cell>
          <cell r="V29">
            <v>0.819081908190819</v>
          </cell>
          <cell r="W29">
            <v>394948</v>
          </cell>
          <cell r="X29">
            <v>430168.78</v>
          </cell>
          <cell r="Y29">
            <v>0.0891782715699283</v>
          </cell>
          <cell r="Z29">
            <v>232402</v>
          </cell>
          <cell r="AA29">
            <v>213071</v>
          </cell>
        </row>
        <row r="30">
          <cell r="B30" t="str">
            <v>二轻爱威专卖店</v>
          </cell>
          <cell r="C30" t="str">
            <v>加盟</v>
          </cell>
          <cell r="D30" t="str">
            <v>拱墅</v>
          </cell>
          <cell r="E30">
            <v>122703</v>
          </cell>
          <cell r="F30">
            <v>153577</v>
          </cell>
          <cell r="G30">
            <v>0.251615689917932</v>
          </cell>
          <cell r="H30">
            <v>58401</v>
          </cell>
          <cell r="I30">
            <v>138466</v>
          </cell>
          <cell r="J30">
            <v>1.37095255218233</v>
          </cell>
          <cell r="K30">
            <v>181104</v>
          </cell>
          <cell r="L30">
            <v>292043</v>
          </cell>
          <cell r="M30">
            <v>0.612570677621698</v>
          </cell>
          <cell r="N30">
            <v>160666</v>
          </cell>
          <cell r="O30">
            <v>247705.4</v>
          </cell>
          <cell r="P30">
            <v>0.54174125203839</v>
          </cell>
          <cell r="Q30">
            <v>341770</v>
          </cell>
          <cell r="R30">
            <v>539748.4</v>
          </cell>
          <cell r="S30">
            <v>0.579273780612693</v>
          </cell>
          <cell r="T30">
            <v>81747</v>
          </cell>
          <cell r="U30">
            <v>211406</v>
          </cell>
          <cell r="V30">
            <v>1.58610101899764</v>
          </cell>
          <cell r="W30">
            <v>423517</v>
          </cell>
          <cell r="X30">
            <v>751154.4</v>
          </cell>
          <cell r="Y30">
            <v>0.77361097665501</v>
          </cell>
          <cell r="Z30">
            <v>90148</v>
          </cell>
          <cell r="AA30">
            <v>148012</v>
          </cell>
        </row>
        <row r="31">
          <cell r="B31" t="str">
            <v>（新）滨江第六空间专卖店</v>
          </cell>
          <cell r="C31" t="str">
            <v>直营</v>
          </cell>
          <cell r="D31" t="str">
            <v>滨江</v>
          </cell>
          <cell r="E31">
            <v>130944</v>
          </cell>
          <cell r="F31">
            <v>55888</v>
          </cell>
          <cell r="G31">
            <v>-0.573191593352884</v>
          </cell>
          <cell r="H31">
            <v>70042</v>
          </cell>
          <cell r="I31">
            <v>110150.4</v>
          </cell>
          <cell r="J31">
            <v>0.572633562719511</v>
          </cell>
          <cell r="K31">
            <v>200986</v>
          </cell>
          <cell r="L31">
            <v>166038.4</v>
          </cell>
          <cell r="M31">
            <v>-0.173880767814674</v>
          </cell>
          <cell r="N31">
            <v>221166</v>
          </cell>
          <cell r="O31">
            <v>151680.8</v>
          </cell>
          <cell r="P31">
            <v>-0.314176681768445</v>
          </cell>
          <cell r="Q31">
            <v>422152</v>
          </cell>
          <cell r="R31">
            <v>317719.2</v>
          </cell>
          <cell r="S31">
            <v>-0.247381985635506</v>
          </cell>
          <cell r="T31">
            <v>169305</v>
          </cell>
          <cell r="U31">
            <v>105900</v>
          </cell>
          <cell r="V31">
            <v>-0.374501639053779</v>
          </cell>
          <cell r="W31">
            <v>591457</v>
          </cell>
          <cell r="X31">
            <v>423619.2</v>
          </cell>
          <cell r="Y31">
            <v>-0.283770079650761</v>
          </cell>
          <cell r="Z31">
            <v>89075</v>
          </cell>
          <cell r="AA31">
            <v>130233</v>
          </cell>
        </row>
        <row r="32">
          <cell r="B32" t="str">
            <v>杭州日新人工环境工程有限公司</v>
          </cell>
          <cell r="C32" t="str">
            <v>暖通</v>
          </cell>
          <cell r="D32" t="str">
            <v>西湖</v>
          </cell>
        </row>
        <row r="32">
          <cell r="G32" t="e">
            <v>#DIV/0!</v>
          </cell>
          <cell r="H32">
            <v>30267</v>
          </cell>
          <cell r="I32">
            <v>9395</v>
          </cell>
          <cell r="J32">
            <v>-0.689595929560247</v>
          </cell>
          <cell r="K32">
            <v>30267</v>
          </cell>
          <cell r="L32">
            <v>9395</v>
          </cell>
          <cell r="M32">
            <v>-0.689595929560247</v>
          </cell>
          <cell r="N32">
            <v>8945</v>
          </cell>
          <cell r="O32">
            <v>1580</v>
          </cell>
          <cell r="P32">
            <v>-0.823365008384572</v>
          </cell>
          <cell r="Q32">
            <v>39212</v>
          </cell>
          <cell r="R32">
            <v>10975</v>
          </cell>
          <cell r="S32">
            <v>-0.720111190451902</v>
          </cell>
        </row>
        <row r="32">
          <cell r="U32">
            <v>11195</v>
          </cell>
          <cell r="V32" t="e">
            <v>#DIV/0!</v>
          </cell>
          <cell r="W32">
            <v>39212</v>
          </cell>
          <cell r="X32">
            <v>22170</v>
          </cell>
          <cell r="Y32">
            <v>-0.43461185351423</v>
          </cell>
          <cell r="Z32">
            <v>21043</v>
          </cell>
        </row>
        <row r="33">
          <cell r="B33" t="str">
            <v>杭州森澜环境科技有限公司</v>
          </cell>
          <cell r="C33" t="str">
            <v>经销</v>
          </cell>
          <cell r="D33" t="str">
            <v>滨江</v>
          </cell>
          <cell r="E33">
            <v>30962</v>
          </cell>
        </row>
        <row r="33">
          <cell r="G33">
            <v>-1</v>
          </cell>
        </row>
        <row r="33">
          <cell r="I33">
            <v>8351</v>
          </cell>
          <cell r="J33" t="e">
            <v>#DIV/0!</v>
          </cell>
          <cell r="K33">
            <v>30962</v>
          </cell>
          <cell r="L33">
            <v>8351</v>
          </cell>
          <cell r="M33">
            <v>-0.730282281506363</v>
          </cell>
        </row>
        <row r="33">
          <cell r="P33" t="e">
            <v>#DIV/0!</v>
          </cell>
          <cell r="Q33">
            <v>30962</v>
          </cell>
          <cell r="R33">
            <v>8351</v>
          </cell>
          <cell r="S33">
            <v>-0.730282281506363</v>
          </cell>
        </row>
        <row r="33">
          <cell r="V33" t="e">
            <v>#DIV/0!</v>
          </cell>
          <cell r="W33">
            <v>30962</v>
          </cell>
          <cell r="X33">
            <v>8351</v>
          </cell>
          <cell r="Y33">
            <v>-0.730282281506363</v>
          </cell>
        </row>
        <row r="34">
          <cell r="B34" t="str">
            <v>杭州顶戴环境设备有限公司</v>
          </cell>
          <cell r="C34" t="str">
            <v>暖通</v>
          </cell>
          <cell r="D34" t="str">
            <v>萧山</v>
          </cell>
        </row>
        <row r="34">
          <cell r="F34">
            <v>10859</v>
          </cell>
          <cell r="G34" t="e">
            <v>#DIV/0!</v>
          </cell>
        </row>
        <row r="34">
          <cell r="J34" t="e">
            <v>#DIV/0!</v>
          </cell>
          <cell r="K34">
            <v>0</v>
          </cell>
          <cell r="L34">
            <v>10859</v>
          </cell>
          <cell r="M34" t="e">
            <v>#DIV/0!</v>
          </cell>
        </row>
        <row r="34">
          <cell r="P34" t="e">
            <v>#DIV/0!</v>
          </cell>
          <cell r="Q34">
            <v>0</v>
          </cell>
          <cell r="R34">
            <v>10859</v>
          </cell>
          <cell r="S34" t="e">
            <v>#DIV/0!</v>
          </cell>
        </row>
        <row r="34">
          <cell r="V34" t="e">
            <v>#DIV/0!</v>
          </cell>
          <cell r="W34">
            <v>0</v>
          </cell>
          <cell r="X34">
            <v>10859</v>
          </cell>
          <cell r="Y34" t="e">
            <v>#DIV/0!</v>
          </cell>
        </row>
        <row r="35">
          <cell r="B35" t="str">
            <v>杭州市江干区百丰电器商行</v>
          </cell>
          <cell r="C35" t="str">
            <v>经销</v>
          </cell>
          <cell r="D35" t="str">
            <v>上城</v>
          </cell>
        </row>
        <row r="35">
          <cell r="G35" t="e">
            <v>#DIV/0!</v>
          </cell>
          <cell r="H35">
            <v>1590</v>
          </cell>
        </row>
        <row r="35">
          <cell r="J35">
            <v>-1</v>
          </cell>
          <cell r="K35">
            <v>1590</v>
          </cell>
          <cell r="L35">
            <v>0</v>
          </cell>
          <cell r="M35">
            <v>-1</v>
          </cell>
        </row>
        <row r="35">
          <cell r="P35" t="e">
            <v>#DIV/0!</v>
          </cell>
          <cell r="Q35">
            <v>1590</v>
          </cell>
          <cell r="R35">
            <v>0</v>
          </cell>
          <cell r="S35">
            <v>-1</v>
          </cell>
        </row>
        <row r="35">
          <cell r="V35" t="e">
            <v>#DIV/0!</v>
          </cell>
          <cell r="W35">
            <v>1590</v>
          </cell>
          <cell r="X35">
            <v>0</v>
          </cell>
          <cell r="Y35">
            <v>-1</v>
          </cell>
        </row>
        <row r="36">
          <cell r="B36" t="str">
            <v>杭州晨澜暖通设备有限公司</v>
          </cell>
          <cell r="C36" t="str">
            <v>经销</v>
          </cell>
          <cell r="D36" t="str">
            <v>萧山</v>
          </cell>
        </row>
        <row r="36">
          <cell r="G36" t="e">
            <v>#DIV/0!</v>
          </cell>
        </row>
        <row r="36">
          <cell r="J36" t="e">
            <v>#DIV/0!</v>
          </cell>
          <cell r="K36">
            <v>0</v>
          </cell>
          <cell r="L36">
            <v>0</v>
          </cell>
          <cell r="M36" t="e">
            <v>#DIV/0!</v>
          </cell>
        </row>
        <row r="36">
          <cell r="P36" t="e">
            <v>#DIV/0!</v>
          </cell>
          <cell r="Q36">
            <v>0</v>
          </cell>
          <cell r="R36">
            <v>0</v>
          </cell>
          <cell r="S36" t="e">
            <v>#DIV/0!</v>
          </cell>
        </row>
        <row r="36">
          <cell r="V36" t="e">
            <v>#DIV/0!</v>
          </cell>
          <cell r="W36">
            <v>0</v>
          </cell>
          <cell r="X36">
            <v>0</v>
          </cell>
          <cell r="Y36" t="e">
            <v>#DIV/0!</v>
          </cell>
        </row>
        <row r="37">
          <cell r="B37" t="str">
            <v>杭州扎美珂暖通设备有限公司</v>
          </cell>
          <cell r="C37" t="str">
            <v>经销</v>
          </cell>
          <cell r="D37" t="str">
            <v>拱墅</v>
          </cell>
        </row>
        <row r="37">
          <cell r="G37" t="e">
            <v>#DIV/0!</v>
          </cell>
        </row>
        <row r="37">
          <cell r="J37" t="e">
            <v>#DIV/0!</v>
          </cell>
          <cell r="K37">
            <v>0</v>
          </cell>
          <cell r="L37">
            <v>0</v>
          </cell>
          <cell r="M37" t="e">
            <v>#DIV/0!</v>
          </cell>
        </row>
        <row r="37">
          <cell r="P37" t="e">
            <v>#DIV/0!</v>
          </cell>
          <cell r="Q37">
            <v>0</v>
          </cell>
          <cell r="R37">
            <v>0</v>
          </cell>
          <cell r="S37" t="e">
            <v>#DIV/0!</v>
          </cell>
        </row>
        <row r="37">
          <cell r="V37" t="e">
            <v>#DIV/0!</v>
          </cell>
          <cell r="W37">
            <v>0</v>
          </cell>
          <cell r="X37">
            <v>0</v>
          </cell>
          <cell r="Y37" t="e">
            <v>#DIV/0!</v>
          </cell>
          <cell r="Z37">
            <v>2991</v>
          </cell>
        </row>
        <row r="38">
          <cell r="B38" t="str">
            <v>杭州澎湃电器有限公司</v>
          </cell>
          <cell r="C38" t="str">
            <v>家装</v>
          </cell>
          <cell r="D38" t="str">
            <v>上城</v>
          </cell>
          <cell r="E38">
            <v>24931.5</v>
          </cell>
        </row>
        <row r="38">
          <cell r="G38">
            <v>-1</v>
          </cell>
        </row>
        <row r="38">
          <cell r="J38" t="e">
            <v>#DIV/0!</v>
          </cell>
          <cell r="K38">
            <v>24931.5</v>
          </cell>
          <cell r="L38">
            <v>0</v>
          </cell>
          <cell r="M38">
            <v>-1</v>
          </cell>
          <cell r="N38">
            <v>9411</v>
          </cell>
          <cell r="O38">
            <v>10879</v>
          </cell>
          <cell r="P38">
            <v>0.155987673998512</v>
          </cell>
          <cell r="Q38">
            <v>34342.5</v>
          </cell>
          <cell r="R38">
            <v>10879</v>
          </cell>
          <cell r="S38">
            <v>-0.683220499381233</v>
          </cell>
          <cell r="T38">
            <v>4316</v>
          </cell>
          <cell r="U38">
            <v>20268</v>
          </cell>
          <cell r="V38">
            <v>3.69601482854495</v>
          </cell>
          <cell r="W38">
            <v>38658.5</v>
          </cell>
          <cell r="X38">
            <v>31147</v>
          </cell>
          <cell r="Y38">
            <v>-0.194303969372842</v>
          </cell>
        </row>
        <row r="38">
          <cell r="AA38">
            <v>5900</v>
          </cell>
        </row>
        <row r="39">
          <cell r="B39" t="str">
            <v>杭州晶东科技有限公司</v>
          </cell>
          <cell r="C39" t="str">
            <v>暖通</v>
          </cell>
          <cell r="D39" t="str">
            <v>滨江</v>
          </cell>
          <cell r="E39">
            <v>8011</v>
          </cell>
        </row>
        <row r="39">
          <cell r="G39">
            <v>-1</v>
          </cell>
          <cell r="H39">
            <v>2863.5</v>
          </cell>
        </row>
        <row r="39">
          <cell r="J39">
            <v>-1</v>
          </cell>
          <cell r="K39">
            <v>10874.5</v>
          </cell>
          <cell r="L39">
            <v>0</v>
          </cell>
          <cell r="M39">
            <v>-1</v>
          </cell>
          <cell r="N39">
            <v>8682</v>
          </cell>
        </row>
        <row r="39">
          <cell r="P39">
            <v>-1</v>
          </cell>
          <cell r="Q39">
            <v>19556.5</v>
          </cell>
          <cell r="R39">
            <v>0</v>
          </cell>
          <cell r="S39">
            <v>-1</v>
          </cell>
        </row>
        <row r="39">
          <cell r="V39" t="e">
            <v>#DIV/0!</v>
          </cell>
          <cell r="W39">
            <v>19556.5</v>
          </cell>
          <cell r="X39">
            <v>0</v>
          </cell>
          <cell r="Y39">
            <v>-1</v>
          </cell>
        </row>
        <row r="40">
          <cell r="B40" t="str">
            <v>杭州临安久信电器有限公司</v>
          </cell>
          <cell r="C40" t="str">
            <v>暖通</v>
          </cell>
          <cell r="D40" t="str">
            <v>临安</v>
          </cell>
        </row>
        <row r="40">
          <cell r="G40" t="e">
            <v>#DIV/0!</v>
          </cell>
        </row>
        <row r="40">
          <cell r="J40" t="e">
            <v>#DIV/0!</v>
          </cell>
          <cell r="K40">
            <v>0</v>
          </cell>
          <cell r="L40">
            <v>0</v>
          </cell>
          <cell r="M40" t="e">
            <v>#DIV/0!</v>
          </cell>
        </row>
        <row r="40">
          <cell r="P40" t="e">
            <v>#DIV/0!</v>
          </cell>
          <cell r="Q40">
            <v>0</v>
          </cell>
          <cell r="R40">
            <v>0</v>
          </cell>
          <cell r="S40" t="e">
            <v>#DIV/0!</v>
          </cell>
        </row>
        <row r="40">
          <cell r="V40" t="e">
            <v>#DIV/0!</v>
          </cell>
          <cell r="W40">
            <v>0</v>
          </cell>
          <cell r="X40">
            <v>0</v>
          </cell>
          <cell r="Y40" t="e">
            <v>#DIV/0!</v>
          </cell>
        </row>
        <row r="41">
          <cell r="B41" t="str">
            <v>杭州汇意商贸有限公司</v>
          </cell>
          <cell r="C41" t="str">
            <v>暖通</v>
          </cell>
          <cell r="D41" t="str">
            <v>拱墅</v>
          </cell>
        </row>
        <row r="41">
          <cell r="I41">
            <v>22000</v>
          </cell>
          <cell r="J41" t="e">
            <v>#DIV/0!</v>
          </cell>
          <cell r="K41">
            <v>0</v>
          </cell>
          <cell r="L41">
            <v>22000</v>
          </cell>
          <cell r="M41" t="e">
            <v>#DIV/0!</v>
          </cell>
        </row>
        <row r="41">
          <cell r="P41" t="e">
            <v>#DIV/0!</v>
          </cell>
          <cell r="Q41">
            <v>0</v>
          </cell>
          <cell r="R41">
            <v>22000</v>
          </cell>
          <cell r="S41" t="e">
            <v>#DIV/0!</v>
          </cell>
        </row>
        <row r="41">
          <cell r="V41" t="e">
            <v>#DIV/0!</v>
          </cell>
          <cell r="W41">
            <v>0</v>
          </cell>
          <cell r="X41">
            <v>22000</v>
          </cell>
          <cell r="Y41" t="e">
            <v>#DIV/0!</v>
          </cell>
        </row>
        <row r="42">
          <cell r="B42" t="str">
            <v>杭州中博智能电器有限公司</v>
          </cell>
          <cell r="C42" t="str">
            <v>家装</v>
          </cell>
          <cell r="D42" t="str">
            <v>上城</v>
          </cell>
        </row>
        <row r="42">
          <cell r="I42">
            <v>15877.35</v>
          </cell>
          <cell r="J42" t="e">
            <v>#DIV/0!</v>
          </cell>
          <cell r="K42">
            <v>0</v>
          </cell>
          <cell r="L42">
            <v>15877.35</v>
          </cell>
          <cell r="M42" t="e">
            <v>#DIV/0!</v>
          </cell>
        </row>
        <row r="42">
          <cell r="O42">
            <v>35693.04</v>
          </cell>
          <cell r="P42" t="e">
            <v>#DIV/0!</v>
          </cell>
          <cell r="Q42">
            <v>0</v>
          </cell>
          <cell r="R42">
            <v>51570.39</v>
          </cell>
          <cell r="S42" t="e">
            <v>#DIV/0!</v>
          </cell>
        </row>
        <row r="42">
          <cell r="V42" t="e">
            <v>#DIV/0!</v>
          </cell>
          <cell r="W42">
            <v>0</v>
          </cell>
          <cell r="X42">
            <v>51570.39</v>
          </cell>
          <cell r="Y42" t="e">
            <v>#DIV/0!</v>
          </cell>
        </row>
        <row r="42">
          <cell r="AA42">
            <v>372208.3</v>
          </cell>
        </row>
        <row r="43">
          <cell r="B43" t="str">
            <v>汇总</v>
          </cell>
        </row>
        <row r="43">
          <cell r="E43">
            <v>3041575.1</v>
          </cell>
          <cell r="F43">
            <v>2032111.54</v>
          </cell>
          <cell r="G43">
            <v>-0.331888421890355</v>
          </cell>
          <cell r="H43">
            <v>2047388.25</v>
          </cell>
          <cell r="I43">
            <v>2578192.69</v>
          </cell>
          <cell r="J43">
            <v>0.259259297790734</v>
          </cell>
          <cell r="K43">
            <v>5088963.35</v>
          </cell>
          <cell r="L43">
            <v>4610304.23</v>
          </cell>
          <cell r="M43">
            <v>-0.094058276132014</v>
          </cell>
          <cell r="N43">
            <v>3889244.92</v>
          </cell>
          <cell r="O43">
            <v>3553242.89</v>
          </cell>
          <cell r="P43">
            <v>-0.0863926126822582</v>
          </cell>
          <cell r="Q43">
            <v>8978208.27</v>
          </cell>
          <cell r="R43">
            <v>8163547.12</v>
          </cell>
          <cell r="S43">
            <v>-0.0907376088302749</v>
          </cell>
          <cell r="T43">
            <v>3933392.05</v>
          </cell>
          <cell r="U43">
            <v>2239739.64</v>
          </cell>
          <cell r="V43">
            <v>-0.430583168031776</v>
          </cell>
          <cell r="W43">
            <v>12911600.32</v>
          </cell>
          <cell r="X43">
            <v>10403286.76</v>
          </cell>
          <cell r="Y43">
            <v>-0.194268216009958</v>
          </cell>
          <cell r="Z43">
            <v>2756126.47</v>
          </cell>
          <cell r="AA43">
            <v>3778722.33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3">
          <cell r="B3" t="str">
            <v>（新）滨江第六空间专卖店</v>
          </cell>
          <cell r="C3">
            <v>3500</v>
          </cell>
        </row>
        <row r="4">
          <cell r="B4" t="str">
            <v>（新）古墩新时代专卖店</v>
          </cell>
          <cell r="C4">
            <v>12810</v>
          </cell>
        </row>
        <row r="5">
          <cell r="B5" t="str">
            <v>杭州恒大建材超级旗舰店</v>
          </cell>
          <cell r="C5">
            <v>4050</v>
          </cell>
        </row>
        <row r="6">
          <cell r="B6" t="str">
            <v>杭州金蝶零售</v>
          </cell>
          <cell r="C6">
            <v>6795</v>
          </cell>
        </row>
        <row r="7">
          <cell r="B7" t="str">
            <v>杭州临平江南家居专卖店</v>
          </cell>
          <cell r="C7">
            <v>17280</v>
          </cell>
        </row>
        <row r="8">
          <cell r="B8" t="str">
            <v>杭州美泰零售</v>
          </cell>
          <cell r="C8">
            <v>3177</v>
          </cell>
        </row>
        <row r="9">
          <cell r="B9" t="str">
            <v>杭州月星家居超级旗舰店</v>
          </cell>
          <cell r="C9">
            <v>12778</v>
          </cell>
        </row>
        <row r="10">
          <cell r="B10" t="str">
            <v>金华金蝶零售</v>
          </cell>
          <cell r="C10">
            <v>50</v>
          </cell>
        </row>
        <row r="11">
          <cell r="B11" t="str">
            <v>金华龙腾建材市场专卖店</v>
          </cell>
          <cell r="C11">
            <v>7428</v>
          </cell>
        </row>
        <row r="12">
          <cell r="B12" t="str">
            <v>桐乡市百宏家电有限公司</v>
          </cell>
          <cell r="C12">
            <v>2000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B1" t="str">
            <v>往来单位</v>
          </cell>
          <cell r="C1" t="str">
            <v>求和项:表头-应退金额</v>
          </cell>
        </row>
        <row r="2">
          <cell r="C2">
            <v>46286.9</v>
          </cell>
        </row>
        <row r="3">
          <cell r="B3" t="str">
            <v>（新）滨江第六空间专卖店</v>
          </cell>
          <cell r="C3">
            <v>8000</v>
          </cell>
        </row>
        <row r="4">
          <cell r="B4" t="str">
            <v>（新）古墩新时代专卖店</v>
          </cell>
          <cell r="C4">
            <v>14881</v>
          </cell>
        </row>
        <row r="5">
          <cell r="B5" t="str">
            <v>杭州金蝶零售</v>
          </cell>
          <cell r="C5">
            <v>1249.9</v>
          </cell>
        </row>
        <row r="6">
          <cell r="B6" t="str">
            <v>杭州临平江南家居专卖店</v>
          </cell>
          <cell r="C6">
            <v>12627</v>
          </cell>
        </row>
        <row r="7">
          <cell r="B7" t="str">
            <v>杭州月星家居超级旗舰店</v>
          </cell>
          <cell r="C7">
            <v>5901</v>
          </cell>
        </row>
        <row r="8">
          <cell r="B8" t="str">
            <v>金华龙腾建材市场专卖店</v>
          </cell>
          <cell r="C8">
            <v>2800</v>
          </cell>
        </row>
        <row r="9">
          <cell r="B9" t="str">
            <v>萧山世纪龙建材专卖店</v>
          </cell>
          <cell r="C9">
            <v>828</v>
          </cell>
        </row>
        <row r="10">
          <cell r="C10">
            <v>46286.9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杭州"/>
      <sheetName val="湖州"/>
      <sheetName val="嘉兴"/>
      <sheetName val="金衢"/>
      <sheetName val="绍兴"/>
      <sheetName val="台州"/>
      <sheetName val="温丽"/>
      <sheetName val="壁挂炉电商"/>
      <sheetName val="3月"/>
      <sheetName val="1-3月"/>
      <sheetName val="Sheet1"/>
    </sheetNames>
    <sheetDataSet>
      <sheetData sheetId="0"/>
      <sheetData sheetId="1"/>
      <sheetData sheetId="2"/>
      <sheetData sheetId="3"/>
      <sheetData sheetId="4">
        <row r="1">
          <cell r="B1" t="str">
            <v>系统名称</v>
          </cell>
        </row>
        <row r="1">
          <cell r="E1" t="str">
            <v>1月</v>
          </cell>
        </row>
        <row r="1">
          <cell r="G1" t="str">
            <v>同比</v>
          </cell>
          <cell r="H1" t="str">
            <v>2月</v>
          </cell>
        </row>
        <row r="1">
          <cell r="J1" t="str">
            <v>同比</v>
          </cell>
          <cell r="K1" t="str">
            <v>1-2月</v>
          </cell>
        </row>
        <row r="1">
          <cell r="M1" t="str">
            <v>同比</v>
          </cell>
          <cell r="N1" t="str">
            <v>3月</v>
          </cell>
        </row>
        <row r="2">
          <cell r="C2" t="str">
            <v>渠道</v>
          </cell>
          <cell r="D2" t="str">
            <v>市/区/县</v>
          </cell>
          <cell r="E2" t="str">
            <v>2022年</v>
          </cell>
          <cell r="F2" t="str">
            <v>2023年</v>
          </cell>
        </row>
        <row r="2">
          <cell r="H2" t="str">
            <v>2022年</v>
          </cell>
          <cell r="I2" t="str">
            <v>2023年</v>
          </cell>
        </row>
        <row r="2">
          <cell r="K2" t="str">
            <v>2022年</v>
          </cell>
          <cell r="L2" t="str">
            <v>2023年</v>
          </cell>
        </row>
        <row r="2">
          <cell r="N2" t="str">
            <v>2022年</v>
          </cell>
          <cell r="O2" t="str">
            <v>2023年</v>
          </cell>
        </row>
        <row r="3">
          <cell r="B3" t="str">
            <v>义乌市荣昌家电维修部</v>
          </cell>
          <cell r="C3" t="str">
            <v>加盟</v>
          </cell>
          <cell r="D3" t="str">
            <v>义乌</v>
          </cell>
          <cell r="E3">
            <v>88500</v>
          </cell>
          <cell r="F3">
            <v>72000</v>
          </cell>
          <cell r="G3">
            <v>-0.186440677966102</v>
          </cell>
        </row>
        <row r="3">
          <cell r="I3">
            <v>100500</v>
          </cell>
          <cell r="J3" t="e">
            <v>#DIV/0!</v>
          </cell>
          <cell r="K3">
            <v>88500</v>
          </cell>
          <cell r="L3">
            <v>172500</v>
          </cell>
          <cell r="M3">
            <v>0.949152542372881</v>
          </cell>
          <cell r="N3">
            <v>54500</v>
          </cell>
          <cell r="O3">
            <v>131000</v>
          </cell>
        </row>
        <row r="4">
          <cell r="B4" t="str">
            <v>义乌市爱坤节能设备有限公司</v>
          </cell>
          <cell r="C4" t="str">
            <v>经销</v>
          </cell>
          <cell r="D4" t="str">
            <v>义乌</v>
          </cell>
          <cell r="E4">
            <v>29493</v>
          </cell>
        </row>
        <row r="4">
          <cell r="G4">
            <v>-1</v>
          </cell>
        </row>
        <row r="4">
          <cell r="I4">
            <v>9518</v>
          </cell>
          <cell r="J4" t="e">
            <v>#DIV/0!</v>
          </cell>
          <cell r="K4">
            <v>29493</v>
          </cell>
          <cell r="L4">
            <v>9518</v>
          </cell>
          <cell r="M4">
            <v>-0.677279354423084</v>
          </cell>
        </row>
        <row r="5">
          <cell r="B5" t="str">
            <v>浙江普农家电有限公司</v>
          </cell>
          <cell r="C5" t="str">
            <v>经销</v>
          </cell>
          <cell r="D5" t="str">
            <v>衢州</v>
          </cell>
          <cell r="E5">
            <v>339651</v>
          </cell>
          <cell r="F5">
            <v>171360</v>
          </cell>
          <cell r="G5">
            <v>-0.495482127242375</v>
          </cell>
        </row>
        <row r="5">
          <cell r="I5">
            <v>70132</v>
          </cell>
          <cell r="J5" t="e">
            <v>#DIV/0!</v>
          </cell>
          <cell r="K5">
            <v>339651</v>
          </cell>
          <cell r="L5">
            <v>241492</v>
          </cell>
          <cell r="M5">
            <v>-0.288999590756394</v>
          </cell>
          <cell r="N5">
            <v>116344</v>
          </cell>
          <cell r="O5">
            <v>85306</v>
          </cell>
        </row>
        <row r="6">
          <cell r="B6" t="str">
            <v>五星</v>
          </cell>
          <cell r="C6" t="str">
            <v>五星</v>
          </cell>
          <cell r="D6" t="str">
            <v>市区</v>
          </cell>
        </row>
        <row r="6">
          <cell r="G6" t="e">
            <v>#DIV/0!</v>
          </cell>
          <cell r="H6">
            <v>116011.79</v>
          </cell>
          <cell r="I6">
            <v>173256.98</v>
          </cell>
          <cell r="J6">
            <v>0.493442864729525</v>
          </cell>
          <cell r="K6">
            <v>116011.79</v>
          </cell>
          <cell r="L6">
            <v>173256.98</v>
          </cell>
          <cell r="M6">
            <v>0.493442864729525</v>
          </cell>
          <cell r="N6">
            <v>6029.43</v>
          </cell>
          <cell r="O6">
            <v>54981.65</v>
          </cell>
        </row>
        <row r="7">
          <cell r="B7" t="str">
            <v>国美</v>
          </cell>
          <cell r="C7" t="str">
            <v>国美</v>
          </cell>
          <cell r="D7" t="str">
            <v>金华</v>
          </cell>
          <cell r="E7">
            <v>100000</v>
          </cell>
        </row>
        <row r="7">
          <cell r="G7">
            <v>-1</v>
          </cell>
        </row>
        <row r="7">
          <cell r="J7" t="e">
            <v>#DIV/0!</v>
          </cell>
          <cell r="K7">
            <v>100000</v>
          </cell>
          <cell r="L7">
            <v>0</v>
          </cell>
          <cell r="M7">
            <v>-1</v>
          </cell>
        </row>
        <row r="8">
          <cell r="B8" t="str">
            <v>（新）金华八一南街专卖店</v>
          </cell>
          <cell r="C8" t="str">
            <v>直营</v>
          </cell>
          <cell r="D8" t="str">
            <v>婺城</v>
          </cell>
          <cell r="E8">
            <v>18904</v>
          </cell>
          <cell r="F8">
            <v>31072</v>
          </cell>
          <cell r="G8">
            <v>0.643673296656792</v>
          </cell>
          <cell r="H8">
            <v>15338</v>
          </cell>
          <cell r="I8">
            <v>42511</v>
          </cell>
          <cell r="J8">
            <v>1.77161298735168</v>
          </cell>
          <cell r="K8">
            <v>34242</v>
          </cell>
          <cell r="L8">
            <v>73583</v>
          </cell>
          <cell r="M8">
            <v>1.14891069446878</v>
          </cell>
          <cell r="N8">
            <v>18741</v>
          </cell>
          <cell r="O8">
            <v>25944.9</v>
          </cell>
        </row>
        <row r="9">
          <cell r="B9" t="str">
            <v>衢州市柯城汇鑫家用电器商行</v>
          </cell>
          <cell r="C9" t="str">
            <v>加盟</v>
          </cell>
          <cell r="D9" t="str">
            <v>柯城</v>
          </cell>
          <cell r="E9">
            <v>62000</v>
          </cell>
          <cell r="F9">
            <v>21300</v>
          </cell>
          <cell r="G9">
            <v>-0.656451612903226</v>
          </cell>
          <cell r="H9">
            <v>10000</v>
          </cell>
          <cell r="I9">
            <v>23900</v>
          </cell>
          <cell r="J9">
            <v>1.39</v>
          </cell>
          <cell r="K9">
            <v>72000</v>
          </cell>
          <cell r="L9">
            <v>45200</v>
          </cell>
          <cell r="M9">
            <v>-0.372222222222222</v>
          </cell>
          <cell r="N9">
            <v>27900</v>
          </cell>
          <cell r="O9">
            <v>80450</v>
          </cell>
        </row>
        <row r="10">
          <cell r="B10" t="str">
            <v>东阳市国美电器有限公司</v>
          </cell>
          <cell r="C10" t="str">
            <v>经销</v>
          </cell>
          <cell r="D10" t="str">
            <v>东阳</v>
          </cell>
        </row>
        <row r="10">
          <cell r="F10">
            <v>30000</v>
          </cell>
          <cell r="G10" t="e">
            <v>#DIV/0!</v>
          </cell>
        </row>
        <row r="10">
          <cell r="J10" t="e">
            <v>#DIV/0!</v>
          </cell>
          <cell r="K10">
            <v>0</v>
          </cell>
          <cell r="L10">
            <v>30000</v>
          </cell>
          <cell r="M10" t="e">
            <v>#DIV/0!</v>
          </cell>
        </row>
        <row r="11">
          <cell r="B11" t="str">
            <v>兰溪专卖店</v>
          </cell>
          <cell r="C11" t="str">
            <v>直营</v>
          </cell>
          <cell r="D11" t="str">
            <v>兰溪</v>
          </cell>
          <cell r="E11">
            <v>11177</v>
          </cell>
          <cell r="F11">
            <v>8727</v>
          </cell>
          <cell r="G11">
            <v>-0.219200143151114</v>
          </cell>
          <cell r="H11">
            <v>13854</v>
          </cell>
          <cell r="I11">
            <v>7343</v>
          </cell>
          <cell r="J11">
            <v>-0.4699725710986</v>
          </cell>
          <cell r="K11">
            <v>25031</v>
          </cell>
          <cell r="L11">
            <v>16070</v>
          </cell>
          <cell r="M11">
            <v>-0.35799608485478</v>
          </cell>
          <cell r="N11">
            <v>22683</v>
          </cell>
          <cell r="O11">
            <v>13804</v>
          </cell>
        </row>
        <row r="12">
          <cell r="B12" t="str">
            <v>金华龙腾建材市场专卖店</v>
          </cell>
          <cell r="C12" t="str">
            <v>直营</v>
          </cell>
          <cell r="D12" t="str">
            <v>婺城</v>
          </cell>
          <cell r="E12">
            <v>83926</v>
          </cell>
          <cell r="F12">
            <v>51441</v>
          </cell>
          <cell r="G12">
            <v>-0.387067178228439</v>
          </cell>
          <cell r="H12">
            <v>41486</v>
          </cell>
          <cell r="I12">
            <v>94218</v>
          </cell>
          <cell r="J12">
            <v>1.27107940027961</v>
          </cell>
          <cell r="K12">
            <v>125412</v>
          </cell>
          <cell r="L12">
            <v>145659</v>
          </cell>
          <cell r="M12">
            <v>0.161443880968328</v>
          </cell>
          <cell r="N12">
            <v>260534</v>
          </cell>
          <cell r="O12">
            <v>157817</v>
          </cell>
        </row>
        <row r="13">
          <cell r="B13" t="str">
            <v>衢州江山专卖店</v>
          </cell>
          <cell r="C13" t="str">
            <v>加盟</v>
          </cell>
          <cell r="D13" t="str">
            <v>江山</v>
          </cell>
          <cell r="E13">
            <v>14986</v>
          </cell>
        </row>
        <row r="13">
          <cell r="G13">
            <v>-1</v>
          </cell>
          <cell r="H13">
            <v>9332</v>
          </cell>
        </row>
        <row r="13">
          <cell r="J13">
            <v>-1</v>
          </cell>
          <cell r="K13">
            <v>24318</v>
          </cell>
          <cell r="L13">
            <v>0</v>
          </cell>
          <cell r="M13">
            <v>-1</v>
          </cell>
        </row>
        <row r="14">
          <cell r="B14" t="str">
            <v>义乌市丰庆家电有限公司</v>
          </cell>
          <cell r="C14" t="str">
            <v>经销</v>
          </cell>
          <cell r="D14" t="str">
            <v>义乌</v>
          </cell>
        </row>
        <row r="14">
          <cell r="G14" t="e">
            <v>#DIV/0!</v>
          </cell>
        </row>
        <row r="14">
          <cell r="J14" t="e">
            <v>#DIV/0!</v>
          </cell>
          <cell r="K14">
            <v>0</v>
          </cell>
          <cell r="L14">
            <v>0</v>
          </cell>
          <cell r="M14" t="e">
            <v>#DIV/0!</v>
          </cell>
          <cell r="N14">
            <v>50000</v>
          </cell>
        </row>
        <row r="15">
          <cell r="B15" t="str">
            <v>龙游县荣泰五交化公司</v>
          </cell>
          <cell r="C15" t="str">
            <v>加盟</v>
          </cell>
          <cell r="D15" t="str">
            <v>龙游</v>
          </cell>
        </row>
        <row r="15">
          <cell r="G15" t="e">
            <v>#DIV/0!</v>
          </cell>
        </row>
        <row r="15">
          <cell r="J15" t="e">
            <v>#DIV/0!</v>
          </cell>
          <cell r="K15">
            <v>0</v>
          </cell>
          <cell r="L15">
            <v>0</v>
          </cell>
          <cell r="M15" t="e">
            <v>#DIV/0!</v>
          </cell>
        </row>
        <row r="16">
          <cell r="B16" t="str">
            <v>兰溪市小严家电经营部</v>
          </cell>
          <cell r="C16" t="str">
            <v>经销</v>
          </cell>
          <cell r="D16" t="str">
            <v>兰溪</v>
          </cell>
          <cell r="E16">
            <v>41515</v>
          </cell>
          <cell r="F16">
            <v>16546</v>
          </cell>
          <cell r="G16">
            <v>-0.601445260749127</v>
          </cell>
          <cell r="H16">
            <v>13104</v>
          </cell>
          <cell r="I16">
            <v>7154</v>
          </cell>
          <cell r="J16">
            <v>-0.454059829059829</v>
          </cell>
          <cell r="K16">
            <v>54619</v>
          </cell>
          <cell r="L16">
            <v>23700</v>
          </cell>
          <cell r="M16">
            <v>-0.566085061974771</v>
          </cell>
          <cell r="N16">
            <v>9688</v>
          </cell>
        </row>
        <row r="17">
          <cell r="B17" t="str">
            <v>金华金蝶零售</v>
          </cell>
          <cell r="C17" t="str">
            <v>零售</v>
          </cell>
          <cell r="D17" t="str">
            <v>金华</v>
          </cell>
          <cell r="E17">
            <v>18875</v>
          </cell>
          <cell r="F17">
            <v>-50</v>
          </cell>
          <cell r="G17">
            <v>-1.00264900662252</v>
          </cell>
          <cell r="H17">
            <v>4699</v>
          </cell>
        </row>
        <row r="17">
          <cell r="J17">
            <v>-1</v>
          </cell>
          <cell r="K17">
            <v>23574</v>
          </cell>
          <cell r="L17">
            <v>-50</v>
          </cell>
          <cell r="M17">
            <v>-1.00212098074149</v>
          </cell>
          <cell r="N17">
            <v>2553</v>
          </cell>
        </row>
        <row r="18">
          <cell r="B18" t="str">
            <v>义乌市中科电器商行</v>
          </cell>
          <cell r="C18" t="str">
            <v>经销</v>
          </cell>
          <cell r="D18" t="str">
            <v>义乌</v>
          </cell>
        </row>
        <row r="18">
          <cell r="G18" t="e">
            <v>#DIV/0!</v>
          </cell>
        </row>
        <row r="18">
          <cell r="J18" t="e">
            <v>#DIV/0!</v>
          </cell>
          <cell r="K18">
            <v>0</v>
          </cell>
          <cell r="L18">
            <v>0</v>
          </cell>
          <cell r="M18" t="e">
            <v>#DIV/0!</v>
          </cell>
        </row>
        <row r="19">
          <cell r="B19" t="str">
            <v>金华物美企业管理咨询有限公司</v>
          </cell>
          <cell r="C19" t="str">
            <v>经销</v>
          </cell>
          <cell r="D19" t="str">
            <v>婺城</v>
          </cell>
          <cell r="E19">
            <v>35291</v>
          </cell>
        </row>
        <row r="19">
          <cell r="G19">
            <v>-1</v>
          </cell>
          <cell r="H19">
            <v>35932</v>
          </cell>
        </row>
        <row r="19">
          <cell r="J19">
            <v>-1</v>
          </cell>
          <cell r="K19">
            <v>71223</v>
          </cell>
          <cell r="L19">
            <v>0</v>
          </cell>
          <cell r="M19">
            <v>-1</v>
          </cell>
          <cell r="N19">
            <v>26897</v>
          </cell>
        </row>
        <row r="20">
          <cell r="B20" t="str">
            <v>东阳汉宁东路专卖店</v>
          </cell>
          <cell r="C20" t="str">
            <v>直营</v>
          </cell>
          <cell r="D20" t="str">
            <v>东阳</v>
          </cell>
          <cell r="E20">
            <v>7769</v>
          </cell>
          <cell r="F20">
            <v>4776</v>
          </cell>
          <cell r="G20">
            <v>-0.385249066803964</v>
          </cell>
          <cell r="H20">
            <v>2944</v>
          </cell>
          <cell r="I20">
            <v>23611</v>
          </cell>
          <cell r="J20">
            <v>7.02004076086956</v>
          </cell>
          <cell r="K20">
            <v>10713</v>
          </cell>
          <cell r="L20">
            <v>28387</v>
          </cell>
          <cell r="M20">
            <v>1.64977130589004</v>
          </cell>
          <cell r="N20">
            <v>55315</v>
          </cell>
          <cell r="O20">
            <v>69265.9</v>
          </cell>
        </row>
        <row r="21">
          <cell r="B21" t="str">
            <v>浦江丰安电器有限公司</v>
          </cell>
          <cell r="C21" t="str">
            <v>经销</v>
          </cell>
          <cell r="D21" t="str">
            <v>浦江</v>
          </cell>
        </row>
        <row r="21">
          <cell r="G21" t="e">
            <v>#DIV/0!</v>
          </cell>
        </row>
        <row r="21">
          <cell r="J21" t="e">
            <v>#DIV/0!</v>
          </cell>
          <cell r="K21">
            <v>0</v>
          </cell>
          <cell r="L21">
            <v>0</v>
          </cell>
          <cell r="M21" t="e">
            <v>#DIV/0!</v>
          </cell>
        </row>
        <row r="21">
          <cell r="O21">
            <v>2240</v>
          </cell>
        </row>
        <row r="22">
          <cell r="B22" t="str">
            <v>磐安县洪昌家电商场</v>
          </cell>
          <cell r="C22" t="str">
            <v>经销</v>
          </cell>
          <cell r="D22" t="str">
            <v>磐安</v>
          </cell>
          <cell r="E22">
            <v>32246</v>
          </cell>
        </row>
        <row r="22">
          <cell r="G22">
            <v>-1</v>
          </cell>
        </row>
        <row r="22">
          <cell r="J22" t="e">
            <v>#DIV/0!</v>
          </cell>
          <cell r="K22">
            <v>32246</v>
          </cell>
          <cell r="L22">
            <v>0</v>
          </cell>
          <cell r="M22">
            <v>-1</v>
          </cell>
        </row>
        <row r="23">
          <cell r="B23" t="str">
            <v>义乌市钲天新能源有限公司</v>
          </cell>
          <cell r="C23" t="str">
            <v>暖通</v>
          </cell>
          <cell r="D23" t="str">
            <v>义乌</v>
          </cell>
        </row>
        <row r="23">
          <cell r="G23" t="e">
            <v>#DIV/0!</v>
          </cell>
        </row>
        <row r="23">
          <cell r="J23" t="e">
            <v>#DIV/0!</v>
          </cell>
          <cell r="K23">
            <v>0</v>
          </cell>
          <cell r="L23">
            <v>0</v>
          </cell>
          <cell r="M23" t="e">
            <v>#DIV/0!</v>
          </cell>
          <cell r="N23">
            <v>109431</v>
          </cell>
        </row>
        <row r="24">
          <cell r="B24" t="str">
            <v>武义大中家电有限公司</v>
          </cell>
          <cell r="C24" t="str">
            <v>经销</v>
          </cell>
          <cell r="D24" t="str">
            <v>武义</v>
          </cell>
          <cell r="E24">
            <v>3331</v>
          </cell>
        </row>
        <row r="24">
          <cell r="G24">
            <v>-1</v>
          </cell>
        </row>
        <row r="24">
          <cell r="J24" t="e">
            <v>#DIV/0!</v>
          </cell>
          <cell r="K24">
            <v>3331</v>
          </cell>
          <cell r="L24">
            <v>0</v>
          </cell>
          <cell r="M24">
            <v>-1</v>
          </cell>
        </row>
        <row r="25">
          <cell r="B25" t="str">
            <v>江山硕邦家电有限公司</v>
          </cell>
          <cell r="C25" t="str">
            <v>经销</v>
          </cell>
          <cell r="D25" t="str">
            <v>江山</v>
          </cell>
        </row>
        <row r="25">
          <cell r="G25" t="e">
            <v>#DIV/0!</v>
          </cell>
        </row>
        <row r="25">
          <cell r="J25" t="e">
            <v>#DIV/0!</v>
          </cell>
          <cell r="K25">
            <v>0</v>
          </cell>
          <cell r="L25">
            <v>0</v>
          </cell>
          <cell r="M25" t="e">
            <v>#DIV/0!</v>
          </cell>
        </row>
        <row r="26">
          <cell r="B26" t="str">
            <v>义乌丹溪路专卖店</v>
          </cell>
          <cell r="C26" t="str">
            <v>加盟</v>
          </cell>
          <cell r="D26" t="str">
            <v>义乌</v>
          </cell>
        </row>
        <row r="26">
          <cell r="F26">
            <v>5264</v>
          </cell>
          <cell r="G26" t="e">
            <v>#DIV/0!</v>
          </cell>
          <cell r="H26">
            <v>40000</v>
          </cell>
          <cell r="I26">
            <v>20852</v>
          </cell>
          <cell r="J26">
            <v>-0.4787</v>
          </cell>
          <cell r="K26">
            <v>40000</v>
          </cell>
          <cell r="L26">
            <v>26116</v>
          </cell>
          <cell r="M26">
            <v>-0.3471</v>
          </cell>
          <cell r="N26">
            <v>3100</v>
          </cell>
          <cell r="O26">
            <v>27673</v>
          </cell>
        </row>
        <row r="27">
          <cell r="B27" t="str">
            <v>金华市婺城区菱通家用电器商行</v>
          </cell>
          <cell r="C27" t="str">
            <v>经销</v>
          </cell>
          <cell r="D27" t="str">
            <v>婺城</v>
          </cell>
          <cell r="E27">
            <v>8551</v>
          </cell>
        </row>
        <row r="27">
          <cell r="G27">
            <v>-1</v>
          </cell>
        </row>
        <row r="27">
          <cell r="J27" t="e">
            <v>#DIV/0!</v>
          </cell>
          <cell r="K27">
            <v>8551</v>
          </cell>
          <cell r="L27">
            <v>0</v>
          </cell>
          <cell r="M27">
            <v>-1</v>
          </cell>
        </row>
        <row r="28">
          <cell r="B28" t="str">
            <v>东阳市大中商贸有限公司</v>
          </cell>
          <cell r="C28" t="str">
            <v>经销</v>
          </cell>
          <cell r="D28" t="str">
            <v>东阳</v>
          </cell>
        </row>
        <row r="28">
          <cell r="G28" t="e">
            <v>#DIV/0!</v>
          </cell>
        </row>
        <row r="28">
          <cell r="J28" t="e">
            <v>#DIV/0!</v>
          </cell>
          <cell r="K28">
            <v>0</v>
          </cell>
          <cell r="L28">
            <v>0</v>
          </cell>
          <cell r="M28" t="e">
            <v>#DIV/0!</v>
          </cell>
        </row>
        <row r="29">
          <cell r="B29" t="str">
            <v>金华市创佳机电工程有限公司</v>
          </cell>
        </row>
        <row r="29">
          <cell r="G29" t="e">
            <v>#DIV/0!</v>
          </cell>
        </row>
        <row r="29">
          <cell r="J29" t="e">
            <v>#DIV/0!</v>
          </cell>
          <cell r="K29">
            <v>0</v>
          </cell>
          <cell r="L29">
            <v>0</v>
          </cell>
          <cell r="M29" t="e">
            <v>#DIV/0!</v>
          </cell>
        </row>
        <row r="30">
          <cell r="B30" t="str">
            <v>浙江新隆环境设备有限公司</v>
          </cell>
          <cell r="C30" t="str">
            <v>经销</v>
          </cell>
          <cell r="D30" t="str">
            <v>婺城</v>
          </cell>
        </row>
        <row r="30">
          <cell r="G30" t="e">
            <v>#DIV/0!</v>
          </cell>
        </row>
        <row r="30">
          <cell r="J30" t="e">
            <v>#DIV/0!</v>
          </cell>
          <cell r="K30">
            <v>0</v>
          </cell>
          <cell r="L30">
            <v>0</v>
          </cell>
          <cell r="M30" t="e">
            <v>#DIV/0!</v>
          </cell>
          <cell r="N30">
            <v>29116</v>
          </cell>
        </row>
        <row r="31">
          <cell r="B31" t="str">
            <v>合计</v>
          </cell>
          <cell r="C31">
            <v>0</v>
          </cell>
        </row>
        <row r="31">
          <cell r="E31">
            <v>896215</v>
          </cell>
          <cell r="F31">
            <v>412436</v>
          </cell>
          <cell r="G31">
            <v>-0.539802391167298</v>
          </cell>
          <cell r="H31">
            <v>302700.79</v>
          </cell>
          <cell r="I31">
            <v>572995.98</v>
          </cell>
          <cell r="J31">
            <v>0.892945109261195</v>
          </cell>
          <cell r="K31">
            <v>1198915.79</v>
          </cell>
          <cell r="L31">
            <v>985431.98</v>
          </cell>
          <cell r="M31">
            <v>-0.178064057359692</v>
          </cell>
          <cell r="N31">
            <v>792831.43</v>
          </cell>
          <cell r="O31">
            <v>648482.45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汇总"/>
      <sheetName val="杭州"/>
      <sheetName val="杭州 (2)"/>
      <sheetName val="金华 "/>
      <sheetName val="金华  (2)"/>
      <sheetName val="温州"/>
      <sheetName val="嘉兴"/>
      <sheetName val="湖州"/>
      <sheetName val="台州"/>
      <sheetName val="绍兴"/>
      <sheetName val="家装"/>
      <sheetName val="Sheet1"/>
    </sheetNames>
    <sheetDataSet>
      <sheetData sheetId="0"/>
      <sheetData sheetId="1">
        <row r="1">
          <cell r="A1" t="str">
            <v>2023年杭州公司任务分解表</v>
          </cell>
        </row>
        <row r="2">
          <cell r="A2" t="str">
            <v>负责人</v>
          </cell>
          <cell r="B2" t="str">
            <v>区域</v>
          </cell>
          <cell r="C2" t="str">
            <v>1月</v>
          </cell>
          <cell r="D2" t="str">
            <v>2月</v>
          </cell>
          <cell r="E2" t="str">
            <v>3月</v>
          </cell>
        </row>
        <row r="3">
          <cell r="B3" t="str">
            <v>国美</v>
          </cell>
        </row>
        <row r="4">
          <cell r="B4" t="str">
            <v>2023完成</v>
          </cell>
        </row>
        <row r="5">
          <cell r="B5" t="str">
            <v>季度占比</v>
          </cell>
          <cell r="C5" t="e">
            <v>#DIV/0!</v>
          </cell>
        </row>
        <row r="6">
          <cell r="B6" t="str">
            <v>年度占比</v>
          </cell>
          <cell r="C6" t="e">
            <v>#DIV/0!</v>
          </cell>
        </row>
        <row r="7">
          <cell r="A7" t="str">
            <v>董培培</v>
          </cell>
          <cell r="B7" t="str">
            <v>五星</v>
          </cell>
          <cell r="C7">
            <v>20</v>
          </cell>
          <cell r="D7">
            <v>25</v>
          </cell>
          <cell r="E7">
            <v>35</v>
          </cell>
        </row>
        <row r="8">
          <cell r="B8" t="str">
            <v>2023完成</v>
          </cell>
        </row>
        <row r="9">
          <cell r="B9" t="str">
            <v>季度占比</v>
          </cell>
          <cell r="C9">
            <v>0.177777777777778</v>
          </cell>
        </row>
        <row r="10">
          <cell r="B10" t="str">
            <v>年度占比</v>
          </cell>
          <cell r="C10">
            <v>0.477777777777778</v>
          </cell>
        </row>
        <row r="11">
          <cell r="A11" t="str">
            <v>王灵武</v>
          </cell>
          <cell r="B11" t="str">
            <v>外围</v>
          </cell>
          <cell r="C11">
            <v>70</v>
          </cell>
          <cell r="D11">
            <v>90</v>
          </cell>
          <cell r="E11">
            <v>100</v>
          </cell>
        </row>
        <row r="12">
          <cell r="B12" t="str">
            <v>2023完成</v>
          </cell>
        </row>
        <row r="13">
          <cell r="B13" t="str">
            <v>季度占比</v>
          </cell>
          <cell r="C13">
            <v>0.216666666666667</v>
          </cell>
        </row>
        <row r="14">
          <cell r="B14" t="str">
            <v>年度占比</v>
          </cell>
          <cell r="C14">
            <v>0.458333333333333</v>
          </cell>
        </row>
        <row r="15">
          <cell r="A15" t="str">
            <v>童海平</v>
          </cell>
          <cell r="B15" t="str">
            <v>萧山</v>
          </cell>
          <cell r="C15">
            <v>46.7</v>
          </cell>
          <cell r="D15">
            <v>24</v>
          </cell>
          <cell r="E15">
            <v>60.3</v>
          </cell>
        </row>
        <row r="16">
          <cell r="B16" t="str">
            <v>2023完成</v>
          </cell>
        </row>
        <row r="17">
          <cell r="B17" t="str">
            <v>季度占比</v>
          </cell>
          <cell r="C17">
            <v>0.187142857142857</v>
          </cell>
        </row>
        <row r="18">
          <cell r="B18" t="str">
            <v>年度占比</v>
          </cell>
          <cell r="C18">
            <v>0.472857142857143</v>
          </cell>
        </row>
        <row r="19">
          <cell r="A19" t="str">
            <v>陈磊</v>
          </cell>
          <cell r="B19" t="str">
            <v>专卖店</v>
          </cell>
          <cell r="C19">
            <v>84</v>
          </cell>
          <cell r="D19">
            <v>112</v>
          </cell>
          <cell r="E19">
            <v>146</v>
          </cell>
        </row>
        <row r="20">
          <cell r="B20" t="str">
            <v>2023完成</v>
          </cell>
        </row>
        <row r="21">
          <cell r="B21" t="str">
            <v>季度占比</v>
          </cell>
          <cell r="C21">
            <v>0.207272727272727</v>
          </cell>
        </row>
        <row r="22">
          <cell r="B22" t="str">
            <v>年度占比</v>
          </cell>
          <cell r="C22">
            <v>0.475757575757576</v>
          </cell>
        </row>
        <row r="23">
          <cell r="B23" t="str">
            <v>金蝶零售</v>
          </cell>
        </row>
        <row r="24">
          <cell r="B24" t="str">
            <v>2023完成</v>
          </cell>
        </row>
        <row r="25">
          <cell r="B25" t="str">
            <v>季度占比</v>
          </cell>
          <cell r="C25" t="e">
            <v>#DIV/0!</v>
          </cell>
        </row>
        <row r="26">
          <cell r="B26" t="str">
            <v>年度占比</v>
          </cell>
          <cell r="C26" t="e">
            <v>#DIV/0!</v>
          </cell>
        </row>
        <row r="27">
          <cell r="A27" t="str">
            <v>陈雪君</v>
          </cell>
        </row>
        <row r="27">
          <cell r="C27">
            <v>220.7</v>
          </cell>
          <cell r="D27">
            <v>251</v>
          </cell>
          <cell r="E27">
            <v>341.3</v>
          </cell>
        </row>
        <row r="28">
          <cell r="B28" t="str">
            <v>2023完成</v>
          </cell>
        </row>
        <row r="29">
          <cell r="B29" t="str">
            <v>季度占比</v>
          </cell>
          <cell r="C29">
            <v>0.20325</v>
          </cell>
        </row>
        <row r="30">
          <cell r="B30" t="str">
            <v>年度占比</v>
          </cell>
          <cell r="C30">
            <v>0.47025</v>
          </cell>
        </row>
        <row r="33">
          <cell r="B33" t="str">
            <v>地区</v>
          </cell>
          <cell r="C33" t="str">
            <v>月份</v>
          </cell>
          <cell r="D33" t="str">
            <v>1月</v>
          </cell>
          <cell r="E33" t="str">
            <v>2月</v>
          </cell>
        </row>
        <row r="34">
          <cell r="C34" t="str">
            <v>预算分解比例</v>
          </cell>
        </row>
        <row r="35">
          <cell r="B35">
            <v>4000</v>
          </cell>
        </row>
        <row r="35">
          <cell r="D35">
            <v>220.7</v>
          </cell>
          <cell r="E35">
            <v>251</v>
          </cell>
        </row>
        <row r="36">
          <cell r="B36" t="str">
            <v>月度比例</v>
          </cell>
        </row>
        <row r="36">
          <cell r="D36">
            <v>0.055175</v>
          </cell>
          <cell r="E36">
            <v>0.06275</v>
          </cell>
        </row>
        <row r="37">
          <cell r="B37" t="str">
            <v>季度比例</v>
          </cell>
        </row>
        <row r="37">
          <cell r="D37">
            <v>0.20325</v>
          </cell>
        </row>
      </sheetData>
      <sheetData sheetId="2"/>
      <sheetData sheetId="3">
        <row r="1">
          <cell r="A1" t="str">
            <v>2023年金华公司任务分解表 任务1100万</v>
          </cell>
        </row>
        <row r="2">
          <cell r="A2" t="str">
            <v>负责人</v>
          </cell>
          <cell r="B2" t="str">
            <v>区域</v>
          </cell>
          <cell r="C2" t="str">
            <v>1月</v>
          </cell>
          <cell r="D2" t="str">
            <v>2月</v>
          </cell>
          <cell r="E2" t="str">
            <v>3月</v>
          </cell>
        </row>
        <row r="3">
          <cell r="A3" t="str">
            <v>张韵威</v>
          </cell>
          <cell r="B3" t="str">
            <v>金华</v>
          </cell>
          <cell r="C3">
            <v>24</v>
          </cell>
          <cell r="D3">
            <v>28.8</v>
          </cell>
          <cell r="E3">
            <v>43.2</v>
          </cell>
        </row>
        <row r="4">
          <cell r="B4" t="str">
            <v>2023完成</v>
          </cell>
        </row>
        <row r="5">
          <cell r="B5" t="str">
            <v>季度占比</v>
          </cell>
          <cell r="C5">
            <v>0.2</v>
          </cell>
        </row>
        <row r="6">
          <cell r="B6" t="str">
            <v>年度占比</v>
          </cell>
          <cell r="C6">
            <v>0.46</v>
          </cell>
        </row>
        <row r="7">
          <cell r="A7" t="str">
            <v>王杰文</v>
          </cell>
          <cell r="B7" t="str">
            <v>义乌</v>
          </cell>
          <cell r="C7">
            <v>17.5</v>
          </cell>
          <cell r="D7">
            <v>21</v>
          </cell>
          <cell r="E7">
            <v>31.5</v>
          </cell>
        </row>
        <row r="8">
          <cell r="B8" t="str">
            <v>2023完成</v>
          </cell>
        </row>
        <row r="9">
          <cell r="B9" t="str">
            <v>季度占比</v>
          </cell>
          <cell r="C9">
            <v>0.2</v>
          </cell>
        </row>
        <row r="10">
          <cell r="B10" t="str">
            <v>年度占比</v>
          </cell>
          <cell r="C10">
            <v>0.46</v>
          </cell>
        </row>
        <row r="11">
          <cell r="A11" t="str">
            <v>陈实</v>
          </cell>
          <cell r="B11" t="str">
            <v>衢州</v>
          </cell>
          <cell r="C11">
            <v>13.5</v>
          </cell>
          <cell r="D11">
            <v>16.2</v>
          </cell>
          <cell r="E11">
            <v>24.3</v>
          </cell>
        </row>
        <row r="12">
          <cell r="B12" t="str">
            <v>2023完成</v>
          </cell>
        </row>
        <row r="13">
          <cell r="B13" t="str">
            <v>季度占比</v>
          </cell>
          <cell r="C13">
            <v>0.2</v>
          </cell>
        </row>
        <row r="14">
          <cell r="B14" t="str">
            <v>年度占比</v>
          </cell>
          <cell r="C14">
            <v>0.46</v>
          </cell>
        </row>
        <row r="15">
          <cell r="A15" t="str">
            <v>杨华才</v>
          </cell>
          <cell r="B15" t="str">
            <v>永康武义+零售</v>
          </cell>
          <cell r="C15">
            <v>1.5</v>
          </cell>
          <cell r="D15">
            <v>0.9</v>
          </cell>
          <cell r="E15">
            <v>2.4</v>
          </cell>
        </row>
        <row r="16">
          <cell r="B16" t="str">
            <v>2023完成</v>
          </cell>
        </row>
        <row r="17">
          <cell r="B17" t="str">
            <v>季度占比</v>
          </cell>
          <cell r="C17">
            <v>0.16</v>
          </cell>
        </row>
        <row r="18">
          <cell r="B18" t="str">
            <v>年度占比</v>
          </cell>
          <cell r="C18">
            <v>0.43</v>
          </cell>
        </row>
        <row r="19">
          <cell r="A19" t="str">
            <v>分部</v>
          </cell>
        </row>
        <row r="19">
          <cell r="C19">
            <v>55</v>
          </cell>
          <cell r="D19">
            <v>66</v>
          </cell>
          <cell r="E19">
            <v>99</v>
          </cell>
        </row>
        <row r="20">
          <cell r="B20" t="str">
            <v>2023完成</v>
          </cell>
        </row>
        <row r="21">
          <cell r="B21" t="str">
            <v>季度占比</v>
          </cell>
          <cell r="C21">
            <v>0.2</v>
          </cell>
        </row>
        <row r="22">
          <cell r="B22" t="str">
            <v>年度占比</v>
          </cell>
          <cell r="C22">
            <v>0.46</v>
          </cell>
        </row>
        <row r="23">
          <cell r="A23" t="str">
            <v>总体任务中只含了金华、义乌、衢州</v>
          </cell>
        </row>
        <row r="25">
          <cell r="B25" t="str">
            <v>地区</v>
          </cell>
          <cell r="C25" t="str">
            <v>月份</v>
          </cell>
          <cell r="D25" t="str">
            <v>1月</v>
          </cell>
          <cell r="E25" t="str">
            <v>2月</v>
          </cell>
        </row>
        <row r="26">
          <cell r="C26" t="str">
            <v>预算分解比例</v>
          </cell>
        </row>
        <row r="27">
          <cell r="B27">
            <v>1100</v>
          </cell>
        </row>
        <row r="27">
          <cell r="D27">
            <v>55</v>
          </cell>
          <cell r="E27">
            <v>66</v>
          </cell>
        </row>
        <row r="28">
          <cell r="B28" t="str">
            <v>月度比例</v>
          </cell>
        </row>
        <row r="28">
          <cell r="D28">
            <v>0.05</v>
          </cell>
          <cell r="E28">
            <v>0.06</v>
          </cell>
        </row>
        <row r="29">
          <cell r="B29" t="str">
            <v>季度比例</v>
          </cell>
        </row>
        <row r="29">
          <cell r="D29">
            <v>0.2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汇总1"/>
      <sheetName val="杭州"/>
      <sheetName val="湖州"/>
      <sheetName val="嘉兴"/>
      <sheetName val="金衢"/>
      <sheetName val="绍兴"/>
      <sheetName val="台州"/>
      <sheetName val="壁挂炉电商"/>
      <sheetName val="温丽"/>
      <sheetName val="Sheet3"/>
      <sheetName val="汇总"/>
      <sheetName val="Sheet4"/>
      <sheetName val="23年人口数据"/>
      <sheetName val="Sheet2"/>
      <sheetName val="Sheet1"/>
    </sheetNames>
    <sheetDataSet>
      <sheetData sheetId="0"/>
      <sheetData sheetId="1"/>
      <sheetData sheetId="2"/>
      <sheetData sheetId="3"/>
      <sheetData sheetId="4">
        <row r="1">
          <cell r="C1" t="str">
            <v>系统名称</v>
          </cell>
          <cell r="D1" t="str">
            <v>渠道</v>
          </cell>
          <cell r="E1" t="str">
            <v>大区</v>
          </cell>
          <cell r="F1" t="str">
            <v>市/区/县</v>
          </cell>
          <cell r="G1" t="str">
            <v>业务员</v>
          </cell>
          <cell r="H1" t="str">
            <v>1月</v>
          </cell>
        </row>
        <row r="1">
          <cell r="J1" t="str">
            <v>同比</v>
          </cell>
          <cell r="K1" t="str">
            <v>2月</v>
          </cell>
        </row>
        <row r="1">
          <cell r="M1" t="str">
            <v>同比</v>
          </cell>
          <cell r="N1" t="str">
            <v>3月</v>
          </cell>
        </row>
        <row r="1">
          <cell r="P1" t="str">
            <v>同比</v>
          </cell>
          <cell r="Q1" t="str">
            <v>Q1</v>
          </cell>
        </row>
        <row r="1">
          <cell r="S1" t="str">
            <v>同比</v>
          </cell>
          <cell r="T1" t="str">
            <v>4月</v>
          </cell>
        </row>
        <row r="1">
          <cell r="V1" t="str">
            <v>同比</v>
          </cell>
          <cell r="W1" t="str">
            <v>1-4月</v>
          </cell>
        </row>
        <row r="1">
          <cell r="Y1" t="str">
            <v>同比</v>
          </cell>
          <cell r="Z1" t="str">
            <v>5月</v>
          </cell>
        </row>
        <row r="1">
          <cell r="AB1" t="str">
            <v>同比</v>
          </cell>
          <cell r="AC1" t="str">
            <v>1-5月</v>
          </cell>
        </row>
        <row r="1">
          <cell r="AE1" t="str">
            <v>同比</v>
          </cell>
          <cell r="AF1" t="str">
            <v>6月</v>
          </cell>
        </row>
        <row r="2">
          <cell r="H2" t="str">
            <v>2023年</v>
          </cell>
          <cell r="I2" t="str">
            <v>2024年</v>
          </cell>
        </row>
        <row r="2">
          <cell r="K2" t="str">
            <v>2023年</v>
          </cell>
          <cell r="L2" t="str">
            <v>2024年</v>
          </cell>
        </row>
        <row r="2">
          <cell r="N2" t="str">
            <v>2023年</v>
          </cell>
          <cell r="O2" t="str">
            <v>2024年</v>
          </cell>
        </row>
        <row r="2">
          <cell r="Q2" t="str">
            <v>2023年</v>
          </cell>
          <cell r="R2" t="str">
            <v>2024年</v>
          </cell>
        </row>
        <row r="2">
          <cell r="T2" t="str">
            <v>2023年</v>
          </cell>
          <cell r="U2" t="str">
            <v>2024年</v>
          </cell>
        </row>
        <row r="2">
          <cell r="W2" t="str">
            <v>2023年</v>
          </cell>
          <cell r="X2" t="str">
            <v>2024年</v>
          </cell>
        </row>
        <row r="2">
          <cell r="Z2" t="str">
            <v>2023年</v>
          </cell>
          <cell r="AA2" t="str">
            <v>2024年</v>
          </cell>
        </row>
        <row r="2">
          <cell r="AC2" t="str">
            <v>2023年</v>
          </cell>
          <cell r="AD2" t="str">
            <v>2024年</v>
          </cell>
        </row>
        <row r="2">
          <cell r="AF2" t="str">
            <v>2023年</v>
          </cell>
          <cell r="AG2" t="str">
            <v>2024年</v>
          </cell>
        </row>
        <row r="3">
          <cell r="C3" t="str">
            <v>义乌市荣昌家电维修部</v>
          </cell>
          <cell r="D3" t="str">
            <v>加盟</v>
          </cell>
          <cell r="E3" t="str">
            <v>义乌市</v>
          </cell>
          <cell r="F3" t="str">
            <v>义乌市</v>
          </cell>
          <cell r="G3" t="str">
            <v>张韵威</v>
          </cell>
          <cell r="H3">
            <v>72000</v>
          </cell>
          <cell r="I3">
            <v>365000</v>
          </cell>
          <cell r="J3">
            <v>4.06944444444444</v>
          </cell>
          <cell r="K3">
            <v>100500</v>
          </cell>
          <cell r="L3">
            <v>30000</v>
          </cell>
          <cell r="M3">
            <v>-0.701492537313433</v>
          </cell>
          <cell r="N3">
            <v>131000</v>
          </cell>
          <cell r="O3">
            <v>148000</v>
          </cell>
          <cell r="P3">
            <v>0.129770992366412</v>
          </cell>
          <cell r="Q3">
            <v>303500</v>
          </cell>
          <cell r="R3">
            <v>543000</v>
          </cell>
          <cell r="S3">
            <v>0.789126853377265</v>
          </cell>
          <cell r="T3">
            <v>110500</v>
          </cell>
          <cell r="U3">
            <v>115000</v>
          </cell>
          <cell r="V3">
            <v>0.0407239819004526</v>
          </cell>
          <cell r="W3">
            <v>414000</v>
          </cell>
          <cell r="X3">
            <v>658000</v>
          </cell>
          <cell r="Y3">
            <v>0.589371980676328</v>
          </cell>
          <cell r="Z3">
            <v>161500</v>
          </cell>
          <cell r="AA3">
            <v>171600</v>
          </cell>
          <cell r="AB3">
            <v>0.0625386996904025</v>
          </cell>
          <cell r="AC3">
            <v>575500</v>
          </cell>
          <cell r="AD3">
            <v>829600</v>
          </cell>
          <cell r="AE3">
            <v>0.441529105125977</v>
          </cell>
          <cell r="AF3">
            <v>219754.66</v>
          </cell>
          <cell r="AG3">
            <v>165430.3</v>
          </cell>
        </row>
        <row r="4">
          <cell r="C4" t="str">
            <v>义乌市爱坤节能设备有限公司</v>
          </cell>
          <cell r="D4" t="str">
            <v>经销</v>
          </cell>
          <cell r="E4" t="str">
            <v>义乌市</v>
          </cell>
          <cell r="F4" t="str">
            <v>义乌市</v>
          </cell>
          <cell r="G4" t="str">
            <v>张韵威</v>
          </cell>
        </row>
        <row r="4">
          <cell r="J4" t="e">
            <v>#DIV/0!</v>
          </cell>
          <cell r="K4">
            <v>9518</v>
          </cell>
        </row>
        <row r="4">
          <cell r="M4">
            <v>-1</v>
          </cell>
        </row>
        <row r="4">
          <cell r="P4" t="e">
            <v>#DIV/0!</v>
          </cell>
          <cell r="Q4">
            <v>9518</v>
          </cell>
          <cell r="R4">
            <v>0</v>
          </cell>
          <cell r="S4">
            <v>-1</v>
          </cell>
        </row>
        <row r="4">
          <cell r="V4" t="e">
            <v>#DIV/0!</v>
          </cell>
          <cell r="W4">
            <v>9518</v>
          </cell>
          <cell r="X4">
            <v>0</v>
          </cell>
          <cell r="Y4">
            <v>-1</v>
          </cell>
        </row>
        <row r="4">
          <cell r="AB4" t="e">
            <v>#DIV/0!</v>
          </cell>
          <cell r="AC4">
            <v>9518</v>
          </cell>
          <cell r="AD4">
            <v>0</v>
          </cell>
          <cell r="AE4">
            <v>-1</v>
          </cell>
        </row>
        <row r="5">
          <cell r="C5" t="str">
            <v>浙江普农家电有限公司</v>
          </cell>
          <cell r="D5" t="str">
            <v>TOP渠道</v>
          </cell>
          <cell r="E5" t="str">
            <v>衢州市区</v>
          </cell>
          <cell r="F5" t="str">
            <v>衢州市</v>
          </cell>
          <cell r="G5" t="str">
            <v>江雯</v>
          </cell>
          <cell r="H5">
            <v>171360</v>
          </cell>
          <cell r="I5">
            <v>203140.4</v>
          </cell>
          <cell r="J5">
            <v>0.185459850606909</v>
          </cell>
          <cell r="K5">
            <v>70132</v>
          </cell>
          <cell r="L5">
            <v>108325</v>
          </cell>
          <cell r="M5">
            <v>0.544587349569383</v>
          </cell>
          <cell r="N5">
            <v>85306</v>
          </cell>
          <cell r="O5">
            <v>64094</v>
          </cell>
          <cell r="P5">
            <v>-0.248657773192976</v>
          </cell>
          <cell r="Q5">
            <v>326798</v>
          </cell>
          <cell r="R5">
            <v>375559.4</v>
          </cell>
          <cell r="S5">
            <v>0.149209603485946</v>
          </cell>
          <cell r="T5">
            <v>65302</v>
          </cell>
          <cell r="U5">
            <v>66218</v>
          </cell>
          <cell r="V5">
            <v>0.014027135462926</v>
          </cell>
          <cell r="W5">
            <v>392100</v>
          </cell>
          <cell r="X5">
            <v>441777.4</v>
          </cell>
          <cell r="Y5">
            <v>0.126695740882428</v>
          </cell>
          <cell r="Z5">
            <v>61011</v>
          </cell>
          <cell r="AA5">
            <v>62805</v>
          </cell>
          <cell r="AB5">
            <v>0.0294045336086934</v>
          </cell>
          <cell r="AC5">
            <v>453111</v>
          </cell>
          <cell r="AD5">
            <v>504582.4</v>
          </cell>
          <cell r="AE5">
            <v>0.11359556488366</v>
          </cell>
          <cell r="AF5">
            <v>128804</v>
          </cell>
          <cell r="AG5">
            <v>109740</v>
          </cell>
        </row>
        <row r="6">
          <cell r="C6" t="str">
            <v>金华五星</v>
          </cell>
          <cell r="D6" t="str">
            <v>五星</v>
          </cell>
          <cell r="E6" t="str">
            <v>金华市区</v>
          </cell>
          <cell r="F6" t="str">
            <v>市区</v>
          </cell>
          <cell r="G6" t="str">
            <v>潘杏</v>
          </cell>
        </row>
        <row r="6">
          <cell r="I6">
            <v>97567.31</v>
          </cell>
          <cell r="J6" t="e">
            <v>#DIV/0!</v>
          </cell>
          <cell r="K6">
            <v>173256.98</v>
          </cell>
        </row>
        <row r="6">
          <cell r="M6">
            <v>-1</v>
          </cell>
          <cell r="N6">
            <v>54981.65</v>
          </cell>
        </row>
        <row r="6">
          <cell r="P6">
            <v>-1</v>
          </cell>
          <cell r="Q6">
            <v>228238.63</v>
          </cell>
          <cell r="R6">
            <v>97567.31</v>
          </cell>
          <cell r="S6">
            <v>-0.572520611431991</v>
          </cell>
          <cell r="T6">
            <v>87089.25</v>
          </cell>
          <cell r="U6">
            <v>240583.45</v>
          </cell>
          <cell r="V6">
            <v>1.76249307463321</v>
          </cell>
          <cell r="W6">
            <v>315327.88</v>
          </cell>
          <cell r="X6">
            <v>338150.76</v>
          </cell>
          <cell r="Y6">
            <v>0.0723782495857963</v>
          </cell>
          <cell r="Z6">
            <v>60317.47</v>
          </cell>
          <cell r="AA6">
            <v>100835.81</v>
          </cell>
          <cell r="AB6">
            <v>0.671751318482025</v>
          </cell>
          <cell r="AC6">
            <v>375645.35</v>
          </cell>
          <cell r="AD6">
            <v>438986.57</v>
          </cell>
          <cell r="AE6">
            <v>0.168619736674499</v>
          </cell>
        </row>
        <row r="6">
          <cell r="AG6">
            <v>64337.91</v>
          </cell>
        </row>
        <row r="7">
          <cell r="C7" t="str">
            <v>金华国美</v>
          </cell>
          <cell r="D7" t="str">
            <v>国美</v>
          </cell>
          <cell r="E7" t="str">
            <v>金华市区</v>
          </cell>
          <cell r="F7" t="str">
            <v>市区</v>
          </cell>
          <cell r="G7" t="str">
            <v>潘杏</v>
          </cell>
        </row>
        <row r="7">
          <cell r="J7" t="e">
            <v>#DIV/0!</v>
          </cell>
        </row>
        <row r="7">
          <cell r="M7" t="e">
            <v>#DIV/0!</v>
          </cell>
        </row>
        <row r="7">
          <cell r="P7" t="e">
            <v>#DIV/0!</v>
          </cell>
          <cell r="Q7">
            <v>0</v>
          </cell>
          <cell r="R7">
            <v>0</v>
          </cell>
          <cell r="S7" t="e">
            <v>#DIV/0!</v>
          </cell>
        </row>
        <row r="7">
          <cell r="V7" t="e">
            <v>#DIV/0!</v>
          </cell>
          <cell r="W7">
            <v>0</v>
          </cell>
          <cell r="X7">
            <v>0</v>
          </cell>
          <cell r="Y7" t="e">
            <v>#DIV/0!</v>
          </cell>
        </row>
        <row r="7">
          <cell r="AB7" t="e">
            <v>#DIV/0!</v>
          </cell>
          <cell r="AC7">
            <v>0</v>
          </cell>
          <cell r="AD7">
            <v>0</v>
          </cell>
          <cell r="AE7" t="e">
            <v>#DIV/0!</v>
          </cell>
        </row>
        <row r="8">
          <cell r="C8" t="str">
            <v>（新）金华八一南街专卖店</v>
          </cell>
          <cell r="D8" t="str">
            <v>直营</v>
          </cell>
          <cell r="E8" t="str">
            <v>金华市区</v>
          </cell>
          <cell r="F8" t="str">
            <v>婺城区</v>
          </cell>
          <cell r="G8" t="str">
            <v>杨华才</v>
          </cell>
          <cell r="H8">
            <v>31072</v>
          </cell>
          <cell r="I8">
            <v>17958</v>
          </cell>
          <cell r="J8">
            <v>-0.422052008238929</v>
          </cell>
          <cell r="K8">
            <v>42511</v>
          </cell>
          <cell r="L8">
            <v>3966</v>
          </cell>
          <cell r="M8">
            <v>-0.906706499494249</v>
          </cell>
          <cell r="N8">
            <v>25944.9</v>
          </cell>
          <cell r="O8">
            <v>6800</v>
          </cell>
          <cell r="P8">
            <v>-0.737906101006363</v>
          </cell>
          <cell r="Q8">
            <v>99527.9</v>
          </cell>
          <cell r="R8">
            <v>28724</v>
          </cell>
          <cell r="S8">
            <v>-0.711397507633538</v>
          </cell>
          <cell r="T8">
            <v>20300</v>
          </cell>
        </row>
        <row r="8">
          <cell r="V8">
            <v>-1</v>
          </cell>
          <cell r="W8">
            <v>119827.9</v>
          </cell>
          <cell r="X8">
            <v>28724</v>
          </cell>
          <cell r="Y8">
            <v>-0.760289548594276</v>
          </cell>
          <cell r="Z8">
            <v>21103</v>
          </cell>
        </row>
        <row r="8">
          <cell r="AB8">
            <v>-1</v>
          </cell>
          <cell r="AC8">
            <v>140930.9</v>
          </cell>
          <cell r="AD8">
            <v>28724</v>
          </cell>
          <cell r="AE8">
            <v>-0.796183803551954</v>
          </cell>
          <cell r="AF8">
            <v>7231</v>
          </cell>
        </row>
        <row r="9">
          <cell r="C9" t="str">
            <v>衢州市柯城汇鑫家用电器商行</v>
          </cell>
          <cell r="D9" t="str">
            <v>加盟</v>
          </cell>
          <cell r="E9" t="str">
            <v>衢州市区</v>
          </cell>
          <cell r="F9" t="str">
            <v>柯城区</v>
          </cell>
          <cell r="G9" t="str">
            <v>江雯</v>
          </cell>
          <cell r="H9">
            <v>21300</v>
          </cell>
          <cell r="I9">
            <v>25400</v>
          </cell>
          <cell r="J9">
            <v>0.192488262910798</v>
          </cell>
          <cell r="K9">
            <v>23900</v>
          </cell>
          <cell r="L9">
            <v>10400</v>
          </cell>
          <cell r="M9">
            <v>-0.564853556485356</v>
          </cell>
          <cell r="N9">
            <v>80450</v>
          </cell>
          <cell r="O9">
            <v>30900</v>
          </cell>
          <cell r="P9">
            <v>-0.615910503418272</v>
          </cell>
          <cell r="Q9">
            <v>125650</v>
          </cell>
          <cell r="R9">
            <v>66700</v>
          </cell>
          <cell r="S9">
            <v>-0.469160366096299</v>
          </cell>
          <cell r="T9">
            <v>45410</v>
          </cell>
          <cell r="U9">
            <v>32900</v>
          </cell>
          <cell r="V9">
            <v>-0.275489980180577</v>
          </cell>
          <cell r="W9">
            <v>171060</v>
          </cell>
          <cell r="X9">
            <v>99600</v>
          </cell>
          <cell r="Y9">
            <v>-0.417748158540863</v>
          </cell>
          <cell r="Z9">
            <v>88770</v>
          </cell>
          <cell r="AA9">
            <v>65953</v>
          </cell>
          <cell r="AB9">
            <v>-0.257035034358454</v>
          </cell>
          <cell r="AC9">
            <v>259830</v>
          </cell>
          <cell r="AD9">
            <v>165553</v>
          </cell>
          <cell r="AE9">
            <v>-0.362841088403956</v>
          </cell>
          <cell r="AF9">
            <v>46100</v>
          </cell>
          <cell r="AG9">
            <v>14600</v>
          </cell>
        </row>
        <row r="10">
          <cell r="C10" t="str">
            <v>东阳市国美电器有限公司</v>
          </cell>
          <cell r="D10" t="str">
            <v>经销</v>
          </cell>
          <cell r="E10" t="str">
            <v>东阳市</v>
          </cell>
          <cell r="F10" t="str">
            <v>东阳市</v>
          </cell>
          <cell r="G10" t="str">
            <v>张韵威</v>
          </cell>
          <cell r="H10">
            <v>30000</v>
          </cell>
          <cell r="I10">
            <v>25000</v>
          </cell>
          <cell r="J10">
            <v>-0.166666666666667</v>
          </cell>
        </row>
        <row r="10">
          <cell r="M10" t="e">
            <v>#DIV/0!</v>
          </cell>
        </row>
        <row r="10">
          <cell r="P10" t="e">
            <v>#DIV/0!</v>
          </cell>
          <cell r="Q10">
            <v>30000</v>
          </cell>
          <cell r="R10">
            <v>25000</v>
          </cell>
          <cell r="S10">
            <v>-0.166666666666667</v>
          </cell>
        </row>
        <row r="10">
          <cell r="U10">
            <v>800</v>
          </cell>
          <cell r="V10" t="e">
            <v>#DIV/0!</v>
          </cell>
          <cell r="W10">
            <v>30000</v>
          </cell>
          <cell r="X10">
            <v>25800</v>
          </cell>
          <cell r="Y10">
            <v>-0.14</v>
          </cell>
        </row>
        <row r="10">
          <cell r="AA10">
            <v>18078</v>
          </cell>
          <cell r="AB10" t="e">
            <v>#DIV/0!</v>
          </cell>
          <cell r="AC10">
            <v>30000</v>
          </cell>
          <cell r="AD10">
            <v>43878</v>
          </cell>
          <cell r="AE10">
            <v>0.4626</v>
          </cell>
        </row>
        <row r="11">
          <cell r="C11" t="str">
            <v>兰溪市福祥家电经营部</v>
          </cell>
          <cell r="D11" t="str">
            <v>加盟</v>
          </cell>
          <cell r="E11" t="str">
            <v>兰溪市</v>
          </cell>
          <cell r="F11" t="str">
            <v>兰溪市</v>
          </cell>
          <cell r="G11" t="str">
            <v>潘杏</v>
          </cell>
          <cell r="H11">
            <v>8727</v>
          </cell>
          <cell r="I11">
            <v>149023</v>
          </cell>
          <cell r="J11">
            <v>16.0760857110118</v>
          </cell>
          <cell r="K11">
            <v>7343</v>
          </cell>
          <cell r="L11">
            <v>3015</v>
          </cell>
          <cell r="M11">
            <v>-0.589404875391529</v>
          </cell>
          <cell r="N11">
            <v>13804</v>
          </cell>
          <cell r="O11">
            <v>19327</v>
          </cell>
          <cell r="P11">
            <v>0.400101419878296</v>
          </cell>
          <cell r="Q11">
            <v>29874</v>
          </cell>
          <cell r="R11">
            <v>171365</v>
          </cell>
          <cell r="S11">
            <v>4.73625895427462</v>
          </cell>
          <cell r="T11">
            <v>-849</v>
          </cell>
          <cell r="U11">
            <v>13493</v>
          </cell>
          <cell r="V11">
            <v>-16.8928150765607</v>
          </cell>
          <cell r="W11">
            <v>29025</v>
          </cell>
          <cell r="X11">
            <v>184858</v>
          </cell>
          <cell r="Y11">
            <v>5.3689233419466</v>
          </cell>
        </row>
        <row r="11">
          <cell r="AA11">
            <v>36809</v>
          </cell>
          <cell r="AB11" t="e">
            <v>#DIV/0!</v>
          </cell>
          <cell r="AC11">
            <v>29025</v>
          </cell>
          <cell r="AD11">
            <v>221667</v>
          </cell>
          <cell r="AE11">
            <v>6.63710594315245</v>
          </cell>
          <cell r="AF11">
            <v>15043</v>
          </cell>
          <cell r="AG11">
            <v>34615</v>
          </cell>
        </row>
        <row r="12">
          <cell r="C12" t="str">
            <v>金华龙腾建材市场专卖店</v>
          </cell>
          <cell r="D12" t="str">
            <v>直营</v>
          </cell>
          <cell r="E12" t="str">
            <v>金华市区</v>
          </cell>
          <cell r="F12" t="str">
            <v>婺城区</v>
          </cell>
          <cell r="G12" t="str">
            <v>杨华才</v>
          </cell>
          <cell r="H12">
            <v>51441</v>
          </cell>
          <cell r="I12">
            <v>84544</v>
          </cell>
          <cell r="J12">
            <v>0.643513928578371</v>
          </cell>
          <cell r="K12">
            <v>94218</v>
          </cell>
          <cell r="L12">
            <v>15592</v>
          </cell>
          <cell r="M12">
            <v>-0.83451145216413</v>
          </cell>
          <cell r="N12">
            <v>157817</v>
          </cell>
          <cell r="O12">
            <v>40421</v>
          </cell>
          <cell r="P12">
            <v>-0.743874234081246</v>
          </cell>
          <cell r="Q12">
            <v>303476</v>
          </cell>
          <cell r="R12">
            <v>140557</v>
          </cell>
          <cell r="S12">
            <v>-0.536843111152117</v>
          </cell>
          <cell r="T12">
            <v>89841</v>
          </cell>
          <cell r="U12">
            <v>95170</v>
          </cell>
          <cell r="V12">
            <v>0.0593159025389298</v>
          </cell>
          <cell r="W12">
            <v>393317</v>
          </cell>
          <cell r="X12">
            <v>235727</v>
          </cell>
          <cell r="Y12">
            <v>-0.40066918033037</v>
          </cell>
          <cell r="Z12">
            <v>233247.9</v>
          </cell>
          <cell r="AA12">
            <v>66978</v>
          </cell>
          <cell r="AB12">
            <v>-0.712846289291351</v>
          </cell>
          <cell r="AC12">
            <v>626564.9</v>
          </cell>
          <cell r="AD12">
            <v>302705</v>
          </cell>
          <cell r="AE12">
            <v>-0.516881651046843</v>
          </cell>
          <cell r="AF12">
            <v>145756</v>
          </cell>
          <cell r="AG12">
            <v>187833</v>
          </cell>
        </row>
        <row r="13">
          <cell r="C13" t="str">
            <v>衢州江山专卖店</v>
          </cell>
          <cell r="D13" t="str">
            <v>经销</v>
          </cell>
          <cell r="E13" t="str">
            <v>江山市</v>
          </cell>
          <cell r="F13" t="str">
            <v>江山市</v>
          </cell>
          <cell r="G13" t="str">
            <v>江雯</v>
          </cell>
        </row>
        <row r="13">
          <cell r="J13" t="e">
            <v>#DIV/0!</v>
          </cell>
        </row>
        <row r="13">
          <cell r="M13" t="e">
            <v>#DIV/0!</v>
          </cell>
        </row>
        <row r="13">
          <cell r="P13" t="e">
            <v>#DIV/0!</v>
          </cell>
          <cell r="Q13">
            <v>0</v>
          </cell>
          <cell r="R13">
            <v>0</v>
          </cell>
          <cell r="S13" t="e">
            <v>#DIV/0!</v>
          </cell>
        </row>
        <row r="13">
          <cell r="V13" t="e">
            <v>#DIV/0!</v>
          </cell>
          <cell r="W13">
            <v>0</v>
          </cell>
          <cell r="X13">
            <v>0</v>
          </cell>
          <cell r="Y13" t="e">
            <v>#DIV/0!</v>
          </cell>
        </row>
        <row r="13">
          <cell r="AB13" t="e">
            <v>#DIV/0!</v>
          </cell>
          <cell r="AC13">
            <v>0</v>
          </cell>
          <cell r="AD13">
            <v>0</v>
          </cell>
          <cell r="AE13" t="e">
            <v>#DIV/0!</v>
          </cell>
        </row>
        <row r="14">
          <cell r="C14" t="str">
            <v>义乌市丰庆家电有限公司</v>
          </cell>
          <cell r="D14" t="str">
            <v>经销</v>
          </cell>
          <cell r="E14" t="str">
            <v>义乌市</v>
          </cell>
          <cell r="F14" t="str">
            <v>义乌市</v>
          </cell>
          <cell r="G14" t="str">
            <v>张韵威</v>
          </cell>
        </row>
        <row r="14">
          <cell r="J14" t="e">
            <v>#DIV/0!</v>
          </cell>
        </row>
        <row r="14">
          <cell r="M14" t="e">
            <v>#DIV/0!</v>
          </cell>
        </row>
        <row r="14">
          <cell r="P14" t="e">
            <v>#DIV/0!</v>
          </cell>
          <cell r="Q14">
            <v>0</v>
          </cell>
          <cell r="R14">
            <v>0</v>
          </cell>
          <cell r="S14" t="e">
            <v>#DIV/0!</v>
          </cell>
        </row>
        <row r="14">
          <cell r="V14" t="e">
            <v>#DIV/0!</v>
          </cell>
          <cell r="W14">
            <v>0</v>
          </cell>
          <cell r="X14">
            <v>0</v>
          </cell>
          <cell r="Y14" t="e">
            <v>#DIV/0!</v>
          </cell>
        </row>
        <row r="14">
          <cell r="AB14" t="e">
            <v>#DIV/0!</v>
          </cell>
          <cell r="AC14">
            <v>0</v>
          </cell>
          <cell r="AD14">
            <v>0</v>
          </cell>
          <cell r="AE14" t="e">
            <v>#DIV/0!</v>
          </cell>
        </row>
        <row r="15">
          <cell r="C15" t="str">
            <v>龙游县荣泰五交化公司</v>
          </cell>
          <cell r="D15" t="str">
            <v>经销</v>
          </cell>
          <cell r="E15" t="str">
            <v>龙游县</v>
          </cell>
          <cell r="F15" t="str">
            <v>龙游县</v>
          </cell>
          <cell r="G15" t="str">
            <v>江雯</v>
          </cell>
        </row>
        <row r="15">
          <cell r="J15" t="e">
            <v>#DIV/0!</v>
          </cell>
        </row>
        <row r="15">
          <cell r="M15" t="e">
            <v>#DIV/0!</v>
          </cell>
        </row>
        <row r="15">
          <cell r="P15" t="e">
            <v>#DIV/0!</v>
          </cell>
          <cell r="Q15">
            <v>0</v>
          </cell>
          <cell r="R15">
            <v>0</v>
          </cell>
          <cell r="S15" t="e">
            <v>#DIV/0!</v>
          </cell>
        </row>
        <row r="15">
          <cell r="V15" t="e">
            <v>#DIV/0!</v>
          </cell>
          <cell r="W15">
            <v>0</v>
          </cell>
          <cell r="X15">
            <v>0</v>
          </cell>
          <cell r="Y15" t="e">
            <v>#DIV/0!</v>
          </cell>
        </row>
        <row r="15">
          <cell r="AB15" t="e">
            <v>#DIV/0!</v>
          </cell>
          <cell r="AC15">
            <v>0</v>
          </cell>
          <cell r="AD15">
            <v>0</v>
          </cell>
          <cell r="AE15" t="e">
            <v>#DIV/0!</v>
          </cell>
        </row>
        <row r="16">
          <cell r="C16" t="str">
            <v>兰溪市小严家电经营部</v>
          </cell>
          <cell r="D16" t="str">
            <v>经销</v>
          </cell>
          <cell r="E16" t="str">
            <v>兰溪市</v>
          </cell>
          <cell r="F16" t="str">
            <v>兰溪市</v>
          </cell>
          <cell r="G16" t="str">
            <v>潘杏</v>
          </cell>
          <cell r="H16">
            <v>16546</v>
          </cell>
          <cell r="I16">
            <v>30425</v>
          </cell>
          <cell r="J16">
            <v>0.838813006164632</v>
          </cell>
          <cell r="K16">
            <v>7154</v>
          </cell>
          <cell r="L16">
            <v>10451</v>
          </cell>
          <cell r="M16">
            <v>0.460861056751468</v>
          </cell>
        </row>
        <row r="16">
          <cell r="P16" t="e">
            <v>#DIV/0!</v>
          </cell>
          <cell r="Q16">
            <v>23700</v>
          </cell>
          <cell r="R16">
            <v>40876</v>
          </cell>
          <cell r="S16">
            <v>0.724725738396625</v>
          </cell>
        </row>
        <row r="16">
          <cell r="U16">
            <v>7276</v>
          </cell>
          <cell r="V16" t="e">
            <v>#DIV/0!</v>
          </cell>
          <cell r="W16">
            <v>23700</v>
          </cell>
          <cell r="X16">
            <v>48152</v>
          </cell>
          <cell r="Y16">
            <v>1.03172995780591</v>
          </cell>
          <cell r="Z16">
            <v>28962</v>
          </cell>
          <cell r="AA16">
            <v>21993</v>
          </cell>
          <cell r="AB16">
            <v>-0.240625647400041</v>
          </cell>
          <cell r="AC16">
            <v>52662</v>
          </cell>
          <cell r="AD16">
            <v>70145</v>
          </cell>
          <cell r="AE16">
            <v>0.331985112604914</v>
          </cell>
          <cell r="AF16">
            <v>3556</v>
          </cell>
        </row>
        <row r="17">
          <cell r="C17" t="str">
            <v>金华金蝶零售</v>
          </cell>
          <cell r="D17" t="str">
            <v>零售</v>
          </cell>
          <cell r="E17" t="str">
            <v>金华市区</v>
          </cell>
          <cell r="F17" t="str">
            <v>市区</v>
          </cell>
          <cell r="G17" t="str">
            <v>杨华才</v>
          </cell>
          <cell r="H17">
            <v>-50</v>
          </cell>
          <cell r="I17">
            <v>3850</v>
          </cell>
          <cell r="J17">
            <v>-78</v>
          </cell>
        </row>
        <row r="17">
          <cell r="M17" t="e">
            <v>#DIV/0!</v>
          </cell>
        </row>
        <row r="17">
          <cell r="O17">
            <v>8800</v>
          </cell>
          <cell r="P17" t="e">
            <v>#DIV/0!</v>
          </cell>
          <cell r="Q17">
            <v>-50</v>
          </cell>
          <cell r="R17">
            <v>12650</v>
          </cell>
          <cell r="S17">
            <v>-254</v>
          </cell>
        </row>
        <row r="17">
          <cell r="V17" t="e">
            <v>#DIV/0!</v>
          </cell>
          <cell r="W17">
            <v>-50</v>
          </cell>
          <cell r="X17">
            <v>12650</v>
          </cell>
          <cell r="Y17">
            <v>-254</v>
          </cell>
          <cell r="Z17">
            <v>23631</v>
          </cell>
          <cell r="AA17">
            <v>1800</v>
          </cell>
          <cell r="AB17">
            <v>-0.923828868858703</v>
          </cell>
          <cell r="AC17">
            <v>23581</v>
          </cell>
          <cell r="AD17">
            <v>14450</v>
          </cell>
          <cell r="AE17">
            <v>-0.387218523387473</v>
          </cell>
          <cell r="AF17">
            <v>35488</v>
          </cell>
          <cell r="AG17">
            <v>10093</v>
          </cell>
        </row>
        <row r="18">
          <cell r="C18" t="str">
            <v>义乌市中科电器商行</v>
          </cell>
          <cell r="D18" t="str">
            <v>经销</v>
          </cell>
          <cell r="E18" t="str">
            <v>义乌市</v>
          </cell>
          <cell r="F18" t="str">
            <v>义乌市</v>
          </cell>
          <cell r="G18" t="str">
            <v>张韵威</v>
          </cell>
        </row>
        <row r="18">
          <cell r="J18" t="e">
            <v>#DIV/0!</v>
          </cell>
        </row>
        <row r="18">
          <cell r="M18" t="e">
            <v>#DIV/0!</v>
          </cell>
        </row>
        <row r="18">
          <cell r="P18" t="e">
            <v>#DIV/0!</v>
          </cell>
          <cell r="Q18">
            <v>0</v>
          </cell>
          <cell r="R18">
            <v>0</v>
          </cell>
          <cell r="S18" t="e">
            <v>#DIV/0!</v>
          </cell>
        </row>
        <row r="18">
          <cell r="V18" t="e">
            <v>#DIV/0!</v>
          </cell>
          <cell r="W18">
            <v>0</v>
          </cell>
          <cell r="X18">
            <v>0</v>
          </cell>
          <cell r="Y18" t="e">
            <v>#DIV/0!</v>
          </cell>
        </row>
        <row r="18">
          <cell r="AB18" t="e">
            <v>#DIV/0!</v>
          </cell>
          <cell r="AC18">
            <v>0</v>
          </cell>
          <cell r="AD18">
            <v>0</v>
          </cell>
          <cell r="AE18" t="e">
            <v>#DIV/0!</v>
          </cell>
        </row>
        <row r="19">
          <cell r="C19" t="str">
            <v>金华物美企业管理咨询有限公司</v>
          </cell>
          <cell r="D19" t="str">
            <v>经销</v>
          </cell>
          <cell r="E19" t="str">
            <v>金华市区</v>
          </cell>
          <cell r="F19" t="str">
            <v>婺城区</v>
          </cell>
          <cell r="G19" t="str">
            <v>潘杏</v>
          </cell>
        </row>
        <row r="19">
          <cell r="J19" t="e">
            <v>#DIV/0!</v>
          </cell>
        </row>
        <row r="19">
          <cell r="M19" t="e">
            <v>#DIV/0!</v>
          </cell>
        </row>
        <row r="19">
          <cell r="P19" t="e">
            <v>#DIV/0!</v>
          </cell>
          <cell r="Q19">
            <v>0</v>
          </cell>
          <cell r="R19">
            <v>0</v>
          </cell>
          <cell r="S19" t="e">
            <v>#DIV/0!</v>
          </cell>
        </row>
        <row r="19">
          <cell r="V19" t="e">
            <v>#DIV/0!</v>
          </cell>
          <cell r="W19">
            <v>0</v>
          </cell>
          <cell r="X19">
            <v>0</v>
          </cell>
          <cell r="Y19" t="e">
            <v>#DIV/0!</v>
          </cell>
        </row>
        <row r="19">
          <cell r="AB19" t="e">
            <v>#DIV/0!</v>
          </cell>
          <cell r="AC19">
            <v>0</v>
          </cell>
          <cell r="AD19">
            <v>0</v>
          </cell>
          <cell r="AE19" t="e">
            <v>#DIV/0!</v>
          </cell>
        </row>
        <row r="20">
          <cell r="C20" t="str">
            <v>东阳汉宁东路专卖店</v>
          </cell>
          <cell r="D20" t="str">
            <v>直营</v>
          </cell>
          <cell r="E20" t="str">
            <v>东阳市</v>
          </cell>
          <cell r="F20" t="str">
            <v>东阳市</v>
          </cell>
          <cell r="G20" t="str">
            <v>张韵威</v>
          </cell>
          <cell r="H20">
            <v>4776</v>
          </cell>
        </row>
        <row r="20">
          <cell r="J20">
            <v>-1</v>
          </cell>
          <cell r="K20">
            <v>23611</v>
          </cell>
        </row>
        <row r="20">
          <cell r="M20">
            <v>-1</v>
          </cell>
          <cell r="N20">
            <v>69265.9</v>
          </cell>
        </row>
        <row r="20">
          <cell r="P20">
            <v>-1</v>
          </cell>
          <cell r="Q20">
            <v>97652.9</v>
          </cell>
          <cell r="R20">
            <v>0</v>
          </cell>
          <cell r="S20">
            <v>-1</v>
          </cell>
          <cell r="T20">
            <v>32572</v>
          </cell>
        </row>
        <row r="20">
          <cell r="V20">
            <v>-1</v>
          </cell>
          <cell r="W20">
            <v>130224.9</v>
          </cell>
          <cell r="X20">
            <v>0</v>
          </cell>
          <cell r="Y20">
            <v>-1</v>
          </cell>
          <cell r="Z20">
            <v>2842</v>
          </cell>
        </row>
        <row r="20">
          <cell r="AB20">
            <v>-1</v>
          </cell>
          <cell r="AC20">
            <v>133066.9</v>
          </cell>
          <cell r="AD20">
            <v>0</v>
          </cell>
          <cell r="AE20">
            <v>-1</v>
          </cell>
        </row>
        <row r="21">
          <cell r="C21" t="str">
            <v>浦江丰安电器有限公司</v>
          </cell>
          <cell r="D21" t="str">
            <v>经销</v>
          </cell>
          <cell r="E21" t="str">
            <v>浦江县</v>
          </cell>
          <cell r="F21" t="str">
            <v>浦江县</v>
          </cell>
          <cell r="G21" t="str">
            <v>张韵威</v>
          </cell>
        </row>
        <row r="21">
          <cell r="J21" t="e">
            <v>#DIV/0!</v>
          </cell>
        </row>
        <row r="21">
          <cell r="M21" t="e">
            <v>#DIV/0!</v>
          </cell>
          <cell r="N21">
            <v>2240</v>
          </cell>
        </row>
        <row r="21">
          <cell r="P21">
            <v>-1</v>
          </cell>
          <cell r="Q21">
            <v>2240</v>
          </cell>
          <cell r="R21">
            <v>0</v>
          </cell>
          <cell r="S21">
            <v>-1</v>
          </cell>
        </row>
        <row r="21">
          <cell r="V21" t="e">
            <v>#DIV/0!</v>
          </cell>
          <cell r="W21">
            <v>2240</v>
          </cell>
          <cell r="X21">
            <v>0</v>
          </cell>
          <cell r="Y21">
            <v>-1</v>
          </cell>
        </row>
        <row r="21">
          <cell r="AB21" t="e">
            <v>#DIV/0!</v>
          </cell>
          <cell r="AC21">
            <v>2240</v>
          </cell>
          <cell r="AD21">
            <v>0</v>
          </cell>
          <cell r="AE21">
            <v>-1</v>
          </cell>
        </row>
        <row r="22">
          <cell r="C22" t="str">
            <v>磐安县洪昌家电商场</v>
          </cell>
          <cell r="D22" t="str">
            <v>经销</v>
          </cell>
          <cell r="E22" t="str">
            <v>磐安县</v>
          </cell>
          <cell r="F22" t="str">
            <v>磐安县</v>
          </cell>
          <cell r="G22" t="str">
            <v>张韵威</v>
          </cell>
        </row>
        <row r="22">
          <cell r="I22">
            <v>6649</v>
          </cell>
          <cell r="J22" t="e">
            <v>#DIV/0!</v>
          </cell>
        </row>
        <row r="22">
          <cell r="M22" t="e">
            <v>#DIV/0!</v>
          </cell>
        </row>
        <row r="22">
          <cell r="P22" t="e">
            <v>#DIV/0!</v>
          </cell>
          <cell r="Q22">
            <v>0</v>
          </cell>
          <cell r="R22">
            <v>6649</v>
          </cell>
          <cell r="S22" t="e">
            <v>#DIV/0!</v>
          </cell>
        </row>
        <row r="22">
          <cell r="V22" t="e">
            <v>#DIV/0!</v>
          </cell>
          <cell r="W22">
            <v>0</v>
          </cell>
          <cell r="X22">
            <v>6649</v>
          </cell>
          <cell r="Y22" t="e">
            <v>#DIV/0!</v>
          </cell>
          <cell r="Z22">
            <v>41481</v>
          </cell>
        </row>
        <row r="22">
          <cell r="AB22">
            <v>-1</v>
          </cell>
          <cell r="AC22">
            <v>41481</v>
          </cell>
          <cell r="AD22">
            <v>6649</v>
          </cell>
          <cell r="AE22">
            <v>-0.839709746630988</v>
          </cell>
        </row>
        <row r="23">
          <cell r="C23" t="str">
            <v>义乌市钲天新能源有限公司</v>
          </cell>
          <cell r="D23" t="str">
            <v>暖通</v>
          </cell>
          <cell r="E23" t="str">
            <v>义乌市</v>
          </cell>
          <cell r="F23" t="str">
            <v>义乌市</v>
          </cell>
          <cell r="G23" t="str">
            <v>张韵威</v>
          </cell>
        </row>
        <row r="23">
          <cell r="J23" t="e">
            <v>#DIV/0!</v>
          </cell>
        </row>
        <row r="23">
          <cell r="M23" t="e">
            <v>#DIV/0!</v>
          </cell>
        </row>
        <row r="23">
          <cell r="P23" t="e">
            <v>#DIV/0!</v>
          </cell>
          <cell r="Q23">
            <v>0</v>
          </cell>
          <cell r="R23">
            <v>0</v>
          </cell>
          <cell r="S23" t="e">
            <v>#DIV/0!</v>
          </cell>
        </row>
        <row r="23">
          <cell r="V23" t="e">
            <v>#DIV/0!</v>
          </cell>
          <cell r="W23">
            <v>0</v>
          </cell>
          <cell r="X23">
            <v>0</v>
          </cell>
          <cell r="Y23" t="e">
            <v>#DIV/0!</v>
          </cell>
        </row>
        <row r="23">
          <cell r="AB23" t="e">
            <v>#DIV/0!</v>
          </cell>
          <cell r="AC23">
            <v>0</v>
          </cell>
          <cell r="AD23">
            <v>0</v>
          </cell>
          <cell r="AE23" t="e">
            <v>#DIV/0!</v>
          </cell>
        </row>
        <row r="24">
          <cell r="C24" t="str">
            <v>武义大中家电有限公司</v>
          </cell>
          <cell r="D24" t="str">
            <v>经销</v>
          </cell>
          <cell r="E24" t="str">
            <v>武义县</v>
          </cell>
          <cell r="F24" t="str">
            <v>武义县</v>
          </cell>
          <cell r="G24" t="str">
            <v>潘杏</v>
          </cell>
        </row>
        <row r="24">
          <cell r="J24" t="e">
            <v>#DIV/0!</v>
          </cell>
        </row>
        <row r="24">
          <cell r="M24" t="e">
            <v>#DIV/0!</v>
          </cell>
        </row>
        <row r="24">
          <cell r="P24" t="e">
            <v>#DIV/0!</v>
          </cell>
          <cell r="Q24">
            <v>0</v>
          </cell>
          <cell r="R24">
            <v>0</v>
          </cell>
          <cell r="S24" t="e">
            <v>#DIV/0!</v>
          </cell>
        </row>
        <row r="24">
          <cell r="V24" t="e">
            <v>#DIV/0!</v>
          </cell>
          <cell r="W24">
            <v>0</v>
          </cell>
          <cell r="X24">
            <v>0</v>
          </cell>
          <cell r="Y24" t="e">
            <v>#DIV/0!</v>
          </cell>
        </row>
        <row r="24">
          <cell r="AB24" t="e">
            <v>#DIV/0!</v>
          </cell>
          <cell r="AC24">
            <v>0</v>
          </cell>
          <cell r="AD24">
            <v>0</v>
          </cell>
          <cell r="AE24" t="e">
            <v>#DIV/0!</v>
          </cell>
        </row>
        <row r="25">
          <cell r="C25" t="str">
            <v>江山硕邦家电有限公司</v>
          </cell>
          <cell r="D25" t="str">
            <v>经销</v>
          </cell>
          <cell r="E25" t="str">
            <v>江山市</v>
          </cell>
          <cell r="F25" t="str">
            <v>江山市</v>
          </cell>
          <cell r="G25" t="str">
            <v>江雯</v>
          </cell>
        </row>
        <row r="25">
          <cell r="J25" t="e">
            <v>#DIV/0!</v>
          </cell>
        </row>
        <row r="25">
          <cell r="L25">
            <v>19218</v>
          </cell>
          <cell r="M25" t="e">
            <v>#DIV/0!</v>
          </cell>
        </row>
        <row r="25">
          <cell r="P25" t="e">
            <v>#DIV/0!</v>
          </cell>
          <cell r="Q25">
            <v>0</v>
          </cell>
          <cell r="R25">
            <v>19218</v>
          </cell>
          <cell r="S25" t="e">
            <v>#DIV/0!</v>
          </cell>
        </row>
        <row r="25">
          <cell r="V25" t="e">
            <v>#DIV/0!</v>
          </cell>
          <cell r="W25">
            <v>0</v>
          </cell>
          <cell r="X25">
            <v>19218</v>
          </cell>
          <cell r="Y25" t="e">
            <v>#DIV/0!</v>
          </cell>
        </row>
        <row r="25">
          <cell r="AB25" t="e">
            <v>#DIV/0!</v>
          </cell>
          <cell r="AC25">
            <v>0</v>
          </cell>
          <cell r="AD25">
            <v>19218</v>
          </cell>
          <cell r="AE25" t="e">
            <v>#DIV/0!</v>
          </cell>
        </row>
        <row r="26">
          <cell r="C26" t="str">
            <v>义乌艾欧机电设备有限公司</v>
          </cell>
          <cell r="D26" t="str">
            <v>加盟</v>
          </cell>
          <cell r="E26" t="str">
            <v>义乌市</v>
          </cell>
          <cell r="F26" t="str">
            <v>义乌市</v>
          </cell>
          <cell r="G26" t="str">
            <v>张韵威</v>
          </cell>
          <cell r="H26">
            <v>5264</v>
          </cell>
          <cell r="I26">
            <v>95208</v>
          </cell>
          <cell r="J26">
            <v>17.0866261398176</v>
          </cell>
          <cell r="K26">
            <v>20852</v>
          </cell>
          <cell r="L26">
            <v>23568</v>
          </cell>
          <cell r="M26">
            <v>0.130251294839824</v>
          </cell>
          <cell r="N26">
            <v>27673</v>
          </cell>
          <cell r="O26">
            <v>27546</v>
          </cell>
          <cell r="P26">
            <v>-0.00458931088064174</v>
          </cell>
          <cell r="Q26">
            <v>53789</v>
          </cell>
          <cell r="R26">
            <v>146322</v>
          </cell>
          <cell r="S26">
            <v>1.72029597129525</v>
          </cell>
          <cell r="T26">
            <v>78278</v>
          </cell>
          <cell r="U26">
            <v>48756</v>
          </cell>
          <cell r="V26">
            <v>-0.377143003142645</v>
          </cell>
          <cell r="W26">
            <v>132067</v>
          </cell>
          <cell r="X26">
            <v>195078</v>
          </cell>
          <cell r="Y26">
            <v>0.477113889162319</v>
          </cell>
          <cell r="Z26">
            <v>9041</v>
          </cell>
          <cell r="AA26">
            <v>57457</v>
          </cell>
          <cell r="AB26">
            <v>5.35515982745272</v>
          </cell>
          <cell r="AC26">
            <v>141108</v>
          </cell>
          <cell r="AD26">
            <v>252535</v>
          </cell>
          <cell r="AE26">
            <v>0.789657567253451</v>
          </cell>
        </row>
        <row r="26">
          <cell r="AG26">
            <v>34276</v>
          </cell>
        </row>
        <row r="27">
          <cell r="C27" t="str">
            <v>金华市婺城区菱通家用电器商行</v>
          </cell>
          <cell r="D27" t="str">
            <v>经销</v>
          </cell>
          <cell r="E27" t="str">
            <v>金华市区</v>
          </cell>
          <cell r="F27" t="str">
            <v>婺城区</v>
          </cell>
          <cell r="G27" t="str">
            <v>潘杏</v>
          </cell>
        </row>
        <row r="27">
          <cell r="J27" t="e">
            <v>#DIV/0!</v>
          </cell>
        </row>
        <row r="27">
          <cell r="M27" t="e">
            <v>#DIV/0!</v>
          </cell>
        </row>
        <row r="27">
          <cell r="P27" t="e">
            <v>#DIV/0!</v>
          </cell>
          <cell r="Q27">
            <v>0</v>
          </cell>
          <cell r="R27">
            <v>0</v>
          </cell>
          <cell r="S27" t="e">
            <v>#DIV/0!</v>
          </cell>
        </row>
        <row r="27">
          <cell r="V27" t="e">
            <v>#DIV/0!</v>
          </cell>
          <cell r="W27">
            <v>0</v>
          </cell>
          <cell r="X27">
            <v>0</v>
          </cell>
          <cell r="Y27" t="e">
            <v>#DIV/0!</v>
          </cell>
        </row>
        <row r="27">
          <cell r="AB27" t="e">
            <v>#DIV/0!</v>
          </cell>
          <cell r="AC27">
            <v>0</v>
          </cell>
          <cell r="AD27">
            <v>0</v>
          </cell>
          <cell r="AE27" t="e">
            <v>#DIV/0!</v>
          </cell>
        </row>
        <row r="28">
          <cell r="C28" t="str">
            <v>东阳市大中商贸有限公司</v>
          </cell>
          <cell r="D28" t="str">
            <v>经销</v>
          </cell>
          <cell r="E28" t="str">
            <v>东阳市</v>
          </cell>
          <cell r="F28" t="str">
            <v>东阳市</v>
          </cell>
          <cell r="G28" t="str">
            <v>张韵威</v>
          </cell>
        </row>
        <row r="28">
          <cell r="I28">
            <v>1690</v>
          </cell>
          <cell r="J28" t="e">
            <v>#DIV/0!</v>
          </cell>
        </row>
        <row r="28">
          <cell r="M28" t="e">
            <v>#DIV/0!</v>
          </cell>
        </row>
        <row r="28">
          <cell r="P28" t="e">
            <v>#DIV/0!</v>
          </cell>
          <cell r="Q28">
            <v>0</v>
          </cell>
          <cell r="R28">
            <v>1690</v>
          </cell>
          <cell r="S28" t="e">
            <v>#DIV/0!</v>
          </cell>
        </row>
        <row r="28">
          <cell r="U28">
            <v>3375</v>
          </cell>
          <cell r="V28" t="e">
            <v>#DIV/0!</v>
          </cell>
          <cell r="W28">
            <v>0</v>
          </cell>
          <cell r="X28">
            <v>5065</v>
          </cell>
          <cell r="Y28" t="e">
            <v>#DIV/0!</v>
          </cell>
        </row>
        <row r="28">
          <cell r="AB28" t="e">
            <v>#DIV/0!</v>
          </cell>
          <cell r="AC28">
            <v>0</v>
          </cell>
          <cell r="AD28">
            <v>5065</v>
          </cell>
          <cell r="AE28" t="e">
            <v>#DIV/0!</v>
          </cell>
        </row>
        <row r="29">
          <cell r="C29" t="str">
            <v>金华市创佳机电工程有限公司</v>
          </cell>
          <cell r="D29" t="str">
            <v>经销</v>
          </cell>
          <cell r="E29" t="str">
            <v>金华市区</v>
          </cell>
          <cell r="F29" t="str">
            <v>婺城区</v>
          </cell>
          <cell r="G29" t="str">
            <v>潘杏</v>
          </cell>
        </row>
        <row r="29">
          <cell r="J29" t="e">
            <v>#DIV/0!</v>
          </cell>
        </row>
        <row r="29">
          <cell r="M29" t="e">
            <v>#DIV/0!</v>
          </cell>
        </row>
        <row r="29">
          <cell r="P29" t="e">
            <v>#DIV/0!</v>
          </cell>
          <cell r="Q29">
            <v>0</v>
          </cell>
          <cell r="R29">
            <v>0</v>
          </cell>
          <cell r="S29" t="e">
            <v>#DIV/0!</v>
          </cell>
        </row>
        <row r="29">
          <cell r="V29" t="e">
            <v>#DIV/0!</v>
          </cell>
          <cell r="W29">
            <v>0</v>
          </cell>
          <cell r="X29">
            <v>0</v>
          </cell>
          <cell r="Y29" t="e">
            <v>#DIV/0!</v>
          </cell>
        </row>
        <row r="29">
          <cell r="AB29" t="e">
            <v>#DIV/0!</v>
          </cell>
          <cell r="AC29">
            <v>0</v>
          </cell>
          <cell r="AD29">
            <v>0</v>
          </cell>
          <cell r="AE29" t="e">
            <v>#DIV/0!</v>
          </cell>
        </row>
        <row r="30">
          <cell r="C30" t="str">
            <v>浙江新隆环境设备有限公司</v>
          </cell>
          <cell r="D30" t="str">
            <v>经销</v>
          </cell>
          <cell r="E30" t="str">
            <v>金华市区</v>
          </cell>
          <cell r="F30" t="str">
            <v>婺城区</v>
          </cell>
          <cell r="G30" t="str">
            <v>潘杏</v>
          </cell>
        </row>
        <row r="30">
          <cell r="J30" t="e">
            <v>#DIV/0!</v>
          </cell>
        </row>
        <row r="30">
          <cell r="M30" t="e">
            <v>#DIV/0!</v>
          </cell>
        </row>
        <row r="30">
          <cell r="P30" t="e">
            <v>#DIV/0!</v>
          </cell>
          <cell r="Q30">
            <v>0</v>
          </cell>
          <cell r="R30">
            <v>0</v>
          </cell>
          <cell r="S30" t="e">
            <v>#DIV/0!</v>
          </cell>
        </row>
        <row r="30">
          <cell r="V30" t="e">
            <v>#DIV/0!</v>
          </cell>
          <cell r="W30">
            <v>0</v>
          </cell>
          <cell r="X30">
            <v>0</v>
          </cell>
          <cell r="Y30" t="e">
            <v>#DIV/0!</v>
          </cell>
        </row>
        <row r="30">
          <cell r="AB30" t="e">
            <v>#DIV/0!</v>
          </cell>
          <cell r="AC30">
            <v>0</v>
          </cell>
          <cell r="AD30">
            <v>0</v>
          </cell>
          <cell r="AE30" t="e">
            <v>#DIV/0!</v>
          </cell>
        </row>
        <row r="31">
          <cell r="C31" t="str">
            <v>金华市万普电器销售有限公司</v>
          </cell>
          <cell r="D31" t="str">
            <v>经销</v>
          </cell>
          <cell r="E31" t="str">
            <v>金华市区</v>
          </cell>
          <cell r="F31" t="str">
            <v>金东区</v>
          </cell>
          <cell r="G31" t="str">
            <v>潘杏</v>
          </cell>
        </row>
        <row r="31">
          <cell r="I31">
            <v>5412</v>
          </cell>
          <cell r="J31" t="e">
            <v>#DIV/0!</v>
          </cell>
        </row>
        <row r="31">
          <cell r="L31">
            <v>729</v>
          </cell>
          <cell r="M31" t="e">
            <v>#DIV/0!</v>
          </cell>
        </row>
        <row r="31">
          <cell r="O31">
            <v>20000</v>
          </cell>
          <cell r="P31" t="e">
            <v>#DIV/0!</v>
          </cell>
          <cell r="Q31">
            <v>0</v>
          </cell>
          <cell r="R31">
            <v>26141</v>
          </cell>
          <cell r="S31" t="e">
            <v>#DIV/0!</v>
          </cell>
        </row>
        <row r="31">
          <cell r="V31" t="e">
            <v>#DIV/0!</v>
          </cell>
          <cell r="W31">
            <v>0</v>
          </cell>
          <cell r="X31">
            <v>26141</v>
          </cell>
          <cell r="Y31" t="e">
            <v>#DIV/0!</v>
          </cell>
          <cell r="Z31">
            <v>22240</v>
          </cell>
        </row>
        <row r="31">
          <cell r="AB31">
            <v>-1</v>
          </cell>
          <cell r="AC31">
            <v>22240</v>
          </cell>
          <cell r="AD31">
            <v>26141</v>
          </cell>
          <cell r="AE31">
            <v>0.175404676258993</v>
          </cell>
        </row>
        <row r="31">
          <cell r="AG31">
            <v>47792</v>
          </cell>
        </row>
        <row r="32">
          <cell r="C32" t="str">
            <v>龙游博美电器有限公司</v>
          </cell>
          <cell r="D32" t="str">
            <v>经销</v>
          </cell>
          <cell r="E32" t="str">
            <v>龙游县</v>
          </cell>
          <cell r="F32" t="str">
            <v>龙游县</v>
          </cell>
          <cell r="G32" t="str">
            <v>江雯</v>
          </cell>
        </row>
        <row r="32">
          <cell r="J32" t="e">
            <v>#DIV/0!</v>
          </cell>
        </row>
        <row r="32">
          <cell r="M32" t="e">
            <v>#DIV/0!</v>
          </cell>
        </row>
        <row r="32">
          <cell r="P32" t="e">
            <v>#DIV/0!</v>
          </cell>
          <cell r="Q32">
            <v>0</v>
          </cell>
          <cell r="R32">
            <v>0</v>
          </cell>
          <cell r="S32" t="e">
            <v>#DIV/0!</v>
          </cell>
          <cell r="T32">
            <v>8514</v>
          </cell>
          <cell r="U32">
            <v>2998</v>
          </cell>
          <cell r="V32">
            <v>-0.647874089734555</v>
          </cell>
          <cell r="W32">
            <v>8514</v>
          </cell>
          <cell r="X32">
            <v>2998</v>
          </cell>
          <cell r="Y32">
            <v>-0.647874089734555</v>
          </cell>
        </row>
        <row r="32">
          <cell r="AB32" t="e">
            <v>#DIV/0!</v>
          </cell>
          <cell r="AC32">
            <v>8514</v>
          </cell>
          <cell r="AD32">
            <v>2998</v>
          </cell>
          <cell r="AE32">
            <v>-0.647874089734555</v>
          </cell>
          <cell r="AF32">
            <v>424</v>
          </cell>
        </row>
        <row r="33">
          <cell r="C33" t="str">
            <v>衢州众冠电器有限公司</v>
          </cell>
          <cell r="D33" t="str">
            <v>经销</v>
          </cell>
          <cell r="E33" t="str">
            <v>衢州市区</v>
          </cell>
          <cell r="F33" t="str">
            <v>衢州市</v>
          </cell>
          <cell r="G33" t="str">
            <v>江雯</v>
          </cell>
        </row>
        <row r="33">
          <cell r="J33" t="e">
            <v>#DIV/0!</v>
          </cell>
        </row>
        <row r="33">
          <cell r="M33" t="e">
            <v>#DIV/0!</v>
          </cell>
        </row>
        <row r="33">
          <cell r="P33" t="e">
            <v>#DIV/0!</v>
          </cell>
          <cell r="Q33">
            <v>0</v>
          </cell>
          <cell r="R33">
            <v>0</v>
          </cell>
          <cell r="S33" t="e">
            <v>#DIV/0!</v>
          </cell>
        </row>
        <row r="33">
          <cell r="U33">
            <v>20000</v>
          </cell>
          <cell r="V33" t="e">
            <v>#DIV/0!</v>
          </cell>
          <cell r="W33">
            <v>0</v>
          </cell>
          <cell r="X33">
            <v>20000</v>
          </cell>
          <cell r="Y33" t="e">
            <v>#DIV/0!</v>
          </cell>
        </row>
        <row r="33">
          <cell r="AB33" t="e">
            <v>#DIV/0!</v>
          </cell>
          <cell r="AC33">
            <v>0</v>
          </cell>
          <cell r="AD33">
            <v>20000</v>
          </cell>
          <cell r="AE33" t="e">
            <v>#DIV/0!</v>
          </cell>
        </row>
        <row r="34">
          <cell r="C34" t="str">
            <v>永康市新森态暖通设备有限公司</v>
          </cell>
          <cell r="D34" t="str">
            <v>暖通</v>
          </cell>
          <cell r="E34" t="str">
            <v>永康市</v>
          </cell>
          <cell r="F34" t="str">
            <v>永康市</v>
          </cell>
          <cell r="G34" t="str">
            <v>潘杏</v>
          </cell>
        </row>
        <row r="34">
          <cell r="J34" t="e">
            <v>#DIV/0!</v>
          </cell>
        </row>
        <row r="34">
          <cell r="M34" t="e">
            <v>#DIV/0!</v>
          </cell>
        </row>
        <row r="34">
          <cell r="P34" t="e">
            <v>#DIV/0!</v>
          </cell>
          <cell r="Q34">
            <v>0</v>
          </cell>
          <cell r="R34">
            <v>0</v>
          </cell>
          <cell r="S34" t="e">
            <v>#DIV/0!</v>
          </cell>
        </row>
        <row r="34">
          <cell r="V34" t="e">
            <v>#DIV/0!</v>
          </cell>
          <cell r="W34">
            <v>0</v>
          </cell>
          <cell r="X34">
            <v>0</v>
          </cell>
          <cell r="Y34" t="e">
            <v>#DIV/0!</v>
          </cell>
        </row>
        <row r="34">
          <cell r="AB34" t="e">
            <v>#DIV/0!</v>
          </cell>
          <cell r="AC34">
            <v>0</v>
          </cell>
          <cell r="AD34">
            <v>0</v>
          </cell>
          <cell r="AE34" t="e">
            <v>#DIV/0!</v>
          </cell>
        </row>
        <row r="35">
          <cell r="C35" t="str">
            <v>武义国美电器商场</v>
          </cell>
          <cell r="D35" t="str">
            <v>经销</v>
          </cell>
          <cell r="E35" t="str">
            <v>武义县</v>
          </cell>
          <cell r="F35" t="str">
            <v>武义县</v>
          </cell>
          <cell r="G35" t="str">
            <v>潘杏</v>
          </cell>
        </row>
        <row r="35">
          <cell r="J35" t="e">
            <v>#DIV/0!</v>
          </cell>
        </row>
        <row r="35">
          <cell r="M35" t="e">
            <v>#DIV/0!</v>
          </cell>
        </row>
        <row r="35">
          <cell r="P35" t="e">
            <v>#DIV/0!</v>
          </cell>
          <cell r="Q35">
            <v>0</v>
          </cell>
          <cell r="R35">
            <v>0</v>
          </cell>
          <cell r="S35" t="e">
            <v>#DIV/0!</v>
          </cell>
        </row>
        <row r="35">
          <cell r="V35" t="e">
            <v>#DIV/0!</v>
          </cell>
          <cell r="W35">
            <v>0</v>
          </cell>
          <cell r="X35">
            <v>0</v>
          </cell>
          <cell r="Y35" t="e">
            <v>#DIV/0!</v>
          </cell>
        </row>
        <row r="35">
          <cell r="AB35" t="e">
            <v>#DIV/0!</v>
          </cell>
          <cell r="AC35">
            <v>0</v>
          </cell>
          <cell r="AD35">
            <v>0</v>
          </cell>
          <cell r="AE35" t="e">
            <v>#DIV/0!</v>
          </cell>
        </row>
        <row r="36">
          <cell r="C36" t="str">
            <v>浙江省永康市金城家电有限公司</v>
          </cell>
          <cell r="D36" t="str">
            <v>经销</v>
          </cell>
          <cell r="E36" t="str">
            <v>永康市</v>
          </cell>
          <cell r="F36" t="str">
            <v>永康市</v>
          </cell>
          <cell r="G36" t="str">
            <v>潘杏</v>
          </cell>
        </row>
        <row r="36">
          <cell r="J36" t="e">
            <v>#DIV/0!</v>
          </cell>
        </row>
        <row r="36">
          <cell r="M36" t="e">
            <v>#DIV/0!</v>
          </cell>
        </row>
        <row r="36">
          <cell r="P36" t="e">
            <v>#DIV/0!</v>
          </cell>
          <cell r="Q36">
            <v>0</v>
          </cell>
          <cell r="R36">
            <v>0</v>
          </cell>
          <cell r="S36" t="e">
            <v>#DIV/0!</v>
          </cell>
        </row>
        <row r="36">
          <cell r="V36" t="e">
            <v>#DIV/0!</v>
          </cell>
          <cell r="W36">
            <v>0</v>
          </cell>
          <cell r="X36">
            <v>0</v>
          </cell>
          <cell r="Y36" t="e">
            <v>#DIV/0!</v>
          </cell>
        </row>
        <row r="36">
          <cell r="AB36" t="e">
            <v>#DIV/0!</v>
          </cell>
          <cell r="AC36">
            <v>0</v>
          </cell>
          <cell r="AD36">
            <v>0</v>
          </cell>
          <cell r="AE36" t="e">
            <v>#DIV/0!</v>
          </cell>
        </row>
        <row r="37">
          <cell r="C37" t="str">
            <v>金华市婺美电器有限公司</v>
          </cell>
          <cell r="D37" t="str">
            <v>经销</v>
          </cell>
          <cell r="E37" t="str">
            <v>金华市区</v>
          </cell>
          <cell r="F37" t="str">
            <v>婺城区</v>
          </cell>
          <cell r="G37" t="str">
            <v>潘杏</v>
          </cell>
        </row>
        <row r="37">
          <cell r="U37">
            <v>1810</v>
          </cell>
          <cell r="V37" t="e">
            <v>#DIV/0!</v>
          </cell>
          <cell r="W37">
            <v>0</v>
          </cell>
          <cell r="X37">
            <v>1810</v>
          </cell>
          <cell r="Y37" t="e">
            <v>#DIV/0!</v>
          </cell>
        </row>
        <row r="37">
          <cell r="AA37">
            <v>4787</v>
          </cell>
          <cell r="AB37" t="e">
            <v>#DIV/0!</v>
          </cell>
          <cell r="AC37">
            <v>0</v>
          </cell>
          <cell r="AD37">
            <v>6597</v>
          </cell>
          <cell r="AE37" t="e">
            <v>#DIV/0!</v>
          </cell>
        </row>
        <row r="37">
          <cell r="AG37">
            <v>8454</v>
          </cell>
        </row>
        <row r="38">
          <cell r="C38" t="str">
            <v>兰溪市升美电器商行</v>
          </cell>
          <cell r="D38" t="str">
            <v>经销</v>
          </cell>
          <cell r="E38" t="str">
            <v>兰溪市</v>
          </cell>
          <cell r="F38" t="str">
            <v>兰溪市</v>
          </cell>
          <cell r="G38" t="str">
            <v>潘杏</v>
          </cell>
        </row>
        <row r="38">
          <cell r="AA38">
            <v>30000</v>
          </cell>
          <cell r="AB38" t="e">
            <v>#DIV/0!</v>
          </cell>
          <cell r="AC38">
            <v>0</v>
          </cell>
          <cell r="AD38">
            <v>30000</v>
          </cell>
          <cell r="AE38" t="e">
            <v>#DIV/0!</v>
          </cell>
        </row>
        <row r="39">
          <cell r="C39" t="str">
            <v>合计</v>
          </cell>
        </row>
        <row r="39">
          <cell r="H39">
            <v>412436</v>
          </cell>
          <cell r="I39">
            <v>1110866.71</v>
          </cell>
          <cell r="J39">
            <v>1.69342809551058</v>
          </cell>
          <cell r="K39">
            <v>572995.98</v>
          </cell>
          <cell r="L39">
            <v>225264</v>
          </cell>
          <cell r="M39">
            <v>-0.606866351837233</v>
          </cell>
          <cell r="N39">
            <v>648482.45</v>
          </cell>
          <cell r="O39">
            <v>365888</v>
          </cell>
          <cell r="P39">
            <v>-0.435778100085823</v>
          </cell>
          <cell r="Q39">
            <v>1633914.43</v>
          </cell>
          <cell r="R39">
            <v>1702018.71</v>
          </cell>
          <cell r="S39">
            <v>0.0416816687272907</v>
          </cell>
          <cell r="T39">
            <v>536957.25</v>
          </cell>
          <cell r="U39">
            <v>648379.45</v>
          </cell>
          <cell r="V39">
            <v>0.207506649737945</v>
          </cell>
          <cell r="W39">
            <v>2170871.68</v>
          </cell>
          <cell r="X39">
            <v>2350398.16</v>
          </cell>
          <cell r="Y39">
            <v>0.0826978773798368</v>
          </cell>
          <cell r="Z39">
            <v>754146.37</v>
          </cell>
          <cell r="AA39">
            <v>639095.81</v>
          </cell>
          <cell r="AB39">
            <v>-0.152557334460153</v>
          </cell>
          <cell r="AC39">
            <v>2925018.05</v>
          </cell>
          <cell r="AD39">
            <v>2989493.97</v>
          </cell>
          <cell r="AE39">
            <v>0.0220429135471489</v>
          </cell>
          <cell r="AF39">
            <v>602156.66</v>
          </cell>
          <cell r="AG39">
            <v>677171.21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topLeftCell="A27" workbookViewId="0">
      <selection activeCell="I31" sqref="I31"/>
    </sheetView>
  </sheetViews>
  <sheetFormatPr defaultColWidth="9" defaultRowHeight="14"/>
  <cols>
    <col min="1" max="1" width="5.62727272727273" style="591" customWidth="1"/>
    <col min="2" max="2" width="11.5" style="592" customWidth="1"/>
    <col min="3" max="3" width="13.5454545454545" style="587" customWidth="1"/>
    <col min="4" max="4" width="17.7272727272727" style="587" customWidth="1"/>
    <col min="5" max="5" width="14" style="587" customWidth="1"/>
    <col min="6" max="7" width="14" style="592" customWidth="1"/>
    <col min="8" max="8" width="24.5454545454545" style="592" customWidth="1"/>
    <col min="9" max="9" width="15.6272727272727" style="592" customWidth="1"/>
    <col min="10" max="10" width="17" style="592" customWidth="1"/>
    <col min="11" max="11" width="17.1272727272727" style="594" customWidth="1"/>
    <col min="12" max="12" width="15.2545454545455" style="592" customWidth="1"/>
    <col min="13" max="13" width="12.6272727272727" style="592" customWidth="1"/>
    <col min="14" max="14" width="15.1272727272727" style="592" customWidth="1"/>
    <col min="15" max="15" width="16.2545454545455" style="592" customWidth="1"/>
    <col min="16" max="16" width="15.5" style="592" customWidth="1"/>
    <col min="17" max="17" width="20.3727272727273" style="592" customWidth="1"/>
    <col min="18" max="18" width="9.25454545454545" style="592"/>
    <col min="19" max="21" width="9" style="592"/>
    <col min="22" max="22" width="11.8727272727273" style="592" customWidth="1"/>
    <col min="23" max="23" width="12.5" style="592" customWidth="1"/>
    <col min="24" max="24" width="11.7545454545455" style="592" customWidth="1"/>
    <col min="25" max="25" width="9" style="592"/>
    <col min="26" max="26" width="14.5" style="592" customWidth="1"/>
    <col min="27" max="16384" width="9" style="592"/>
  </cols>
  <sheetData>
    <row r="1" ht="42" customHeight="1" spans="1:10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</row>
    <row r="2" ht="42" customHeight="1" spans="1:10">
      <c r="A2" s="597" t="s">
        <v>1</v>
      </c>
      <c r="B2" s="597"/>
      <c r="C2" s="597"/>
      <c r="D2" s="597"/>
      <c r="E2" s="597"/>
      <c r="F2" s="597"/>
      <c r="G2" s="597"/>
      <c r="H2" s="597"/>
      <c r="I2" s="597"/>
      <c r="J2" s="597"/>
    </row>
    <row r="3" spans="1:11">
      <c r="A3" s="598"/>
      <c r="B3" s="599"/>
      <c r="C3" s="599"/>
      <c r="D3" s="599"/>
      <c r="E3" s="599"/>
      <c r="F3" s="599"/>
      <c r="G3" s="599"/>
      <c r="H3" s="599"/>
      <c r="I3" s="599" t="s">
        <v>2</v>
      </c>
      <c r="J3" s="599"/>
      <c r="K3" s="599"/>
    </row>
    <row r="4" s="586" customFormat="1" ht="38.1" customHeight="1" spans="1:11">
      <c r="A4" s="600" t="s">
        <v>3</v>
      </c>
      <c r="B4" s="601" t="s">
        <v>4</v>
      </c>
      <c r="C4" s="602" t="s">
        <v>5</v>
      </c>
      <c r="D4" s="603" t="s">
        <v>6</v>
      </c>
      <c r="E4" s="603"/>
      <c r="F4" s="604" t="s">
        <v>7</v>
      </c>
      <c r="G4" s="604" t="s">
        <v>8</v>
      </c>
      <c r="H4" s="604" t="s">
        <v>9</v>
      </c>
      <c r="I4" s="601" t="s">
        <v>10</v>
      </c>
      <c r="J4" s="601" t="s">
        <v>11</v>
      </c>
      <c r="K4" s="623" t="s">
        <v>12</v>
      </c>
    </row>
    <row r="5" ht="57" customHeight="1" spans="1:11">
      <c r="A5" s="605">
        <v>1</v>
      </c>
      <c r="B5" s="606" t="s">
        <v>13</v>
      </c>
      <c r="C5" s="607" t="s">
        <v>14</v>
      </c>
      <c r="D5" s="608">
        <v>816.21</v>
      </c>
      <c r="E5" s="608"/>
      <c r="F5" s="609">
        <v>213.18</v>
      </c>
      <c r="G5" s="609">
        <v>2123.13</v>
      </c>
      <c r="H5" s="645">
        <v>1300.31</v>
      </c>
      <c r="I5" s="609">
        <v>26.87</v>
      </c>
      <c r="J5" s="609">
        <f>D5+F5+G5+H5-I5</f>
        <v>4425.96</v>
      </c>
      <c r="K5" s="746" t="s">
        <v>15</v>
      </c>
    </row>
    <row r="6" ht="53.1" customHeight="1" spans="1:11">
      <c r="A6" s="605">
        <v>2</v>
      </c>
      <c r="B6" s="610"/>
      <c r="C6" s="607" t="s">
        <v>16</v>
      </c>
      <c r="D6" s="608">
        <v>2204.33</v>
      </c>
      <c r="E6" s="608"/>
      <c r="F6" s="609">
        <v>174.74</v>
      </c>
      <c r="G6" s="609">
        <v>1964.82</v>
      </c>
      <c r="H6" s="645">
        <v>1920.27</v>
      </c>
      <c r="I6" s="609">
        <v>187.92</v>
      </c>
      <c r="J6" s="609">
        <f t="shared" ref="J6:J12" si="0">D6+F6+G6+H6-I6</f>
        <v>6076.24</v>
      </c>
      <c r="K6" s="746" t="s">
        <v>15</v>
      </c>
    </row>
    <row r="7" ht="54" customHeight="1" spans="1:11">
      <c r="A7" s="605">
        <v>3</v>
      </c>
      <c r="B7" s="610"/>
      <c r="C7" s="607" t="s">
        <v>17</v>
      </c>
      <c r="D7" s="608">
        <v>2793.48</v>
      </c>
      <c r="E7" s="608"/>
      <c r="F7" s="609">
        <v>1753.28</v>
      </c>
      <c r="G7" s="609">
        <v>2384.22</v>
      </c>
      <c r="H7" s="645">
        <v>3022.88</v>
      </c>
      <c r="I7" s="609">
        <v>294.88</v>
      </c>
      <c r="J7" s="609">
        <f t="shared" si="0"/>
        <v>9658.98</v>
      </c>
      <c r="K7" s="746" t="s">
        <v>15</v>
      </c>
    </row>
    <row r="8" ht="53.1" customHeight="1" spans="1:11">
      <c r="A8" s="605">
        <v>4</v>
      </c>
      <c r="B8" s="610"/>
      <c r="C8" s="607" t="s">
        <v>18</v>
      </c>
      <c r="D8" s="608">
        <v>0</v>
      </c>
      <c r="E8" s="608"/>
      <c r="F8" s="609">
        <v>2367.53</v>
      </c>
      <c r="G8" s="609">
        <v>3279.69</v>
      </c>
      <c r="H8" s="645">
        <v>3573.46</v>
      </c>
      <c r="I8" s="609">
        <v>208.34</v>
      </c>
      <c r="J8" s="609">
        <f t="shared" si="0"/>
        <v>9012.34</v>
      </c>
      <c r="K8" s="747" t="s">
        <v>19</v>
      </c>
    </row>
    <row r="9" ht="54" customHeight="1" spans="1:11">
      <c r="A9" s="605">
        <v>5</v>
      </c>
      <c r="B9" s="606" t="s">
        <v>20</v>
      </c>
      <c r="C9" s="607" t="s">
        <v>21</v>
      </c>
      <c r="D9" s="608">
        <v>5811.9</v>
      </c>
      <c r="E9" s="608"/>
      <c r="F9" s="609">
        <v>3548.75</v>
      </c>
      <c r="G9" s="609">
        <v>507.91</v>
      </c>
      <c r="H9" s="645">
        <v>4141.23</v>
      </c>
      <c r="I9" s="609">
        <v>374.23</v>
      </c>
      <c r="J9" s="609">
        <f t="shared" si="0"/>
        <v>13635.56</v>
      </c>
      <c r="K9" s="746" t="s">
        <v>15</v>
      </c>
    </row>
    <row r="10" ht="54" customHeight="1" spans="1:11">
      <c r="A10" s="605">
        <v>6</v>
      </c>
      <c r="B10" s="610"/>
      <c r="C10" s="607" t="s">
        <v>22</v>
      </c>
      <c r="D10" s="608">
        <v>3492.98</v>
      </c>
      <c r="E10" s="608"/>
      <c r="F10" s="609">
        <v>3771.88</v>
      </c>
      <c r="G10" s="609">
        <v>1583.23</v>
      </c>
      <c r="H10" s="645">
        <v>3662.52</v>
      </c>
      <c r="I10" s="609">
        <v>328.89</v>
      </c>
      <c r="J10" s="609">
        <f t="shared" si="0"/>
        <v>12181.72</v>
      </c>
      <c r="K10" s="746" t="s">
        <v>15</v>
      </c>
    </row>
    <row r="11" ht="57" customHeight="1" spans="1:11">
      <c r="A11" s="605">
        <v>7</v>
      </c>
      <c r="B11" s="611"/>
      <c r="C11" s="587" t="s">
        <v>23</v>
      </c>
      <c r="D11" s="608">
        <v>3496.79</v>
      </c>
      <c r="E11" s="608"/>
      <c r="F11" s="609">
        <v>3605.54</v>
      </c>
      <c r="G11" s="609">
        <v>2544.14</v>
      </c>
      <c r="H11" s="645">
        <v>4129.49</v>
      </c>
      <c r="I11" s="609">
        <v>365.05</v>
      </c>
      <c r="J11" s="609">
        <f t="shared" si="0"/>
        <v>13410.91</v>
      </c>
      <c r="K11" s="746" t="s">
        <v>15</v>
      </c>
    </row>
    <row r="12" ht="101.1" customHeight="1" spans="1:11">
      <c r="A12" s="605">
        <v>8</v>
      </c>
      <c r="B12" s="612" t="s">
        <v>24</v>
      </c>
      <c r="C12" s="607" t="s">
        <v>25</v>
      </c>
      <c r="D12" s="608">
        <v>0</v>
      </c>
      <c r="E12" s="608"/>
      <c r="F12" s="609">
        <v>0</v>
      </c>
      <c r="G12" s="609">
        <v>0</v>
      </c>
      <c r="H12" s="645">
        <f>3000*70%*100%+3000*30%*100%</f>
        <v>3000</v>
      </c>
      <c r="I12" s="609">
        <v>90</v>
      </c>
      <c r="J12" s="609">
        <f t="shared" si="0"/>
        <v>2910</v>
      </c>
      <c r="K12" s="748" t="s">
        <v>26</v>
      </c>
    </row>
    <row r="13" ht="33" customHeight="1" spans="1:10">
      <c r="A13" s="613" t="s">
        <v>27</v>
      </c>
      <c r="B13" s="614"/>
      <c r="C13" s="615"/>
      <c r="D13" s="616">
        <f>SUM(D5:D12)</f>
        <v>18615.69</v>
      </c>
      <c r="E13" s="616"/>
      <c r="F13" s="616">
        <f>SUM(F5:F12)</f>
        <v>15434.9</v>
      </c>
      <c r="G13" s="616">
        <f>SUM(G5:G12)</f>
        <v>14387.14</v>
      </c>
      <c r="H13" s="616">
        <f>SUM(H5:H12)</f>
        <v>24750.16</v>
      </c>
      <c r="I13" s="616">
        <f>SUM(I5:I12)</f>
        <v>1876.18</v>
      </c>
      <c r="J13" s="616">
        <f>SUM(J5:J12)</f>
        <v>71311.71</v>
      </c>
    </row>
    <row r="14" spans="1:10">
      <c r="A14" s="617"/>
      <c r="B14" s="618"/>
      <c r="C14" s="618"/>
      <c r="D14" s="619"/>
      <c r="E14" s="619"/>
      <c r="F14" s="619"/>
      <c r="G14" s="619"/>
      <c r="H14" s="619"/>
      <c r="I14" s="619"/>
      <c r="J14" s="619"/>
    </row>
    <row r="15" ht="15.5" spans="1:10">
      <c r="A15" s="620" t="s">
        <v>28</v>
      </c>
      <c r="B15" s="621"/>
      <c r="C15" s="622"/>
      <c r="D15" s="622"/>
      <c r="E15" s="622"/>
      <c r="F15" s="621"/>
      <c r="G15" s="621"/>
      <c r="H15" s="621"/>
      <c r="I15" s="621"/>
      <c r="J15" s="621"/>
    </row>
    <row r="18" ht="42" customHeight="1" spans="1:10">
      <c r="A18" s="595" t="s">
        <v>0</v>
      </c>
      <c r="B18" s="595"/>
      <c r="C18" s="595"/>
      <c r="D18" s="595"/>
      <c r="E18" s="595"/>
      <c r="F18" s="595"/>
      <c r="G18" s="595"/>
      <c r="H18" s="595"/>
      <c r="I18" s="686"/>
      <c r="J18" s="686"/>
    </row>
    <row r="19" ht="42" customHeight="1" spans="1:10">
      <c r="A19" s="597" t="s">
        <v>29</v>
      </c>
      <c r="B19" s="597"/>
      <c r="C19" s="597"/>
      <c r="D19" s="597"/>
      <c r="E19" s="597"/>
      <c r="F19" s="597"/>
      <c r="G19" s="597"/>
      <c r="H19" s="597"/>
      <c r="I19" s="687"/>
      <c r="J19" s="687"/>
    </row>
    <row r="20" spans="1:9">
      <c r="A20" s="598"/>
      <c r="B20" s="599"/>
      <c r="C20" s="599"/>
      <c r="D20" s="599"/>
      <c r="E20" s="599"/>
      <c r="F20" s="599"/>
      <c r="G20" s="599" t="s">
        <v>30</v>
      </c>
      <c r="H20" s="599"/>
      <c r="I20" s="599"/>
    </row>
    <row r="21" s="586" customFormat="1" ht="38.1" customHeight="1" spans="1:8">
      <c r="A21" s="600" t="s">
        <v>3</v>
      </c>
      <c r="B21" s="601" t="s">
        <v>4</v>
      </c>
      <c r="C21" s="601" t="s">
        <v>5</v>
      </c>
      <c r="D21" s="623" t="s">
        <v>31</v>
      </c>
      <c r="E21" s="623"/>
      <c r="F21" s="601" t="s">
        <v>10</v>
      </c>
      <c r="G21" s="601" t="s">
        <v>11</v>
      </c>
      <c r="H21" s="623" t="s">
        <v>12</v>
      </c>
    </row>
    <row r="22" ht="37" customHeight="1" spans="1:8">
      <c r="A22" s="605">
        <v>1</v>
      </c>
      <c r="B22" s="612" t="s">
        <v>13</v>
      </c>
      <c r="C22" s="158" t="s">
        <v>14</v>
      </c>
      <c r="D22" s="608">
        <v>6089.2</v>
      </c>
      <c r="E22" s="608"/>
      <c r="F22" s="624"/>
      <c r="G22" s="624"/>
      <c r="H22" s="624"/>
    </row>
    <row r="23" ht="37" customHeight="1" spans="1:8">
      <c r="A23" s="605">
        <v>2</v>
      </c>
      <c r="B23" s="612"/>
      <c r="C23" s="158" t="s">
        <v>16</v>
      </c>
      <c r="D23" s="608">
        <v>2899.58</v>
      </c>
      <c r="E23" s="608"/>
      <c r="F23" s="624"/>
      <c r="G23" s="624"/>
      <c r="H23" s="624"/>
    </row>
    <row r="24" ht="37" customHeight="1" spans="1:8">
      <c r="A24" s="605">
        <v>3</v>
      </c>
      <c r="B24" s="612"/>
      <c r="C24" s="158" t="s">
        <v>17</v>
      </c>
      <c r="D24" s="608">
        <v>3774.44</v>
      </c>
      <c r="E24" s="608"/>
      <c r="F24" s="624"/>
      <c r="G24" s="624"/>
      <c r="H24" s="624"/>
    </row>
    <row r="25" ht="37" customHeight="1" spans="1:8">
      <c r="A25" s="605">
        <v>4</v>
      </c>
      <c r="B25" s="612"/>
      <c r="C25" s="158" t="s">
        <v>18</v>
      </c>
      <c r="D25" s="608">
        <v>2932.14</v>
      </c>
      <c r="E25" s="608"/>
      <c r="F25" s="624"/>
      <c r="G25" s="624"/>
      <c r="H25" s="624"/>
    </row>
    <row r="26" ht="37" customHeight="1" spans="1:8">
      <c r="A26" s="605">
        <v>5</v>
      </c>
      <c r="B26" s="612" t="s">
        <v>20</v>
      </c>
      <c r="C26" s="158" t="s">
        <v>21</v>
      </c>
      <c r="D26" s="608">
        <v>4165.45</v>
      </c>
      <c r="E26" s="608"/>
      <c r="F26" s="624"/>
      <c r="G26" s="624"/>
      <c r="H26" s="624"/>
    </row>
    <row r="27" ht="37" customHeight="1" spans="1:12">
      <c r="A27" s="605">
        <v>6</v>
      </c>
      <c r="B27" s="612"/>
      <c r="C27" s="158" t="s">
        <v>22</v>
      </c>
      <c r="D27" s="608">
        <v>1758.87</v>
      </c>
      <c r="E27" s="608"/>
      <c r="F27" s="624"/>
      <c r="G27" s="624"/>
      <c r="H27" s="624"/>
      <c r="K27" s="594">
        <v>1758.87</v>
      </c>
      <c r="L27" s="592">
        <v>1934.76</v>
      </c>
    </row>
    <row r="28" ht="37" customHeight="1" spans="1:12">
      <c r="A28" s="605">
        <v>7</v>
      </c>
      <c r="B28" s="612"/>
      <c r="C28" s="608" t="s">
        <v>23</v>
      </c>
      <c r="D28" s="608">
        <v>1741.51</v>
      </c>
      <c r="E28" s="608"/>
      <c r="F28" s="624"/>
      <c r="G28" s="624"/>
      <c r="H28" s="624"/>
      <c r="L28" s="592">
        <f>L27-K27</f>
        <v>175.89</v>
      </c>
    </row>
    <row r="29" spans="4:4">
      <c r="D29" s="587">
        <f>SUM(D22:D28)</f>
        <v>23361.19</v>
      </c>
    </row>
    <row r="30" ht="15.5" spans="1:10">
      <c r="A30" s="625" t="s">
        <v>32</v>
      </c>
      <c r="B30" s="621"/>
      <c r="C30" s="622"/>
      <c r="D30" s="622"/>
      <c r="E30" s="622"/>
      <c r="F30" s="621"/>
      <c r="G30" s="621"/>
      <c r="H30" s="621"/>
      <c r="I30" s="621"/>
      <c r="J30" s="621"/>
    </row>
    <row r="32" ht="25" spans="1:8">
      <c r="A32" s="595" t="s">
        <v>0</v>
      </c>
      <c r="B32" s="595"/>
      <c r="C32" s="595"/>
      <c r="D32" s="595"/>
      <c r="E32" s="595"/>
      <c r="F32" s="595"/>
      <c r="G32" s="595"/>
      <c r="H32" s="595"/>
    </row>
    <row r="33" ht="16.5" spans="1:8">
      <c r="A33" s="597" t="s">
        <v>33</v>
      </c>
      <c r="B33" s="597"/>
      <c r="C33" s="597"/>
      <c r="D33" s="597"/>
      <c r="E33" s="597"/>
      <c r="F33" s="597"/>
      <c r="G33" s="597"/>
      <c r="H33" s="597"/>
    </row>
    <row r="34" spans="1:8">
      <c r="A34" s="598"/>
      <c r="B34" s="599"/>
      <c r="C34" s="599"/>
      <c r="D34" s="599"/>
      <c r="E34" s="599"/>
      <c r="F34" s="599"/>
      <c r="G34" s="599" t="s">
        <v>34</v>
      </c>
      <c r="H34" s="599"/>
    </row>
    <row r="35" ht="28" customHeight="1" spans="1:8">
      <c r="A35" s="600" t="s">
        <v>3</v>
      </c>
      <c r="B35" s="601" t="s">
        <v>4</v>
      </c>
      <c r="C35" s="601" t="s">
        <v>5</v>
      </c>
      <c r="D35" s="623" t="s">
        <v>35</v>
      </c>
      <c r="E35" s="623" t="s">
        <v>36</v>
      </c>
      <c r="F35" s="601" t="s">
        <v>10</v>
      </c>
      <c r="G35" s="601" t="s">
        <v>11</v>
      </c>
      <c r="H35" s="623" t="s">
        <v>12</v>
      </c>
    </row>
    <row r="36" ht="37" customHeight="1" spans="1:8">
      <c r="A36" s="605">
        <v>1</v>
      </c>
      <c r="B36" s="612" t="s">
        <v>13</v>
      </c>
      <c r="C36" s="158" t="s">
        <v>14</v>
      </c>
      <c r="D36" s="608">
        <v>3368.37</v>
      </c>
      <c r="E36" s="608"/>
      <c r="F36" s="624"/>
      <c r="G36" s="624"/>
      <c r="H36" s="624"/>
    </row>
    <row r="37" ht="39" customHeight="1" spans="1:8">
      <c r="A37" s="605">
        <v>2</v>
      </c>
      <c r="B37" s="612"/>
      <c r="C37" s="158" t="s">
        <v>16</v>
      </c>
      <c r="D37" s="608">
        <v>3590.38</v>
      </c>
      <c r="E37" s="608"/>
      <c r="F37" s="624"/>
      <c r="G37" s="624"/>
      <c r="H37" s="624"/>
    </row>
    <row r="38" ht="39" customHeight="1" spans="1:8">
      <c r="A38" s="605">
        <v>3</v>
      </c>
      <c r="B38" s="612"/>
      <c r="C38" s="158" t="s">
        <v>18</v>
      </c>
      <c r="D38" s="608">
        <v>3168.12</v>
      </c>
      <c r="E38" s="608"/>
      <c r="F38" s="624"/>
      <c r="G38" s="624"/>
      <c r="H38" s="624"/>
    </row>
    <row r="39" ht="40" customHeight="1" spans="1:8">
      <c r="A39" s="605">
        <v>4</v>
      </c>
      <c r="B39" s="612" t="s">
        <v>20</v>
      </c>
      <c r="C39" s="158" t="s">
        <v>21</v>
      </c>
      <c r="D39" s="608">
        <v>2788.88</v>
      </c>
      <c r="E39" s="608"/>
      <c r="F39" s="624"/>
      <c r="G39" s="624"/>
      <c r="H39" s="624"/>
    </row>
    <row r="40" ht="42" spans="1:8">
      <c r="A40" s="605">
        <v>5</v>
      </c>
      <c r="B40" s="612"/>
      <c r="C40" s="158" t="s">
        <v>22</v>
      </c>
      <c r="D40" s="608">
        <v>1835.99</v>
      </c>
      <c r="E40" s="608">
        <v>175.89</v>
      </c>
      <c r="F40" s="624"/>
      <c r="G40" s="624"/>
      <c r="H40" s="743" t="s">
        <v>37</v>
      </c>
    </row>
    <row r="41" ht="38" customHeight="1" spans="1:8">
      <c r="A41" s="605">
        <v>6</v>
      </c>
      <c r="B41" s="612"/>
      <c r="C41" s="608" t="s">
        <v>23</v>
      </c>
      <c r="D41" s="608">
        <v>2306.59</v>
      </c>
      <c r="E41" s="608"/>
      <c r="F41" s="624"/>
      <c r="G41" s="624"/>
      <c r="H41" s="624"/>
    </row>
    <row r="42" ht="32" customHeight="1" spans="1:8">
      <c r="A42" s="744" t="s">
        <v>11</v>
      </c>
      <c r="B42" s="745"/>
      <c r="C42" s="745"/>
      <c r="D42" s="608">
        <f>SUM(D36:D41)</f>
        <v>17058.33</v>
      </c>
      <c r="E42" s="608"/>
      <c r="F42" s="624"/>
      <c r="G42" s="624"/>
      <c r="H42" s="624"/>
    </row>
    <row r="43" ht="37" customHeight="1" spans="1:8">
      <c r="A43" s="625" t="s">
        <v>32</v>
      </c>
      <c r="B43" s="621"/>
      <c r="C43" s="622"/>
      <c r="D43" s="622"/>
      <c r="E43" s="622"/>
      <c r="F43" s="621"/>
      <c r="G43" s="621"/>
      <c r="H43" s="621"/>
    </row>
  </sheetData>
  <mergeCells count="15">
    <mergeCell ref="A1:J1"/>
    <mergeCell ref="A2:J2"/>
    <mergeCell ref="I3:K3"/>
    <mergeCell ref="A13:C13"/>
    <mergeCell ref="A18:H18"/>
    <mergeCell ref="A19:H19"/>
    <mergeCell ref="A32:H32"/>
    <mergeCell ref="A33:H33"/>
    <mergeCell ref="A42:C42"/>
    <mergeCell ref="B5:B8"/>
    <mergeCell ref="B9:B11"/>
    <mergeCell ref="B22:B25"/>
    <mergeCell ref="B26:B28"/>
    <mergeCell ref="B36:B38"/>
    <mergeCell ref="B39:B41"/>
  </mergeCells>
  <printOptions horizontalCentered="1"/>
  <pageMargins left="0.38125" right="0.200694444444444" top="0.786805555555556" bottom="0.751388888888889" header="0.298611111111111" footer="0.298611111111111"/>
  <pageSetup paperSize="9" scale="82" orientation="portrait" horizontalDpi="600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124"/>
  <sheetViews>
    <sheetView workbookViewId="0">
      <pane xSplit="5" ySplit="3" topLeftCell="H4" activePane="bottomRight" state="frozen"/>
      <selection/>
      <selection pane="topRight"/>
      <selection pane="bottomLeft"/>
      <selection pane="bottomRight" activeCell="H28" sqref="H28"/>
    </sheetView>
  </sheetViews>
  <sheetFormatPr defaultColWidth="9" defaultRowHeight="13"/>
  <cols>
    <col min="1" max="1" width="4" style="20" customWidth="1"/>
    <col min="2" max="2" width="32.8727272727273" style="6" customWidth="1"/>
    <col min="3" max="4" width="4.25454545454545" style="20" customWidth="1"/>
    <col min="5" max="5" width="10.5" style="4" customWidth="1"/>
    <col min="6" max="7" width="10.5" style="30" customWidth="1"/>
    <col min="8" max="8" width="11.6272727272727" style="316" customWidth="1"/>
    <col min="9" max="9" width="10.5" style="30" customWidth="1"/>
    <col min="10" max="11" width="10.5" style="20" customWidth="1"/>
    <col min="12" max="12" width="11.7545454545455" style="317" customWidth="1"/>
    <col min="13" max="13" width="11.2545454545455" style="20" customWidth="1"/>
    <col min="14" max="14" width="12.7545454545455" style="20" customWidth="1"/>
    <col min="15" max="15" width="11.2545454545455" style="20" customWidth="1"/>
    <col min="16" max="16" width="11.2545454545455" style="317" customWidth="1"/>
    <col min="17" max="19" width="11.8727272727273" style="20" customWidth="1"/>
    <col min="20" max="20" width="11.8727272727273" style="317" customWidth="1"/>
    <col min="21" max="21" width="4.5" style="20" customWidth="1"/>
    <col min="22" max="22" width="16.5" style="20" customWidth="1"/>
    <col min="23" max="23" width="3.75454545454545" style="20" customWidth="1"/>
    <col min="24" max="24" width="11.1272727272727" style="20" customWidth="1"/>
    <col min="25" max="25" width="40.6272727272727" style="6" customWidth="1"/>
    <col min="26" max="26" width="17.1272727272727" style="6" customWidth="1"/>
    <col min="27" max="27" width="12.2545454545455" style="6" customWidth="1"/>
    <col min="28" max="28" width="14.5" style="6" customWidth="1"/>
    <col min="29" max="30" width="11.5" style="20"/>
    <col min="31" max="33" width="11.5" style="21" customWidth="1"/>
    <col min="34" max="16384" width="9" style="20"/>
  </cols>
  <sheetData>
    <row r="1" ht="25.5" customHeight="1" spans="1:1">
      <c r="A1" s="251" t="s">
        <v>284</v>
      </c>
    </row>
    <row r="2" ht="19.5" customHeight="1" spans="1:1">
      <c r="A2" s="251" t="s">
        <v>285</v>
      </c>
    </row>
    <row r="3" s="30" customFormat="1" ht="19.5" customHeight="1" spans="1:33">
      <c r="A3" s="254" t="s">
        <v>3</v>
      </c>
      <c r="B3" s="286" t="s">
        <v>286</v>
      </c>
      <c r="C3" s="254" t="s">
        <v>287</v>
      </c>
      <c r="D3" s="254" t="s">
        <v>224</v>
      </c>
      <c r="E3" s="286" t="s">
        <v>288</v>
      </c>
      <c r="F3" s="254" t="s">
        <v>289</v>
      </c>
      <c r="G3" s="254" t="s">
        <v>290</v>
      </c>
      <c r="H3" s="318" t="s">
        <v>291</v>
      </c>
      <c r="I3" s="278" t="s">
        <v>292</v>
      </c>
      <c r="J3" s="254" t="s">
        <v>293</v>
      </c>
      <c r="K3" s="254" t="s">
        <v>294</v>
      </c>
      <c r="L3" s="318" t="s">
        <v>295</v>
      </c>
      <c r="M3" s="254" t="s">
        <v>296</v>
      </c>
      <c r="N3" s="254" t="s">
        <v>297</v>
      </c>
      <c r="O3" s="254" t="s">
        <v>298</v>
      </c>
      <c r="P3" s="318" t="s">
        <v>299</v>
      </c>
      <c r="Q3" s="254" t="s">
        <v>300</v>
      </c>
      <c r="R3" s="254" t="s">
        <v>301</v>
      </c>
      <c r="S3" s="254" t="s">
        <v>302</v>
      </c>
      <c r="T3" s="318" t="s">
        <v>303</v>
      </c>
      <c r="V3" s="252" t="s">
        <v>395</v>
      </c>
      <c r="Y3"/>
      <c r="Z3"/>
      <c r="AA3"/>
      <c r="AB3"/>
      <c r="AC3"/>
      <c r="AD3"/>
      <c r="AE3"/>
      <c r="AF3" s="21"/>
      <c r="AG3" s="21"/>
    </row>
    <row r="4" s="315" customFormat="1" ht="19.5" customHeight="1" spans="1:36">
      <c r="A4" s="319">
        <v>1</v>
      </c>
      <c r="B4" s="319" t="s">
        <v>196</v>
      </c>
      <c r="C4" s="319" t="s">
        <v>305</v>
      </c>
      <c r="D4" s="319" t="s">
        <v>306</v>
      </c>
      <c r="E4" s="320">
        <v>250000</v>
      </c>
      <c r="F4" s="320">
        <v>130000</v>
      </c>
      <c r="G4" s="320">
        <v>100000</v>
      </c>
      <c r="H4" s="321">
        <f t="shared" ref="H4:H12" si="0">SUM(E4:G4)</f>
        <v>480000</v>
      </c>
      <c r="I4" s="320">
        <v>350000</v>
      </c>
      <c r="J4" s="320">
        <v>550000</v>
      </c>
      <c r="K4" s="320">
        <v>283800</v>
      </c>
      <c r="L4" s="321">
        <f t="shared" ref="L4:L12" si="1">SUM(I4:K4)</f>
        <v>1183800</v>
      </c>
      <c r="M4" s="320">
        <v>300000</v>
      </c>
      <c r="N4" s="320">
        <v>550000</v>
      </c>
      <c r="O4" s="320">
        <v>550000</v>
      </c>
      <c r="P4" s="321">
        <f t="shared" ref="P4:P12" si="2">SUM(M4:O4)</f>
        <v>1400000</v>
      </c>
      <c r="Q4" s="320">
        <v>285000</v>
      </c>
      <c r="R4" s="320">
        <v>762500</v>
      </c>
      <c r="S4" s="320">
        <v>510000</v>
      </c>
      <c r="T4" s="321">
        <f t="shared" ref="T4:T12" si="3">SUM(Q4:S4)</f>
        <v>1557500</v>
      </c>
      <c r="V4" s="329">
        <f t="shared" ref="V4:V67" si="4">S4+R4+Q4+O4+N4+M4+K4+J4+I4+G4+F4+E4</f>
        <v>4621300</v>
      </c>
      <c r="X4" s="330"/>
      <c r="Y4" s="331" t="s">
        <v>492</v>
      </c>
      <c r="Z4" s="331" t="s">
        <v>493</v>
      </c>
      <c r="AA4" s="331" t="s">
        <v>494</v>
      </c>
      <c r="AB4" s="331" t="s">
        <v>495</v>
      </c>
      <c r="AC4" s="332" t="s">
        <v>496</v>
      </c>
      <c r="AD4" s="332"/>
      <c r="AE4" s="330"/>
      <c r="AF4" s="330"/>
      <c r="AG4" s="330"/>
      <c r="AH4" s="330"/>
      <c r="AI4" s="330"/>
      <c r="AJ4" s="330"/>
    </row>
    <row r="5" s="315" customFormat="1" ht="19.5" customHeight="1" spans="1:36">
      <c r="A5" s="319">
        <v>2</v>
      </c>
      <c r="B5" s="319" t="s">
        <v>307</v>
      </c>
      <c r="C5" s="319" t="s">
        <v>305</v>
      </c>
      <c r="D5" s="319" t="s">
        <v>306</v>
      </c>
      <c r="E5" s="320">
        <v>173281.75</v>
      </c>
      <c r="F5" s="320">
        <v>0</v>
      </c>
      <c r="G5" s="320">
        <v>330711.2</v>
      </c>
      <c r="H5" s="321">
        <f t="shared" si="0"/>
        <v>503992.95</v>
      </c>
      <c r="I5" s="320">
        <v>43282.5</v>
      </c>
      <c r="J5" s="320">
        <v>76129.5</v>
      </c>
      <c r="K5" s="320">
        <v>65477.25</v>
      </c>
      <c r="L5" s="321">
        <f t="shared" si="1"/>
        <v>184889.25</v>
      </c>
      <c r="M5" s="320">
        <v>123666.65</v>
      </c>
      <c r="N5" s="320">
        <v>249473</v>
      </c>
      <c r="O5" s="320">
        <v>0</v>
      </c>
      <c r="P5" s="321">
        <f t="shared" si="2"/>
        <v>373139.65</v>
      </c>
      <c r="Q5" s="320">
        <v>37044.6</v>
      </c>
      <c r="R5" s="320">
        <v>35187.45</v>
      </c>
      <c r="S5" s="320">
        <v>138640.15</v>
      </c>
      <c r="T5" s="321">
        <f t="shared" si="3"/>
        <v>210872.2</v>
      </c>
      <c r="V5" s="329">
        <f t="shared" si="4"/>
        <v>1272894.05</v>
      </c>
      <c r="X5" s="330"/>
      <c r="Y5" s="333" t="s">
        <v>353</v>
      </c>
      <c r="Z5" s="333">
        <v>389243</v>
      </c>
      <c r="AA5" s="333">
        <f>VLOOKUP(Y5,[1]Sheet2!$A$3:$B$19,2,0)</f>
        <v>39870</v>
      </c>
      <c r="AB5" s="333">
        <f t="shared" ref="AB5:AB33" si="5">Z5-AA5</f>
        <v>349373</v>
      </c>
      <c r="AC5" s="315">
        <f>VLOOKUP(Y5,[2]杭州!$B:$BR,69,0)</f>
        <v>240463</v>
      </c>
      <c r="AD5" s="330">
        <f t="shared" ref="AD5:AD33" si="6">AB5-AC5</f>
        <v>108910</v>
      </c>
      <c r="AE5" s="330" t="s">
        <v>497</v>
      </c>
      <c r="AF5" s="330"/>
      <c r="AG5" s="330"/>
      <c r="AH5" s="330"/>
      <c r="AI5" s="330"/>
      <c r="AJ5" s="330"/>
    </row>
    <row r="6" s="315" customFormat="1" ht="19.5" customHeight="1" spans="1:36">
      <c r="A6" s="319">
        <v>3</v>
      </c>
      <c r="B6" s="319" t="s">
        <v>308</v>
      </c>
      <c r="C6" s="319" t="s">
        <v>305</v>
      </c>
      <c r="D6" s="319" t="s">
        <v>306</v>
      </c>
      <c r="E6" s="320">
        <v>6910</v>
      </c>
      <c r="F6" s="320">
        <v>0</v>
      </c>
      <c r="G6" s="320">
        <v>0</v>
      </c>
      <c r="H6" s="321">
        <f t="shared" si="0"/>
        <v>6910</v>
      </c>
      <c r="I6" s="320">
        <v>0</v>
      </c>
      <c r="J6" s="320">
        <v>12411</v>
      </c>
      <c r="K6" s="320">
        <v>3910</v>
      </c>
      <c r="L6" s="321">
        <f t="shared" si="1"/>
        <v>16321</v>
      </c>
      <c r="M6" s="320">
        <v>0</v>
      </c>
      <c r="N6" s="320">
        <v>0</v>
      </c>
      <c r="O6" s="320">
        <v>14284</v>
      </c>
      <c r="P6" s="321">
        <f t="shared" si="2"/>
        <v>14284</v>
      </c>
      <c r="Q6" s="320">
        <v>0</v>
      </c>
      <c r="R6" s="320">
        <v>4360</v>
      </c>
      <c r="S6" s="320">
        <v>0</v>
      </c>
      <c r="T6" s="321">
        <f t="shared" si="3"/>
        <v>4360</v>
      </c>
      <c r="V6" s="329">
        <f t="shared" si="4"/>
        <v>41875</v>
      </c>
      <c r="X6" s="330"/>
      <c r="Y6" s="333" t="s">
        <v>347</v>
      </c>
      <c r="Z6" s="333">
        <v>226005</v>
      </c>
      <c r="AA6" s="333">
        <f>VLOOKUP(Y6,[1]Sheet2!$A$3:$B$19,2,0)</f>
        <v>45084</v>
      </c>
      <c r="AB6" s="333">
        <f t="shared" si="5"/>
        <v>180921</v>
      </c>
      <c r="AC6" s="315">
        <f>VLOOKUP(Y6,[2]杭州!$B:$BR,69,0)</f>
        <v>180921</v>
      </c>
      <c r="AD6" s="330">
        <f t="shared" si="6"/>
        <v>0</v>
      </c>
      <c r="AE6" s="330"/>
      <c r="AF6" s="330"/>
      <c r="AG6" s="330"/>
      <c r="AH6" s="330"/>
      <c r="AI6" s="330"/>
      <c r="AJ6" s="330"/>
    </row>
    <row r="7" ht="19.5" customHeight="1" spans="1:36">
      <c r="A7" s="256">
        <v>4</v>
      </c>
      <c r="B7" s="266" t="s">
        <v>498</v>
      </c>
      <c r="C7" s="256" t="s">
        <v>305</v>
      </c>
      <c r="D7" s="256" t="s">
        <v>306</v>
      </c>
      <c r="E7" s="279">
        <v>0</v>
      </c>
      <c r="F7" s="257">
        <v>0</v>
      </c>
      <c r="G7" s="257">
        <v>0</v>
      </c>
      <c r="H7" s="322">
        <f t="shared" si="0"/>
        <v>0</v>
      </c>
      <c r="I7" s="257">
        <v>0</v>
      </c>
      <c r="J7" s="257">
        <v>0</v>
      </c>
      <c r="K7" s="257">
        <v>0</v>
      </c>
      <c r="L7" s="322">
        <f t="shared" si="1"/>
        <v>0</v>
      </c>
      <c r="M7" s="257">
        <v>0</v>
      </c>
      <c r="N7" s="257">
        <v>0</v>
      </c>
      <c r="O7" s="291">
        <v>0</v>
      </c>
      <c r="P7" s="322">
        <f t="shared" si="2"/>
        <v>0</v>
      </c>
      <c r="Q7" s="257">
        <v>0</v>
      </c>
      <c r="R7" s="257">
        <v>0</v>
      </c>
      <c r="S7" s="257">
        <v>0</v>
      </c>
      <c r="T7" s="322">
        <f t="shared" si="3"/>
        <v>0</v>
      </c>
      <c r="V7" s="29">
        <f t="shared" si="4"/>
        <v>0</v>
      </c>
      <c r="X7"/>
      <c r="Y7" s="5" t="s">
        <v>499</v>
      </c>
      <c r="Z7" s="5">
        <v>10300</v>
      </c>
      <c r="AA7" s="5"/>
      <c r="AB7" s="5">
        <f t="shared" si="5"/>
        <v>10300</v>
      </c>
      <c r="AD7">
        <f t="shared" si="6"/>
        <v>10300</v>
      </c>
      <c r="AE7"/>
      <c r="AF7"/>
      <c r="AG7"/>
      <c r="AH7"/>
      <c r="AI7"/>
      <c r="AJ7"/>
    </row>
    <row r="8" ht="19.5" customHeight="1" spans="1:36">
      <c r="A8" s="256">
        <v>5</v>
      </c>
      <c r="B8" s="266" t="s">
        <v>500</v>
      </c>
      <c r="C8" s="256"/>
      <c r="D8" s="256"/>
      <c r="E8" s="279">
        <v>0</v>
      </c>
      <c r="F8" s="257">
        <v>0</v>
      </c>
      <c r="G8" s="257">
        <v>0</v>
      </c>
      <c r="H8" s="322">
        <f t="shared" si="0"/>
        <v>0</v>
      </c>
      <c r="I8" s="257">
        <v>0</v>
      </c>
      <c r="J8" s="257">
        <v>0</v>
      </c>
      <c r="K8" s="257">
        <v>0</v>
      </c>
      <c r="L8" s="322">
        <f t="shared" si="1"/>
        <v>0</v>
      </c>
      <c r="M8" s="257">
        <v>0</v>
      </c>
      <c r="N8" s="257">
        <v>0</v>
      </c>
      <c r="O8" s="257">
        <v>0</v>
      </c>
      <c r="P8" s="322">
        <f t="shared" si="2"/>
        <v>0</v>
      </c>
      <c r="Q8" s="257">
        <v>0</v>
      </c>
      <c r="R8" s="257">
        <v>0</v>
      </c>
      <c r="S8" s="257">
        <v>0</v>
      </c>
      <c r="T8" s="322">
        <f t="shared" si="3"/>
        <v>0</v>
      </c>
      <c r="V8" s="29">
        <f t="shared" si="4"/>
        <v>0</v>
      </c>
      <c r="X8"/>
      <c r="Y8" s="5" t="s">
        <v>340</v>
      </c>
      <c r="Z8" s="5">
        <v>59956</v>
      </c>
      <c r="AA8" s="5"/>
      <c r="AB8" s="5">
        <f t="shared" si="5"/>
        <v>59956</v>
      </c>
      <c r="AC8" s="20">
        <f>VLOOKUP(Y8,[2]杭州!$B:$BR,69,0)</f>
        <v>59956</v>
      </c>
      <c r="AD8">
        <f t="shared" si="6"/>
        <v>0</v>
      </c>
      <c r="AE8"/>
      <c r="AF8"/>
      <c r="AG8"/>
      <c r="AH8"/>
      <c r="AI8"/>
      <c r="AJ8"/>
    </row>
    <row r="9" ht="19.5" customHeight="1" spans="1:36">
      <c r="A9" s="256">
        <v>6</v>
      </c>
      <c r="B9" s="266" t="s">
        <v>501</v>
      </c>
      <c r="C9" s="256"/>
      <c r="D9" s="256"/>
      <c r="E9" s="279">
        <v>0</v>
      </c>
      <c r="F9" s="257">
        <v>0</v>
      </c>
      <c r="G9" s="257">
        <v>0</v>
      </c>
      <c r="H9" s="322">
        <f t="shared" si="0"/>
        <v>0</v>
      </c>
      <c r="I9" s="257">
        <v>0</v>
      </c>
      <c r="J9" s="257">
        <v>0</v>
      </c>
      <c r="K9" s="257">
        <v>0</v>
      </c>
      <c r="L9" s="322">
        <f t="shared" si="1"/>
        <v>0</v>
      </c>
      <c r="M9" s="257">
        <v>0</v>
      </c>
      <c r="N9" s="257">
        <v>0</v>
      </c>
      <c r="O9" s="257">
        <v>0</v>
      </c>
      <c r="P9" s="322">
        <f t="shared" si="2"/>
        <v>0</v>
      </c>
      <c r="Q9" s="257">
        <v>0</v>
      </c>
      <c r="R9" s="257">
        <v>0</v>
      </c>
      <c r="S9" s="257">
        <v>0</v>
      </c>
      <c r="T9" s="322">
        <f t="shared" si="3"/>
        <v>0</v>
      </c>
      <c r="V9" s="29">
        <f t="shared" si="4"/>
        <v>0</v>
      </c>
      <c r="X9"/>
      <c r="Y9" s="5" t="s">
        <v>357</v>
      </c>
      <c r="Z9" s="5">
        <v>106859</v>
      </c>
      <c r="AA9" s="5"/>
      <c r="AB9" s="5">
        <f t="shared" si="5"/>
        <v>106859</v>
      </c>
      <c r="AC9" s="20">
        <f>VLOOKUP(Y9,[2]杭州!$B:$BR,69,0)</f>
        <v>106859</v>
      </c>
      <c r="AD9">
        <f t="shared" si="6"/>
        <v>0</v>
      </c>
      <c r="AE9"/>
      <c r="AF9"/>
      <c r="AG9"/>
      <c r="AH9"/>
      <c r="AI9"/>
      <c r="AJ9"/>
    </row>
    <row r="10" ht="19.5" customHeight="1" spans="1:36">
      <c r="A10" s="256">
        <v>7</v>
      </c>
      <c r="B10" s="290" t="s">
        <v>502</v>
      </c>
      <c r="C10" s="256"/>
      <c r="D10" s="256"/>
      <c r="E10" s="279">
        <v>0</v>
      </c>
      <c r="F10" s="257">
        <v>0</v>
      </c>
      <c r="G10" s="257">
        <v>0</v>
      </c>
      <c r="H10" s="322">
        <f t="shared" si="0"/>
        <v>0</v>
      </c>
      <c r="I10" s="257">
        <v>0</v>
      </c>
      <c r="J10" s="257">
        <v>0</v>
      </c>
      <c r="K10" s="257">
        <v>0</v>
      </c>
      <c r="L10" s="322">
        <f t="shared" si="1"/>
        <v>0</v>
      </c>
      <c r="M10" s="257">
        <v>0</v>
      </c>
      <c r="N10" s="257">
        <v>0</v>
      </c>
      <c r="O10" s="257">
        <v>0</v>
      </c>
      <c r="P10" s="322">
        <f t="shared" si="2"/>
        <v>0</v>
      </c>
      <c r="Q10" s="257">
        <v>0</v>
      </c>
      <c r="R10" s="257">
        <v>0</v>
      </c>
      <c r="S10" s="257">
        <v>0</v>
      </c>
      <c r="T10" s="322">
        <f t="shared" si="3"/>
        <v>0</v>
      </c>
      <c r="V10" s="29">
        <f t="shared" si="4"/>
        <v>0</v>
      </c>
      <c r="X10"/>
      <c r="Y10" s="5" t="s">
        <v>351</v>
      </c>
      <c r="Z10" s="5">
        <v>210929</v>
      </c>
      <c r="AA10" s="5">
        <f>VLOOKUP(Y10,[1]Sheet2!$A$3:$B$19,2,0)</f>
        <v>14948</v>
      </c>
      <c r="AB10" s="5">
        <f t="shared" si="5"/>
        <v>195981</v>
      </c>
      <c r="AC10" s="20">
        <f>VLOOKUP(Y10,[2]杭州!$B:$BR,69,0)</f>
        <v>195981</v>
      </c>
      <c r="AD10">
        <f t="shared" si="6"/>
        <v>0</v>
      </c>
      <c r="AE10"/>
      <c r="AF10"/>
      <c r="AG10"/>
      <c r="AH10"/>
      <c r="AI10"/>
      <c r="AJ10"/>
    </row>
    <row r="11" s="315" customFormat="1" ht="19.5" customHeight="1" spans="1:36">
      <c r="A11" s="319">
        <v>8</v>
      </c>
      <c r="B11" s="319" t="s">
        <v>309</v>
      </c>
      <c r="C11" s="319" t="s">
        <v>310</v>
      </c>
      <c r="D11" s="319" t="s">
        <v>306</v>
      </c>
      <c r="E11" s="320">
        <v>10859</v>
      </c>
      <c r="F11" s="320">
        <v>0</v>
      </c>
      <c r="G11" s="320">
        <v>0</v>
      </c>
      <c r="H11" s="321">
        <f t="shared" si="0"/>
        <v>10859</v>
      </c>
      <c r="I11" s="320">
        <v>0</v>
      </c>
      <c r="J11" s="320">
        <v>0</v>
      </c>
      <c r="K11" s="320">
        <v>0</v>
      </c>
      <c r="L11" s="321">
        <f t="shared" si="1"/>
        <v>0</v>
      </c>
      <c r="M11" s="320">
        <v>0</v>
      </c>
      <c r="N11" s="320">
        <v>0</v>
      </c>
      <c r="O11" s="320">
        <v>0</v>
      </c>
      <c r="P11" s="321">
        <f t="shared" si="2"/>
        <v>0</v>
      </c>
      <c r="Q11" s="320">
        <v>0</v>
      </c>
      <c r="R11" s="320">
        <v>0</v>
      </c>
      <c r="S11" s="320">
        <v>0</v>
      </c>
      <c r="T11" s="321">
        <f t="shared" si="3"/>
        <v>0</v>
      </c>
      <c r="V11" s="329">
        <f t="shared" si="4"/>
        <v>10859</v>
      </c>
      <c r="X11" s="330"/>
      <c r="Y11" s="333" t="s">
        <v>356</v>
      </c>
      <c r="Z11" s="333">
        <v>30456</v>
      </c>
      <c r="AA11" s="333"/>
      <c r="AB11" s="333">
        <f t="shared" si="5"/>
        <v>30456</v>
      </c>
      <c r="AC11" s="315">
        <f>VLOOKUP(Y11,[2]杭州!$B:$BR,69,0)</f>
        <v>30456</v>
      </c>
      <c r="AD11" s="330">
        <f t="shared" si="6"/>
        <v>0</v>
      </c>
      <c r="AE11" s="330"/>
      <c r="AF11" s="330"/>
      <c r="AG11" s="330"/>
      <c r="AH11" s="330"/>
      <c r="AI11" s="330"/>
      <c r="AJ11" s="330"/>
    </row>
    <row r="12" ht="19.5" customHeight="1" spans="1:36">
      <c r="A12" s="256">
        <v>9</v>
      </c>
      <c r="B12" s="266" t="s">
        <v>503</v>
      </c>
      <c r="C12" s="256"/>
      <c r="D12" s="256"/>
      <c r="E12" s="279">
        <v>0</v>
      </c>
      <c r="F12" s="257">
        <v>0</v>
      </c>
      <c r="G12" s="257">
        <v>0</v>
      </c>
      <c r="H12" s="322">
        <f t="shared" si="0"/>
        <v>0</v>
      </c>
      <c r="I12" s="257">
        <v>0</v>
      </c>
      <c r="J12" s="257">
        <v>0</v>
      </c>
      <c r="K12" s="257">
        <v>0</v>
      </c>
      <c r="L12" s="322">
        <f t="shared" si="1"/>
        <v>0</v>
      </c>
      <c r="M12" s="257">
        <v>0</v>
      </c>
      <c r="N12" s="257">
        <v>0</v>
      </c>
      <c r="O12" s="257">
        <v>0</v>
      </c>
      <c r="P12" s="322">
        <f t="shared" si="2"/>
        <v>0</v>
      </c>
      <c r="Q12" s="257">
        <v>0</v>
      </c>
      <c r="R12" s="257">
        <v>0</v>
      </c>
      <c r="S12" s="257">
        <v>0</v>
      </c>
      <c r="T12" s="322">
        <f t="shared" si="3"/>
        <v>0</v>
      </c>
      <c r="V12" s="29">
        <f t="shared" si="4"/>
        <v>0</v>
      </c>
      <c r="X12"/>
      <c r="Y12" s="5" t="s">
        <v>342</v>
      </c>
      <c r="Z12" s="5">
        <v>311518</v>
      </c>
      <c r="AA12" s="5"/>
      <c r="AB12" s="5">
        <f t="shared" si="5"/>
        <v>311518</v>
      </c>
      <c r="AC12" s="20">
        <f>VLOOKUP(Y12,[2]杭州!$B:$BR,69,0)</f>
        <v>311518</v>
      </c>
      <c r="AD12">
        <f t="shared" si="6"/>
        <v>0</v>
      </c>
      <c r="AE12"/>
      <c r="AF12"/>
      <c r="AG12"/>
      <c r="AH12"/>
      <c r="AI12"/>
      <c r="AJ12"/>
    </row>
    <row r="13" ht="19.5" customHeight="1" spans="2:36">
      <c r="B13" s="323" t="s">
        <v>11</v>
      </c>
      <c r="C13" s="287"/>
      <c r="D13" s="287"/>
      <c r="E13" s="276">
        <f t="shared" ref="E13:T13" si="7">SUM(E4:E12)</f>
        <v>441050.75</v>
      </c>
      <c r="F13" s="276">
        <f t="shared" si="7"/>
        <v>130000</v>
      </c>
      <c r="G13" s="276">
        <f t="shared" si="7"/>
        <v>430711.2</v>
      </c>
      <c r="H13" s="324">
        <f t="shared" si="7"/>
        <v>1001761.95</v>
      </c>
      <c r="I13" s="276">
        <f t="shared" si="7"/>
        <v>393282.5</v>
      </c>
      <c r="J13" s="276">
        <f t="shared" si="7"/>
        <v>638540.5</v>
      </c>
      <c r="K13" s="276">
        <f t="shared" si="7"/>
        <v>353187.25</v>
      </c>
      <c r="L13" s="324">
        <f t="shared" si="7"/>
        <v>1385010.25</v>
      </c>
      <c r="M13" s="276">
        <f t="shared" si="7"/>
        <v>423666.65</v>
      </c>
      <c r="N13" s="276">
        <f t="shared" si="7"/>
        <v>799473</v>
      </c>
      <c r="O13" s="276">
        <f t="shared" si="7"/>
        <v>564284</v>
      </c>
      <c r="P13" s="324">
        <f t="shared" si="7"/>
        <v>1787423.65</v>
      </c>
      <c r="Q13" s="276">
        <f t="shared" si="7"/>
        <v>322044.6</v>
      </c>
      <c r="R13" s="276">
        <f t="shared" si="7"/>
        <v>802047.45</v>
      </c>
      <c r="S13" s="276">
        <f t="shared" si="7"/>
        <v>648640.15</v>
      </c>
      <c r="T13" s="324">
        <f t="shared" si="7"/>
        <v>1772732.2</v>
      </c>
      <c r="V13" s="292">
        <f t="shared" si="4"/>
        <v>5946928.05</v>
      </c>
      <c r="X13"/>
      <c r="Y13" s="5" t="s">
        <v>373</v>
      </c>
      <c r="Z13" s="5">
        <f>105509.8+58525+24243.1</f>
        <v>188277.9</v>
      </c>
      <c r="AA13" s="5">
        <f>VLOOKUP(Y13,[1]Sheet2!$A$3:$B$19,2,0)</f>
        <v>3706</v>
      </c>
      <c r="AB13" s="5">
        <f t="shared" si="5"/>
        <v>184571.9</v>
      </c>
      <c r="AC13" s="20">
        <f>VLOOKUP(Y13,[2]杭州!$B:$BR,69,0)</f>
        <v>175216.1</v>
      </c>
      <c r="AD13">
        <f t="shared" si="6"/>
        <v>9355.79999999999</v>
      </c>
      <c r="AE13" t="s">
        <v>504</v>
      </c>
      <c r="AF13"/>
      <c r="AG13"/>
      <c r="AH13"/>
      <c r="AI13"/>
      <c r="AJ13"/>
    </row>
    <row r="14" ht="19.5" customHeight="1" spans="1:36">
      <c r="A14" s="251" t="s">
        <v>312</v>
      </c>
      <c r="B14" s="140"/>
      <c r="C14" s="251"/>
      <c r="D14" s="251"/>
      <c r="E14" s="288"/>
      <c r="F14" s="265"/>
      <c r="G14" s="265"/>
      <c r="H14" s="325"/>
      <c r="I14" s="265"/>
      <c r="J14" s="265"/>
      <c r="K14" s="265"/>
      <c r="L14" s="325"/>
      <c r="M14" s="265"/>
      <c r="N14" s="265"/>
      <c r="O14" s="265"/>
      <c r="P14" s="325"/>
      <c r="Q14" s="265"/>
      <c r="R14" s="265"/>
      <c r="S14" s="265"/>
      <c r="T14" s="325"/>
      <c r="V14" s="29">
        <f t="shared" si="4"/>
        <v>0</v>
      </c>
      <c r="X14"/>
      <c r="Y14" s="5" t="s">
        <v>325</v>
      </c>
      <c r="Z14" s="5">
        <v>144558</v>
      </c>
      <c r="AA14" s="5"/>
      <c r="AB14" s="5">
        <f t="shared" si="5"/>
        <v>144558</v>
      </c>
      <c r="AC14" s="20">
        <f>VLOOKUP(Y14,[2]杭州!$B:$BR,69,0)</f>
        <v>144558</v>
      </c>
      <c r="AD14">
        <f t="shared" si="6"/>
        <v>0</v>
      </c>
      <c r="AE14"/>
      <c r="AF14"/>
      <c r="AG14"/>
      <c r="AH14"/>
      <c r="AI14"/>
      <c r="AJ14"/>
    </row>
    <row r="15" ht="19.5" customHeight="1" spans="1:36">
      <c r="A15" s="256">
        <v>1</v>
      </c>
      <c r="B15" s="266" t="s">
        <v>505</v>
      </c>
      <c r="C15" s="256"/>
      <c r="D15" s="256"/>
      <c r="E15" s="279">
        <v>0</v>
      </c>
      <c r="F15" s="257">
        <v>0</v>
      </c>
      <c r="G15" s="257">
        <v>0</v>
      </c>
      <c r="H15" s="322">
        <f t="shared" ref="H15:H37" si="8">SUM(E15:G15)</f>
        <v>0</v>
      </c>
      <c r="I15" s="257">
        <v>0</v>
      </c>
      <c r="J15" s="257">
        <v>0</v>
      </c>
      <c r="K15" s="257">
        <v>0</v>
      </c>
      <c r="L15" s="322">
        <f t="shared" ref="L15:L37" si="9">SUM(I15:K15)</f>
        <v>0</v>
      </c>
      <c r="M15" s="257">
        <v>0</v>
      </c>
      <c r="N15" s="257">
        <v>0</v>
      </c>
      <c r="O15" s="257">
        <v>0</v>
      </c>
      <c r="P15" s="322">
        <f t="shared" ref="P15:P37" si="10">SUM(M15:O15)</f>
        <v>0</v>
      </c>
      <c r="Q15" s="257">
        <v>0</v>
      </c>
      <c r="R15" s="257">
        <v>0</v>
      </c>
      <c r="S15" s="257">
        <v>0</v>
      </c>
      <c r="T15" s="322">
        <f t="shared" ref="T15:T37" si="11">SUM(Q15:S15)</f>
        <v>0</v>
      </c>
      <c r="V15" s="29">
        <f t="shared" si="4"/>
        <v>0</v>
      </c>
      <c r="X15"/>
      <c r="Y15" s="5" t="s">
        <v>355</v>
      </c>
      <c r="Z15" s="5">
        <v>133404</v>
      </c>
      <c r="AA15" s="8">
        <f>VLOOKUP(Y15,[1]Sheet2!$A$3:$B$19,2,0)</f>
        <v>40000</v>
      </c>
      <c r="AB15" s="5">
        <f t="shared" si="5"/>
        <v>93404</v>
      </c>
      <c r="AC15" s="20">
        <f>VLOOKUP(Y15,[2]杭州!$B:$BR,69,0)</f>
        <v>93404</v>
      </c>
      <c r="AD15">
        <f t="shared" si="6"/>
        <v>0</v>
      </c>
      <c r="AE15"/>
      <c r="AF15"/>
      <c r="AG15"/>
      <c r="AH15"/>
      <c r="AI15"/>
      <c r="AJ15"/>
    </row>
    <row r="16" s="315" customFormat="1" ht="19.5" customHeight="1" spans="1:36">
      <c r="A16" s="319">
        <v>2</v>
      </c>
      <c r="B16" s="319" t="s">
        <v>313</v>
      </c>
      <c r="C16" s="319" t="s">
        <v>305</v>
      </c>
      <c r="D16" s="319" t="s">
        <v>314</v>
      </c>
      <c r="E16" s="320">
        <v>6229.31</v>
      </c>
      <c r="F16" s="320">
        <v>0</v>
      </c>
      <c r="G16" s="320">
        <v>0</v>
      </c>
      <c r="H16" s="321">
        <f t="shared" si="8"/>
        <v>6229.31</v>
      </c>
      <c r="I16" s="320">
        <v>0</v>
      </c>
      <c r="J16" s="320">
        <v>0</v>
      </c>
      <c r="K16" s="320">
        <v>0</v>
      </c>
      <c r="L16" s="321">
        <f t="shared" si="9"/>
        <v>0</v>
      </c>
      <c r="M16" s="320">
        <v>0</v>
      </c>
      <c r="N16" s="320">
        <v>0</v>
      </c>
      <c r="O16" s="320">
        <v>0</v>
      </c>
      <c r="P16" s="321">
        <f t="shared" si="10"/>
        <v>0</v>
      </c>
      <c r="Q16" s="320">
        <v>0</v>
      </c>
      <c r="R16" s="320">
        <v>0</v>
      </c>
      <c r="S16" s="320">
        <v>0</v>
      </c>
      <c r="T16" s="321">
        <f t="shared" si="11"/>
        <v>0</v>
      </c>
      <c r="V16" s="329">
        <f t="shared" si="4"/>
        <v>6229.31</v>
      </c>
      <c r="X16" s="330"/>
      <c r="Y16" s="333" t="s">
        <v>363</v>
      </c>
      <c r="Z16" s="333">
        <v>11769.5</v>
      </c>
      <c r="AA16" s="333"/>
      <c r="AB16" s="333">
        <f t="shared" si="5"/>
        <v>11769.5</v>
      </c>
      <c r="AC16" s="315">
        <f>VLOOKUP(Y16,[2]杭州!$B:$BR,69,0)</f>
        <v>11769.5</v>
      </c>
      <c r="AD16" s="330">
        <f t="shared" si="6"/>
        <v>0</v>
      </c>
      <c r="AE16" s="330"/>
      <c r="AF16" s="330"/>
      <c r="AG16" s="330"/>
      <c r="AH16" s="330"/>
      <c r="AI16" s="330"/>
      <c r="AJ16" s="330"/>
    </row>
    <row r="17" ht="20.1" customHeight="1" spans="1:36">
      <c r="A17" s="256"/>
      <c r="B17" s="326" t="s">
        <v>11</v>
      </c>
      <c r="C17" s="289"/>
      <c r="D17" s="289"/>
      <c r="E17" s="276">
        <f t="shared" ref="E17:T17" si="12">SUM(E15:E16)</f>
        <v>6229.31</v>
      </c>
      <c r="F17" s="276">
        <f t="shared" si="12"/>
        <v>0</v>
      </c>
      <c r="G17" s="276">
        <f t="shared" si="12"/>
        <v>0</v>
      </c>
      <c r="H17" s="324">
        <f t="shared" si="12"/>
        <v>6229.31</v>
      </c>
      <c r="I17" s="276">
        <f t="shared" si="12"/>
        <v>0</v>
      </c>
      <c r="J17" s="276">
        <f t="shared" si="12"/>
        <v>0</v>
      </c>
      <c r="K17" s="276">
        <f t="shared" si="12"/>
        <v>0</v>
      </c>
      <c r="L17" s="324">
        <f t="shared" si="12"/>
        <v>0</v>
      </c>
      <c r="M17" s="276">
        <f t="shared" si="12"/>
        <v>0</v>
      </c>
      <c r="N17" s="276">
        <f t="shared" si="12"/>
        <v>0</v>
      </c>
      <c r="O17" s="276">
        <f t="shared" si="12"/>
        <v>0</v>
      </c>
      <c r="P17" s="324">
        <f t="shared" si="12"/>
        <v>0</v>
      </c>
      <c r="Q17" s="276">
        <f t="shared" si="12"/>
        <v>0</v>
      </c>
      <c r="R17" s="276">
        <f t="shared" si="12"/>
        <v>0</v>
      </c>
      <c r="S17" s="276">
        <f t="shared" si="12"/>
        <v>0</v>
      </c>
      <c r="T17" s="324">
        <f t="shared" si="12"/>
        <v>0</v>
      </c>
      <c r="V17" s="292">
        <f t="shared" si="4"/>
        <v>6229.31</v>
      </c>
      <c r="X17"/>
      <c r="Y17" s="5" t="s">
        <v>315</v>
      </c>
      <c r="Z17" s="5">
        <v>13268</v>
      </c>
      <c r="AA17" s="5"/>
      <c r="AB17" s="5">
        <f t="shared" si="5"/>
        <v>13268</v>
      </c>
      <c r="AC17" s="20">
        <f>VLOOKUP(Y17,[2]杭州!$B:$BR,69,0)</f>
        <v>13268</v>
      </c>
      <c r="AD17">
        <f t="shared" si="6"/>
        <v>0</v>
      </c>
      <c r="AE17"/>
      <c r="AF17"/>
      <c r="AG17"/>
      <c r="AH17"/>
      <c r="AI17"/>
      <c r="AJ17"/>
    </row>
    <row r="18" ht="19.5" customHeight="1" spans="1:36">
      <c r="A18" s="251" t="s">
        <v>506</v>
      </c>
      <c r="B18" s="140"/>
      <c r="C18" s="251"/>
      <c r="D18" s="251"/>
      <c r="E18" s="288"/>
      <c r="F18" s="265"/>
      <c r="G18" s="265"/>
      <c r="H18" s="325"/>
      <c r="I18" s="265"/>
      <c r="J18" s="265"/>
      <c r="K18" s="265"/>
      <c r="L18" s="325"/>
      <c r="M18" s="265"/>
      <c r="N18" s="265"/>
      <c r="O18" s="265"/>
      <c r="P18" s="325"/>
      <c r="Q18" s="265"/>
      <c r="R18" s="265"/>
      <c r="S18" s="265"/>
      <c r="T18" s="325"/>
      <c r="V18" s="29">
        <f t="shared" si="4"/>
        <v>0</v>
      </c>
      <c r="X18"/>
      <c r="Y18" s="5" t="s">
        <v>323</v>
      </c>
      <c r="Z18" s="5">
        <v>200000</v>
      </c>
      <c r="AA18" s="5"/>
      <c r="AB18" s="5">
        <f t="shared" si="5"/>
        <v>200000</v>
      </c>
      <c r="AC18" s="20">
        <f>VLOOKUP(Y18,[2]杭州!$B:$BR,69,0)</f>
        <v>200000</v>
      </c>
      <c r="AD18">
        <f t="shared" si="6"/>
        <v>0</v>
      </c>
      <c r="AE18"/>
      <c r="AF18"/>
      <c r="AG18"/>
      <c r="AH18"/>
      <c r="AI18"/>
      <c r="AJ18"/>
    </row>
    <row r="19" s="315" customFormat="1" ht="19.5" customHeight="1" spans="1:36">
      <c r="A19" s="319">
        <v>1</v>
      </c>
      <c r="B19" s="319" t="s">
        <v>323</v>
      </c>
      <c r="C19" s="319" t="s">
        <v>305</v>
      </c>
      <c r="D19" s="319" t="s">
        <v>324</v>
      </c>
      <c r="E19" s="320">
        <v>100000</v>
      </c>
      <c r="F19" s="320">
        <v>100000</v>
      </c>
      <c r="G19" s="320">
        <v>200000</v>
      </c>
      <c r="H19" s="321">
        <f t="shared" si="8"/>
        <v>400000</v>
      </c>
      <c r="I19" s="320">
        <v>0</v>
      </c>
      <c r="J19" s="320">
        <v>100000</v>
      </c>
      <c r="K19" s="320">
        <v>100000</v>
      </c>
      <c r="L19" s="321">
        <f t="shared" si="9"/>
        <v>200000</v>
      </c>
      <c r="M19" s="320">
        <v>100000</v>
      </c>
      <c r="N19" s="320">
        <v>100000</v>
      </c>
      <c r="O19" s="320">
        <v>100000</v>
      </c>
      <c r="P19" s="321">
        <f t="shared" si="10"/>
        <v>300000</v>
      </c>
      <c r="Q19" s="320">
        <v>0</v>
      </c>
      <c r="R19" s="320">
        <v>200000</v>
      </c>
      <c r="S19" s="320">
        <v>200000</v>
      </c>
      <c r="T19" s="321">
        <f t="shared" si="11"/>
        <v>400000</v>
      </c>
      <c r="V19" s="329">
        <f t="shared" si="4"/>
        <v>1300000</v>
      </c>
      <c r="X19" s="330"/>
      <c r="Y19" s="333" t="s">
        <v>364</v>
      </c>
      <c r="Z19" s="333">
        <v>120342.55</v>
      </c>
      <c r="AA19" s="333"/>
      <c r="AB19" s="333">
        <f t="shared" si="5"/>
        <v>120342.55</v>
      </c>
      <c r="AC19" s="315">
        <f>VLOOKUP(Y19,[2]杭州!$B:$BR,69,0)</f>
        <v>120342.55</v>
      </c>
      <c r="AD19" s="330">
        <f t="shared" si="6"/>
        <v>0</v>
      </c>
      <c r="AE19" s="330"/>
      <c r="AF19" s="330"/>
      <c r="AG19" s="330"/>
      <c r="AH19" s="330"/>
      <c r="AI19" s="330"/>
      <c r="AJ19" s="330"/>
    </row>
    <row r="20" ht="19.5" customHeight="1" spans="1:36">
      <c r="A20" s="256">
        <v>2</v>
      </c>
      <c r="B20" s="266" t="s">
        <v>507</v>
      </c>
      <c r="C20" s="256"/>
      <c r="D20" s="256"/>
      <c r="E20" s="279">
        <v>0</v>
      </c>
      <c r="F20" s="257">
        <v>0</v>
      </c>
      <c r="G20" s="257">
        <v>0</v>
      </c>
      <c r="H20" s="322">
        <f t="shared" si="8"/>
        <v>0</v>
      </c>
      <c r="I20" s="257">
        <v>0</v>
      </c>
      <c r="J20" s="257">
        <v>0</v>
      </c>
      <c r="K20" s="257">
        <v>0</v>
      </c>
      <c r="L20" s="322">
        <f t="shared" si="9"/>
        <v>0</v>
      </c>
      <c r="M20" s="257">
        <v>0</v>
      </c>
      <c r="N20" s="257">
        <v>0</v>
      </c>
      <c r="O20" s="257">
        <v>0</v>
      </c>
      <c r="P20" s="322">
        <f t="shared" si="10"/>
        <v>0</v>
      </c>
      <c r="Q20" s="257">
        <v>0</v>
      </c>
      <c r="R20" s="257">
        <v>0</v>
      </c>
      <c r="S20" s="257">
        <v>0</v>
      </c>
      <c r="T20" s="322">
        <f t="shared" si="11"/>
        <v>0</v>
      </c>
      <c r="V20" s="29">
        <f t="shared" si="4"/>
        <v>0</v>
      </c>
      <c r="X20"/>
      <c r="Y20" s="5" t="s">
        <v>271</v>
      </c>
      <c r="Z20" s="5">
        <v>128479.32</v>
      </c>
      <c r="AA20" s="5"/>
      <c r="AB20" s="5">
        <f t="shared" si="5"/>
        <v>128479.32</v>
      </c>
      <c r="AC20" s="20">
        <f>VLOOKUP(Y20,[2]杭州!$B:$BR,69,0)</f>
        <v>710496.38</v>
      </c>
      <c r="AD20">
        <f t="shared" si="6"/>
        <v>-582017.06</v>
      </c>
      <c r="AE20" t="s">
        <v>508</v>
      </c>
      <c r="AF20"/>
      <c r="AG20"/>
      <c r="AH20"/>
      <c r="AI20"/>
      <c r="AJ20"/>
    </row>
    <row r="21" ht="19.5" customHeight="1" spans="1:36">
      <c r="A21" s="256">
        <v>3</v>
      </c>
      <c r="B21" s="266" t="s">
        <v>509</v>
      </c>
      <c r="C21" s="256"/>
      <c r="D21" s="256"/>
      <c r="E21" s="279">
        <v>0</v>
      </c>
      <c r="F21" s="257">
        <v>0</v>
      </c>
      <c r="G21" s="257">
        <v>0</v>
      </c>
      <c r="H21" s="322">
        <f t="shared" si="8"/>
        <v>0</v>
      </c>
      <c r="I21" s="257">
        <v>0</v>
      </c>
      <c r="J21" s="257">
        <v>0</v>
      </c>
      <c r="K21" s="257">
        <v>0</v>
      </c>
      <c r="L21" s="322">
        <f t="shared" si="9"/>
        <v>0</v>
      </c>
      <c r="M21" s="257">
        <v>0</v>
      </c>
      <c r="N21" s="257">
        <v>0</v>
      </c>
      <c r="O21" s="257">
        <v>0</v>
      </c>
      <c r="P21" s="322">
        <f t="shared" si="10"/>
        <v>0</v>
      </c>
      <c r="Q21" s="257">
        <v>0</v>
      </c>
      <c r="R21" s="257">
        <v>0</v>
      </c>
      <c r="S21" s="257">
        <v>0</v>
      </c>
      <c r="T21" s="322">
        <f t="shared" si="11"/>
        <v>0</v>
      </c>
      <c r="V21" s="29">
        <f t="shared" si="4"/>
        <v>0</v>
      </c>
      <c r="X21"/>
      <c r="Y21" s="5" t="s">
        <v>510</v>
      </c>
      <c r="Z21" s="5">
        <v>22277.58</v>
      </c>
      <c r="AA21" s="5"/>
      <c r="AB21" s="5">
        <f t="shared" si="5"/>
        <v>22277.58</v>
      </c>
      <c r="AD21">
        <f t="shared" si="6"/>
        <v>22277.58</v>
      </c>
      <c r="AE21"/>
      <c r="AF21"/>
      <c r="AG21"/>
      <c r="AH21"/>
      <c r="AI21"/>
      <c r="AJ21"/>
    </row>
    <row r="22" s="315" customFormat="1" ht="19.5" customHeight="1" spans="1:36">
      <c r="A22" s="319">
        <v>4</v>
      </c>
      <c r="B22" s="319" t="s">
        <v>325</v>
      </c>
      <c r="C22" s="319" t="s">
        <v>326</v>
      </c>
      <c r="D22" s="319" t="s">
        <v>327</v>
      </c>
      <c r="E22" s="320">
        <v>176000</v>
      </c>
      <c r="F22" s="320">
        <v>156700</v>
      </c>
      <c r="G22" s="320">
        <v>256820</v>
      </c>
      <c r="H22" s="321">
        <f t="shared" si="8"/>
        <v>589520</v>
      </c>
      <c r="I22" s="320">
        <v>10000</v>
      </c>
      <c r="J22" s="320">
        <v>180600</v>
      </c>
      <c r="K22" s="320">
        <v>99110.05</v>
      </c>
      <c r="L22" s="321">
        <f t="shared" si="9"/>
        <v>289710.05</v>
      </c>
      <c r="M22" s="320">
        <v>197700</v>
      </c>
      <c r="N22" s="320">
        <v>196500</v>
      </c>
      <c r="O22" s="320">
        <v>261000</v>
      </c>
      <c r="P22" s="321">
        <f t="shared" si="10"/>
        <v>655200</v>
      </c>
      <c r="Q22" s="320">
        <v>50000</v>
      </c>
      <c r="R22" s="320">
        <v>140000</v>
      </c>
      <c r="S22" s="320">
        <v>144558</v>
      </c>
      <c r="T22" s="321">
        <f t="shared" si="11"/>
        <v>334558</v>
      </c>
      <c r="V22" s="329">
        <f t="shared" si="4"/>
        <v>1868988.05</v>
      </c>
      <c r="X22" s="330"/>
      <c r="Y22" s="333" t="s">
        <v>511</v>
      </c>
      <c r="Z22" s="333">
        <v>5565</v>
      </c>
      <c r="AA22" s="333"/>
      <c r="AB22" s="333">
        <f t="shared" si="5"/>
        <v>5565</v>
      </c>
      <c r="AD22" s="330">
        <f t="shared" si="6"/>
        <v>5565</v>
      </c>
      <c r="AE22" s="330"/>
      <c r="AF22" s="330"/>
      <c r="AG22" s="330"/>
      <c r="AH22" s="330"/>
      <c r="AI22" s="330"/>
      <c r="AJ22" s="330"/>
    </row>
    <row r="23" ht="19.5" customHeight="1" spans="1:36">
      <c r="A23" s="256">
        <v>5</v>
      </c>
      <c r="B23" s="266" t="s">
        <v>512</v>
      </c>
      <c r="C23" s="256"/>
      <c r="D23" s="256"/>
      <c r="E23" s="279">
        <v>0</v>
      </c>
      <c r="F23" s="257">
        <v>0</v>
      </c>
      <c r="G23" s="257">
        <v>0</v>
      </c>
      <c r="H23" s="322">
        <f t="shared" si="8"/>
        <v>0</v>
      </c>
      <c r="I23" s="257">
        <v>0</v>
      </c>
      <c r="J23" s="257">
        <v>0</v>
      </c>
      <c r="K23" s="257">
        <v>0</v>
      </c>
      <c r="L23" s="322">
        <f t="shared" si="9"/>
        <v>0</v>
      </c>
      <c r="M23" s="257">
        <v>0</v>
      </c>
      <c r="N23" s="257">
        <v>0</v>
      </c>
      <c r="O23" s="257">
        <v>0</v>
      </c>
      <c r="P23" s="322">
        <f t="shared" si="10"/>
        <v>0</v>
      </c>
      <c r="Q23" s="257">
        <v>0</v>
      </c>
      <c r="R23" s="257">
        <v>0</v>
      </c>
      <c r="S23" s="257">
        <v>0</v>
      </c>
      <c r="T23" s="322">
        <f t="shared" si="11"/>
        <v>0</v>
      </c>
      <c r="V23" s="29">
        <f t="shared" si="4"/>
        <v>0</v>
      </c>
      <c r="X23"/>
      <c r="Y23" s="5" t="s">
        <v>336</v>
      </c>
      <c r="Z23" s="5">
        <v>130000</v>
      </c>
      <c r="AA23" s="5"/>
      <c r="AB23" s="5">
        <f t="shared" si="5"/>
        <v>130000</v>
      </c>
      <c r="AC23" s="20">
        <f>VLOOKUP(Y23,[2]杭州!$B:$BR,69,0)</f>
        <v>130000</v>
      </c>
      <c r="AD23">
        <f t="shared" si="6"/>
        <v>0</v>
      </c>
      <c r="AE23"/>
      <c r="AF23"/>
      <c r="AG23"/>
      <c r="AH23"/>
      <c r="AI23"/>
      <c r="AJ23"/>
    </row>
    <row r="24" s="315" customFormat="1" ht="19.5" customHeight="1" spans="1:36">
      <c r="A24" s="319">
        <v>6</v>
      </c>
      <c r="B24" s="319" t="s">
        <v>328</v>
      </c>
      <c r="C24" s="319" t="s">
        <v>305</v>
      </c>
      <c r="D24" s="319" t="s">
        <v>324</v>
      </c>
      <c r="E24" s="320">
        <v>0</v>
      </c>
      <c r="F24" s="320">
        <v>0</v>
      </c>
      <c r="G24" s="320">
        <v>0</v>
      </c>
      <c r="H24" s="321">
        <f t="shared" si="8"/>
        <v>0</v>
      </c>
      <c r="I24" s="320">
        <v>0</v>
      </c>
      <c r="J24" s="320">
        <v>1418.14</v>
      </c>
      <c r="K24" s="320">
        <v>0</v>
      </c>
      <c r="L24" s="321">
        <f t="shared" si="9"/>
        <v>1418.14</v>
      </c>
      <c r="M24" s="320">
        <v>0</v>
      </c>
      <c r="N24" s="320">
        <v>0</v>
      </c>
      <c r="O24" s="320">
        <v>0</v>
      </c>
      <c r="P24" s="321">
        <f t="shared" si="10"/>
        <v>0</v>
      </c>
      <c r="Q24" s="320">
        <v>0</v>
      </c>
      <c r="R24" s="320">
        <v>0</v>
      </c>
      <c r="S24" s="320">
        <v>0</v>
      </c>
      <c r="T24" s="321">
        <f t="shared" si="11"/>
        <v>0</v>
      </c>
      <c r="V24" s="329">
        <f t="shared" si="4"/>
        <v>1418.14</v>
      </c>
      <c r="X24" s="330"/>
      <c r="Y24" s="333" t="s">
        <v>513</v>
      </c>
      <c r="Z24" s="333">
        <v>125000</v>
      </c>
      <c r="AA24" s="333"/>
      <c r="AB24" s="333">
        <f t="shared" si="5"/>
        <v>125000</v>
      </c>
      <c r="AC24" s="333">
        <v>125000</v>
      </c>
      <c r="AD24" s="330">
        <f t="shared" si="6"/>
        <v>0</v>
      </c>
      <c r="AE24" s="330"/>
      <c r="AF24" s="330"/>
      <c r="AG24" s="330"/>
      <c r="AH24" s="330"/>
      <c r="AI24" s="330"/>
      <c r="AJ24" s="330"/>
    </row>
    <row r="25" ht="19.5" customHeight="1" spans="1:36">
      <c r="A25" s="256">
        <v>7</v>
      </c>
      <c r="B25" s="266" t="s">
        <v>514</v>
      </c>
      <c r="C25" s="256"/>
      <c r="D25" s="256"/>
      <c r="E25" s="279">
        <v>0</v>
      </c>
      <c r="F25" s="257">
        <v>0</v>
      </c>
      <c r="G25" s="257">
        <v>0</v>
      </c>
      <c r="H25" s="322">
        <f t="shared" si="8"/>
        <v>0</v>
      </c>
      <c r="I25" s="257">
        <v>0</v>
      </c>
      <c r="J25" s="257">
        <v>0</v>
      </c>
      <c r="K25" s="257">
        <v>0</v>
      </c>
      <c r="L25" s="322">
        <f t="shared" si="9"/>
        <v>0</v>
      </c>
      <c r="M25" s="257">
        <v>0</v>
      </c>
      <c r="N25" s="257">
        <v>0</v>
      </c>
      <c r="O25" s="257">
        <v>0</v>
      </c>
      <c r="P25" s="322">
        <f t="shared" si="10"/>
        <v>0</v>
      </c>
      <c r="Q25" s="257">
        <v>0</v>
      </c>
      <c r="R25" s="257">
        <v>0</v>
      </c>
      <c r="S25" s="257">
        <v>0</v>
      </c>
      <c r="T25" s="322">
        <f t="shared" si="11"/>
        <v>0</v>
      </c>
      <c r="V25" s="29">
        <f t="shared" si="4"/>
        <v>0</v>
      </c>
      <c r="X25"/>
      <c r="Y25" s="5" t="s">
        <v>515</v>
      </c>
      <c r="Z25" s="5">
        <v>10000</v>
      </c>
      <c r="AA25" s="5"/>
      <c r="AB25" s="5">
        <f t="shared" si="5"/>
        <v>10000</v>
      </c>
      <c r="AC25" s="5">
        <v>10000</v>
      </c>
      <c r="AD25">
        <f t="shared" si="6"/>
        <v>0</v>
      </c>
      <c r="AE25"/>
      <c r="AF25"/>
      <c r="AG25"/>
      <c r="AH25"/>
      <c r="AI25"/>
      <c r="AJ25"/>
    </row>
    <row r="26" ht="19.5" customHeight="1" spans="1:36">
      <c r="A26" s="256">
        <v>8</v>
      </c>
      <c r="B26" s="266" t="s">
        <v>516</v>
      </c>
      <c r="C26" s="256" t="s">
        <v>305</v>
      </c>
      <c r="D26" s="256" t="s">
        <v>324</v>
      </c>
      <c r="E26" s="279">
        <v>0</v>
      </c>
      <c r="F26" s="257">
        <v>0</v>
      </c>
      <c r="G26" s="257">
        <v>0</v>
      </c>
      <c r="H26" s="322">
        <f t="shared" si="8"/>
        <v>0</v>
      </c>
      <c r="I26" s="257">
        <v>0</v>
      </c>
      <c r="J26" s="257">
        <v>0</v>
      </c>
      <c r="K26" s="257">
        <v>0</v>
      </c>
      <c r="L26" s="322">
        <f t="shared" si="9"/>
        <v>0</v>
      </c>
      <c r="M26" s="257">
        <v>0</v>
      </c>
      <c r="N26" s="257">
        <v>0</v>
      </c>
      <c r="O26" s="291">
        <v>0</v>
      </c>
      <c r="P26" s="322">
        <f t="shared" si="10"/>
        <v>0</v>
      </c>
      <c r="Q26" s="257">
        <v>0</v>
      </c>
      <c r="R26" s="257">
        <v>0</v>
      </c>
      <c r="S26" s="257">
        <v>0</v>
      </c>
      <c r="T26" s="322">
        <f t="shared" si="11"/>
        <v>0</v>
      </c>
      <c r="V26" s="29">
        <f t="shared" si="4"/>
        <v>0</v>
      </c>
      <c r="X26"/>
      <c r="Y26" s="5" t="s">
        <v>517</v>
      </c>
      <c r="Z26" s="5">
        <v>275000</v>
      </c>
      <c r="AA26" s="5"/>
      <c r="AB26" s="5">
        <f t="shared" si="5"/>
        <v>275000</v>
      </c>
      <c r="AC26" s="5">
        <v>275000</v>
      </c>
      <c r="AD26">
        <f t="shared" si="6"/>
        <v>0</v>
      </c>
      <c r="AE26"/>
      <c r="AF26"/>
      <c r="AG26"/>
      <c r="AH26"/>
      <c r="AI26"/>
      <c r="AJ26"/>
    </row>
    <row r="27" s="315" customFormat="1" ht="19.5" customHeight="1" spans="1:36">
      <c r="A27" s="319">
        <v>9</v>
      </c>
      <c r="B27" s="327" t="s">
        <v>329</v>
      </c>
      <c r="C27" s="319" t="s">
        <v>305</v>
      </c>
      <c r="D27" s="319" t="s">
        <v>324</v>
      </c>
      <c r="E27" s="320">
        <v>790</v>
      </c>
      <c r="F27" s="320">
        <v>0</v>
      </c>
      <c r="G27" s="320">
        <v>0</v>
      </c>
      <c r="H27" s="321">
        <f t="shared" si="8"/>
        <v>790</v>
      </c>
      <c r="I27" s="320">
        <v>3941</v>
      </c>
      <c r="J27" s="320">
        <v>0</v>
      </c>
      <c r="K27" s="320">
        <v>3125</v>
      </c>
      <c r="L27" s="321">
        <f t="shared" si="9"/>
        <v>7066</v>
      </c>
      <c r="M27" s="320">
        <v>0</v>
      </c>
      <c r="N27" s="320">
        <v>0</v>
      </c>
      <c r="O27" s="320">
        <v>0</v>
      </c>
      <c r="P27" s="321">
        <f t="shared" si="10"/>
        <v>0</v>
      </c>
      <c r="Q27" s="320">
        <v>0</v>
      </c>
      <c r="R27" s="320">
        <v>0</v>
      </c>
      <c r="S27" s="320">
        <v>0</v>
      </c>
      <c r="T27" s="321">
        <f t="shared" si="11"/>
        <v>0</v>
      </c>
      <c r="V27" s="329">
        <f t="shared" si="4"/>
        <v>7856</v>
      </c>
      <c r="X27" s="330"/>
      <c r="Y27" s="333" t="s">
        <v>518</v>
      </c>
      <c r="Z27" s="333">
        <v>100000</v>
      </c>
      <c r="AA27" s="333"/>
      <c r="AB27" s="333">
        <f t="shared" si="5"/>
        <v>100000</v>
      </c>
      <c r="AC27" s="333">
        <v>100000</v>
      </c>
      <c r="AD27" s="330">
        <f t="shared" si="6"/>
        <v>0</v>
      </c>
      <c r="AE27" s="330"/>
      <c r="AF27" s="330"/>
      <c r="AG27" s="330"/>
      <c r="AH27" s="330"/>
      <c r="AI27" s="330"/>
      <c r="AJ27" s="330"/>
    </row>
    <row r="28" ht="19.5" customHeight="1" spans="1:36">
      <c r="A28" s="256">
        <v>10</v>
      </c>
      <c r="B28" s="266" t="s">
        <v>519</v>
      </c>
      <c r="C28" s="256"/>
      <c r="D28" s="256"/>
      <c r="E28" s="279">
        <v>0</v>
      </c>
      <c r="F28" s="257">
        <v>0</v>
      </c>
      <c r="G28" s="257">
        <v>0</v>
      </c>
      <c r="H28" s="322">
        <f t="shared" si="8"/>
        <v>0</v>
      </c>
      <c r="I28" s="257">
        <v>0</v>
      </c>
      <c r="J28" s="257">
        <v>0</v>
      </c>
      <c r="K28" s="257">
        <v>0</v>
      </c>
      <c r="L28" s="322">
        <f t="shared" si="9"/>
        <v>0</v>
      </c>
      <c r="M28" s="257">
        <v>0</v>
      </c>
      <c r="N28" s="257">
        <v>0</v>
      </c>
      <c r="O28" s="257">
        <v>0</v>
      </c>
      <c r="P28" s="322">
        <f t="shared" si="10"/>
        <v>0</v>
      </c>
      <c r="Q28" s="257">
        <v>0</v>
      </c>
      <c r="R28" s="257">
        <v>0</v>
      </c>
      <c r="S28" s="257">
        <v>0</v>
      </c>
      <c r="T28" s="322">
        <f t="shared" si="11"/>
        <v>0</v>
      </c>
      <c r="V28" s="29">
        <f t="shared" si="4"/>
        <v>0</v>
      </c>
      <c r="X28"/>
      <c r="Y28" s="293" t="s">
        <v>307</v>
      </c>
      <c r="Z28" s="293">
        <v>138640.15</v>
      </c>
      <c r="AA28" s="293"/>
      <c r="AB28" s="293">
        <f t="shared" si="5"/>
        <v>138640.15</v>
      </c>
      <c r="AC28" s="20">
        <f>VLOOKUP(Y28,[2]杭州!$B:$BR,69,0)</f>
        <v>138640.15</v>
      </c>
      <c r="AD28">
        <f t="shared" si="6"/>
        <v>0</v>
      </c>
      <c r="AE28"/>
      <c r="AF28"/>
      <c r="AG28"/>
      <c r="AH28"/>
      <c r="AI28"/>
      <c r="AJ28"/>
    </row>
    <row r="29" ht="19.5" customHeight="1" spans="1:36">
      <c r="A29" s="256">
        <v>11</v>
      </c>
      <c r="B29" s="266" t="s">
        <v>520</v>
      </c>
      <c r="C29" s="256" t="s">
        <v>305</v>
      </c>
      <c r="D29" s="256" t="s">
        <v>324</v>
      </c>
      <c r="E29" s="279">
        <v>0</v>
      </c>
      <c r="F29" s="257">
        <v>0</v>
      </c>
      <c r="G29" s="257">
        <v>0</v>
      </c>
      <c r="H29" s="322">
        <f t="shared" si="8"/>
        <v>0</v>
      </c>
      <c r="I29" s="257">
        <v>0</v>
      </c>
      <c r="J29" s="257">
        <v>0</v>
      </c>
      <c r="K29" s="257">
        <v>0</v>
      </c>
      <c r="L29" s="322">
        <f t="shared" si="9"/>
        <v>0</v>
      </c>
      <c r="M29" s="257">
        <v>0</v>
      </c>
      <c r="N29" s="257">
        <v>0</v>
      </c>
      <c r="O29" s="291">
        <v>0</v>
      </c>
      <c r="P29" s="322">
        <f t="shared" si="10"/>
        <v>0</v>
      </c>
      <c r="Q29" s="257">
        <v>0</v>
      </c>
      <c r="R29" s="257">
        <v>0</v>
      </c>
      <c r="S29" s="257">
        <v>0</v>
      </c>
      <c r="T29" s="322">
        <f t="shared" si="11"/>
        <v>0</v>
      </c>
      <c r="V29" s="29">
        <f t="shared" si="4"/>
        <v>0</v>
      </c>
      <c r="X29"/>
      <c r="Y29" s="5" t="s">
        <v>354</v>
      </c>
      <c r="Z29" s="5">
        <v>114215</v>
      </c>
      <c r="AA29" s="5">
        <f>VLOOKUP(Y29,[1]Sheet2!$A$3:$B$19,2,0)</f>
        <v>4400</v>
      </c>
      <c r="AB29" s="5">
        <f t="shared" si="5"/>
        <v>109815</v>
      </c>
      <c r="AC29" s="20">
        <f>VLOOKUP(Y29,[2]杭州!$B:$BR,69,0)</f>
        <v>109815</v>
      </c>
      <c r="AD29">
        <f t="shared" si="6"/>
        <v>0</v>
      </c>
      <c r="AE29"/>
      <c r="AF29"/>
      <c r="AG29"/>
      <c r="AH29"/>
      <c r="AI29"/>
      <c r="AJ29"/>
    </row>
    <row r="30" ht="19.5" customHeight="1" spans="1:36">
      <c r="A30" s="256">
        <v>12</v>
      </c>
      <c r="B30" s="266" t="s">
        <v>521</v>
      </c>
      <c r="C30" s="256"/>
      <c r="D30" s="256"/>
      <c r="E30" s="279">
        <v>0</v>
      </c>
      <c r="F30" s="257">
        <v>0</v>
      </c>
      <c r="G30" s="257">
        <v>0</v>
      </c>
      <c r="H30" s="322">
        <f t="shared" si="8"/>
        <v>0</v>
      </c>
      <c r="I30" s="257">
        <v>0</v>
      </c>
      <c r="J30" s="257">
        <v>0</v>
      </c>
      <c r="K30" s="257">
        <v>0</v>
      </c>
      <c r="L30" s="322">
        <f t="shared" si="9"/>
        <v>0</v>
      </c>
      <c r="M30" s="257">
        <v>0</v>
      </c>
      <c r="N30" s="257">
        <v>0</v>
      </c>
      <c r="O30" s="257">
        <v>0</v>
      </c>
      <c r="P30" s="322">
        <f t="shared" si="10"/>
        <v>0</v>
      </c>
      <c r="Q30" s="257">
        <v>0</v>
      </c>
      <c r="R30" s="257">
        <v>0</v>
      </c>
      <c r="S30" s="257">
        <v>0</v>
      </c>
      <c r="T30" s="322">
        <f t="shared" si="11"/>
        <v>0</v>
      </c>
      <c r="V30" s="29">
        <f t="shared" si="4"/>
        <v>0</v>
      </c>
      <c r="X30"/>
      <c r="Y30" s="5" t="s">
        <v>316</v>
      </c>
      <c r="Z30" s="5">
        <v>20000</v>
      </c>
      <c r="AA30" s="5"/>
      <c r="AB30" s="5">
        <f t="shared" si="5"/>
        <v>20000</v>
      </c>
      <c r="AC30" s="20">
        <f>VLOOKUP(Y30,[2]杭州!$B:$BR,69,0)</f>
        <v>20000</v>
      </c>
      <c r="AD30">
        <f t="shared" si="6"/>
        <v>0</v>
      </c>
      <c r="AE30"/>
      <c r="AF30"/>
      <c r="AG30"/>
      <c r="AH30"/>
      <c r="AI30"/>
      <c r="AJ30"/>
    </row>
    <row r="31" ht="19.5" customHeight="1" spans="1:36">
      <c r="A31" s="256">
        <v>13</v>
      </c>
      <c r="B31" s="290" t="s">
        <v>522</v>
      </c>
      <c r="C31" s="256"/>
      <c r="D31" s="256"/>
      <c r="E31" s="279">
        <v>0</v>
      </c>
      <c r="F31" s="257">
        <v>0</v>
      </c>
      <c r="G31" s="257">
        <v>0</v>
      </c>
      <c r="H31" s="322">
        <f t="shared" si="8"/>
        <v>0</v>
      </c>
      <c r="I31" s="257">
        <v>0</v>
      </c>
      <c r="J31" s="257">
        <v>0</v>
      </c>
      <c r="K31" s="257">
        <v>0</v>
      </c>
      <c r="L31" s="322">
        <f t="shared" si="9"/>
        <v>0</v>
      </c>
      <c r="M31" s="257">
        <v>0</v>
      </c>
      <c r="N31" s="257">
        <v>0</v>
      </c>
      <c r="O31" s="257">
        <v>0</v>
      </c>
      <c r="P31" s="322">
        <f t="shared" si="10"/>
        <v>0</v>
      </c>
      <c r="Q31" s="257">
        <v>0</v>
      </c>
      <c r="R31" s="257">
        <v>0</v>
      </c>
      <c r="S31" s="257">
        <v>0</v>
      </c>
      <c r="T31" s="322">
        <f t="shared" si="11"/>
        <v>0</v>
      </c>
      <c r="V31" s="29">
        <f t="shared" si="4"/>
        <v>0</v>
      </c>
      <c r="X31"/>
      <c r="Y31" s="5" t="s">
        <v>365</v>
      </c>
      <c r="Z31" s="5">
        <v>7539</v>
      </c>
      <c r="AA31" s="5"/>
      <c r="AB31" s="5">
        <f t="shared" si="5"/>
        <v>7539</v>
      </c>
      <c r="AC31" s="20">
        <f>VLOOKUP(Y31,[2]杭州!$B:$BR,69,0)</f>
        <v>7539</v>
      </c>
      <c r="AD31">
        <f t="shared" si="6"/>
        <v>0</v>
      </c>
      <c r="AE31"/>
      <c r="AF31"/>
      <c r="AG31"/>
      <c r="AH31"/>
      <c r="AI31"/>
      <c r="AJ31"/>
    </row>
    <row r="32" ht="19.5" customHeight="1" spans="1:36">
      <c r="A32" s="256">
        <v>14</v>
      </c>
      <c r="B32" s="266" t="s">
        <v>523</v>
      </c>
      <c r="C32" s="256" t="s">
        <v>305</v>
      </c>
      <c r="D32" s="256" t="s">
        <v>331</v>
      </c>
      <c r="E32" s="279">
        <v>0</v>
      </c>
      <c r="F32" s="257">
        <v>0</v>
      </c>
      <c r="G32" s="257">
        <v>0</v>
      </c>
      <c r="H32" s="322">
        <f t="shared" si="8"/>
        <v>0</v>
      </c>
      <c r="I32" s="257">
        <v>0</v>
      </c>
      <c r="J32" s="257">
        <v>0</v>
      </c>
      <c r="K32" s="257">
        <v>0</v>
      </c>
      <c r="L32" s="322">
        <f t="shared" si="9"/>
        <v>0</v>
      </c>
      <c r="M32" s="257">
        <v>0</v>
      </c>
      <c r="N32" s="257">
        <v>0</v>
      </c>
      <c r="O32" s="291">
        <v>0</v>
      </c>
      <c r="P32" s="322">
        <f t="shared" si="10"/>
        <v>0</v>
      </c>
      <c r="Q32" s="257">
        <v>0</v>
      </c>
      <c r="R32" s="257">
        <v>0</v>
      </c>
      <c r="S32" s="257">
        <v>0</v>
      </c>
      <c r="T32" s="322">
        <f t="shared" si="11"/>
        <v>0</v>
      </c>
      <c r="V32" s="29">
        <f t="shared" si="4"/>
        <v>0</v>
      </c>
      <c r="X32"/>
      <c r="Y32" s="5" t="s">
        <v>524</v>
      </c>
      <c r="Z32" s="5">
        <v>375496</v>
      </c>
      <c r="AA32" s="5"/>
      <c r="AB32" s="5">
        <f t="shared" si="5"/>
        <v>375496</v>
      </c>
      <c r="AD32">
        <f t="shared" si="6"/>
        <v>375496</v>
      </c>
      <c r="AE32"/>
      <c r="AF32"/>
      <c r="AG32"/>
      <c r="AH32"/>
      <c r="AI32"/>
      <c r="AJ32"/>
    </row>
    <row r="33" ht="19.5" customHeight="1" spans="1:36">
      <c r="A33" s="256">
        <v>15</v>
      </c>
      <c r="B33" s="266" t="s">
        <v>525</v>
      </c>
      <c r="C33" s="256"/>
      <c r="D33" s="256"/>
      <c r="E33" s="279">
        <v>0</v>
      </c>
      <c r="F33" s="257">
        <v>0</v>
      </c>
      <c r="G33" s="257">
        <v>0</v>
      </c>
      <c r="H33" s="322">
        <f t="shared" si="8"/>
        <v>0</v>
      </c>
      <c r="I33" s="257">
        <v>0</v>
      </c>
      <c r="J33" s="257">
        <v>0</v>
      </c>
      <c r="K33" s="257">
        <v>0</v>
      </c>
      <c r="L33" s="322">
        <f t="shared" si="9"/>
        <v>0</v>
      </c>
      <c r="M33" s="257">
        <v>0</v>
      </c>
      <c r="N33" s="257">
        <v>0</v>
      </c>
      <c r="O33" s="257">
        <v>0</v>
      </c>
      <c r="P33" s="322">
        <f t="shared" si="10"/>
        <v>0</v>
      </c>
      <c r="Q33" s="257">
        <v>0</v>
      </c>
      <c r="R33" s="257">
        <v>0</v>
      </c>
      <c r="S33" s="257">
        <v>0</v>
      </c>
      <c r="T33" s="322">
        <f t="shared" si="11"/>
        <v>0</v>
      </c>
      <c r="V33" s="29">
        <f t="shared" si="4"/>
        <v>0</v>
      </c>
      <c r="X33"/>
      <c r="Y33" s="5" t="s">
        <v>362</v>
      </c>
      <c r="Z33" s="5">
        <v>28520</v>
      </c>
      <c r="AA33" s="5"/>
      <c r="AB33" s="5">
        <f t="shared" si="5"/>
        <v>28520</v>
      </c>
      <c r="AC33" s="20">
        <f>VLOOKUP(Y33,[2]杭州!$B:$BR,69,0)</f>
        <v>28520</v>
      </c>
      <c r="AD33">
        <f t="shared" si="6"/>
        <v>0</v>
      </c>
      <c r="AE33" s="13"/>
      <c r="AF33" s="13"/>
      <c r="AG33" s="13"/>
      <c r="AH33"/>
      <c r="AI33"/>
      <c r="AJ33"/>
    </row>
    <row r="34" ht="19.5" customHeight="1" spans="1:36">
      <c r="A34" s="256">
        <v>16</v>
      </c>
      <c r="B34" s="266" t="s">
        <v>526</v>
      </c>
      <c r="C34" s="256"/>
      <c r="D34" s="256"/>
      <c r="E34" s="279">
        <v>0</v>
      </c>
      <c r="F34" s="257">
        <v>0</v>
      </c>
      <c r="G34" s="257">
        <v>0</v>
      </c>
      <c r="H34" s="322">
        <f t="shared" si="8"/>
        <v>0</v>
      </c>
      <c r="I34" s="257">
        <v>0</v>
      </c>
      <c r="J34" s="257">
        <v>0</v>
      </c>
      <c r="K34" s="257">
        <v>0</v>
      </c>
      <c r="L34" s="322">
        <f t="shared" si="9"/>
        <v>0</v>
      </c>
      <c r="M34" s="257">
        <v>0</v>
      </c>
      <c r="N34" s="257">
        <v>0</v>
      </c>
      <c r="O34" s="257">
        <v>0</v>
      </c>
      <c r="P34" s="322">
        <f t="shared" si="10"/>
        <v>0</v>
      </c>
      <c r="Q34" s="257">
        <v>0</v>
      </c>
      <c r="R34" s="257">
        <v>0</v>
      </c>
      <c r="S34" s="257">
        <v>0</v>
      </c>
      <c r="T34" s="322">
        <f t="shared" si="11"/>
        <v>0</v>
      </c>
      <c r="V34" s="29">
        <f t="shared" si="4"/>
        <v>0</v>
      </c>
      <c r="X34"/>
      <c r="AC34"/>
      <c r="AD34"/>
      <c r="AE34" s="13"/>
      <c r="AF34" s="13"/>
      <c r="AG34" s="13"/>
      <c r="AH34"/>
      <c r="AI34"/>
      <c r="AJ34"/>
    </row>
    <row r="35" ht="19.5" customHeight="1" spans="1:36">
      <c r="A35" s="256">
        <v>17</v>
      </c>
      <c r="B35" s="266" t="s">
        <v>527</v>
      </c>
      <c r="C35" s="256" t="s">
        <v>310</v>
      </c>
      <c r="D35" s="256" t="s">
        <v>327</v>
      </c>
      <c r="E35" s="279">
        <v>0</v>
      </c>
      <c r="F35" s="257">
        <v>0</v>
      </c>
      <c r="G35" s="257">
        <v>0</v>
      </c>
      <c r="H35" s="322">
        <f t="shared" si="8"/>
        <v>0</v>
      </c>
      <c r="I35" s="257">
        <v>0</v>
      </c>
      <c r="J35" s="257">
        <v>0</v>
      </c>
      <c r="K35" s="257">
        <v>0</v>
      </c>
      <c r="L35" s="322">
        <f t="shared" si="9"/>
        <v>0</v>
      </c>
      <c r="M35" s="257">
        <v>0</v>
      </c>
      <c r="N35" s="257">
        <v>0</v>
      </c>
      <c r="O35" s="291">
        <v>0</v>
      </c>
      <c r="P35" s="322">
        <f t="shared" si="10"/>
        <v>0</v>
      </c>
      <c r="Q35" s="257">
        <v>0</v>
      </c>
      <c r="R35" s="257">
        <v>0</v>
      </c>
      <c r="S35" s="257">
        <v>0</v>
      </c>
      <c r="T35" s="322">
        <f t="shared" si="11"/>
        <v>0</v>
      </c>
      <c r="V35" s="29">
        <f t="shared" si="4"/>
        <v>0</v>
      </c>
      <c r="X35"/>
      <c r="AC35"/>
      <c r="AD35"/>
      <c r="AE35" s="13"/>
      <c r="AF35" s="13"/>
      <c r="AG35" s="13"/>
      <c r="AH35"/>
      <c r="AI35"/>
      <c r="AJ35"/>
    </row>
    <row r="36" s="315" customFormat="1" ht="19.5" customHeight="1" spans="1:36">
      <c r="A36" s="319">
        <v>18</v>
      </c>
      <c r="B36" s="319" t="s">
        <v>333</v>
      </c>
      <c r="C36" s="319" t="s">
        <v>310</v>
      </c>
      <c r="D36" s="319" t="s">
        <v>334</v>
      </c>
      <c r="E36" s="320">
        <v>0</v>
      </c>
      <c r="F36" s="320">
        <v>22000</v>
      </c>
      <c r="G36" s="320">
        <v>0</v>
      </c>
      <c r="H36" s="321">
        <f t="shared" si="8"/>
        <v>22000</v>
      </c>
      <c r="I36" s="320">
        <v>0</v>
      </c>
      <c r="J36" s="320">
        <v>0</v>
      </c>
      <c r="K36" s="320">
        <v>0</v>
      </c>
      <c r="L36" s="321">
        <f t="shared" si="9"/>
        <v>0</v>
      </c>
      <c r="M36" s="320">
        <v>0</v>
      </c>
      <c r="N36" s="320">
        <v>0</v>
      </c>
      <c r="O36" s="320">
        <v>0</v>
      </c>
      <c r="P36" s="321">
        <f t="shared" si="10"/>
        <v>0</v>
      </c>
      <c r="Q36" s="320">
        <v>0</v>
      </c>
      <c r="R36" s="320">
        <v>0</v>
      </c>
      <c r="S36" s="320">
        <v>0</v>
      </c>
      <c r="T36" s="321">
        <f t="shared" si="11"/>
        <v>0</v>
      </c>
      <c r="V36" s="329">
        <f t="shared" si="4"/>
        <v>22000</v>
      </c>
      <c r="X36" s="330"/>
      <c r="AC36" s="330"/>
      <c r="AD36" s="330"/>
      <c r="AE36" s="334"/>
      <c r="AF36" s="334"/>
      <c r="AG36" s="334"/>
      <c r="AH36" s="330"/>
      <c r="AI36" s="330"/>
      <c r="AJ36" s="330"/>
    </row>
    <row r="37" ht="19.5" customHeight="1" spans="1:36">
      <c r="A37" s="256">
        <v>19</v>
      </c>
      <c r="B37" s="266" t="s">
        <v>528</v>
      </c>
      <c r="C37" s="256"/>
      <c r="D37" s="256"/>
      <c r="E37" s="279">
        <v>0</v>
      </c>
      <c r="F37" s="257">
        <v>0</v>
      </c>
      <c r="G37" s="257">
        <v>0</v>
      </c>
      <c r="H37" s="322">
        <f t="shared" si="8"/>
        <v>0</v>
      </c>
      <c r="I37" s="257">
        <v>0</v>
      </c>
      <c r="J37" s="257">
        <v>0</v>
      </c>
      <c r="K37" s="257">
        <v>0</v>
      </c>
      <c r="L37" s="322">
        <f t="shared" si="9"/>
        <v>0</v>
      </c>
      <c r="M37" s="257">
        <v>0</v>
      </c>
      <c r="N37" s="257">
        <v>0</v>
      </c>
      <c r="O37" s="257">
        <v>0</v>
      </c>
      <c r="P37" s="322">
        <f t="shared" si="10"/>
        <v>0</v>
      </c>
      <c r="Q37" s="257">
        <v>0</v>
      </c>
      <c r="R37" s="257">
        <v>0</v>
      </c>
      <c r="S37" s="257">
        <v>0</v>
      </c>
      <c r="T37" s="322">
        <f t="shared" si="11"/>
        <v>0</v>
      </c>
      <c r="V37" s="29">
        <f t="shared" si="4"/>
        <v>0</v>
      </c>
      <c r="X37"/>
      <c r="AC37"/>
      <c r="AD37"/>
      <c r="AE37" s="13"/>
      <c r="AF37" s="13"/>
      <c r="AG37" s="13"/>
      <c r="AH37"/>
      <c r="AI37"/>
      <c r="AJ37"/>
    </row>
    <row r="38" ht="19.5" customHeight="1" spans="1:36">
      <c r="A38" s="256"/>
      <c r="B38" s="326" t="s">
        <v>11</v>
      </c>
      <c r="C38" s="289"/>
      <c r="D38" s="289"/>
      <c r="E38" s="276">
        <f t="shared" ref="E38:T38" si="13">SUM(E19:E37)</f>
        <v>276790</v>
      </c>
      <c r="F38" s="276">
        <f t="shared" si="13"/>
        <v>278700</v>
      </c>
      <c r="G38" s="276">
        <f t="shared" si="13"/>
        <v>456820</v>
      </c>
      <c r="H38" s="324">
        <f t="shared" si="13"/>
        <v>1012310</v>
      </c>
      <c r="I38" s="276">
        <f t="shared" si="13"/>
        <v>13941</v>
      </c>
      <c r="J38" s="276">
        <f t="shared" si="13"/>
        <v>282018.14</v>
      </c>
      <c r="K38" s="276">
        <f t="shared" si="13"/>
        <v>202235.05</v>
      </c>
      <c r="L38" s="324">
        <f t="shared" si="13"/>
        <v>498194.19</v>
      </c>
      <c r="M38" s="276">
        <f t="shared" si="13"/>
        <v>297700</v>
      </c>
      <c r="N38" s="276">
        <f t="shared" si="13"/>
        <v>296500</v>
      </c>
      <c r="O38" s="276">
        <f t="shared" si="13"/>
        <v>361000</v>
      </c>
      <c r="P38" s="324">
        <f t="shared" si="13"/>
        <v>955200</v>
      </c>
      <c r="Q38" s="276">
        <f t="shared" si="13"/>
        <v>50000</v>
      </c>
      <c r="R38" s="276">
        <f t="shared" si="13"/>
        <v>340000</v>
      </c>
      <c r="S38" s="276">
        <f t="shared" si="13"/>
        <v>344558</v>
      </c>
      <c r="T38" s="324">
        <f t="shared" si="13"/>
        <v>734558</v>
      </c>
      <c r="V38" s="292">
        <f t="shared" si="4"/>
        <v>3200262.19</v>
      </c>
      <c r="X38"/>
      <c r="AC38"/>
      <c r="AD38"/>
      <c r="AE38" s="13"/>
      <c r="AF38" s="13"/>
      <c r="AG38" s="13"/>
      <c r="AH38"/>
      <c r="AI38"/>
      <c r="AJ38"/>
    </row>
    <row r="39" ht="19.5" customHeight="1" spans="1:36">
      <c r="A39" s="251" t="s">
        <v>529</v>
      </c>
      <c r="B39" s="140"/>
      <c r="C39" s="251"/>
      <c r="D39" s="251"/>
      <c r="E39" s="288"/>
      <c r="F39" s="265"/>
      <c r="G39" s="265"/>
      <c r="H39" s="325"/>
      <c r="I39" s="265"/>
      <c r="J39" s="265"/>
      <c r="K39" s="265"/>
      <c r="L39" s="325"/>
      <c r="M39" s="265"/>
      <c r="N39" s="265"/>
      <c r="O39" s="265"/>
      <c r="P39" s="325"/>
      <c r="Q39" s="265"/>
      <c r="R39" s="265"/>
      <c r="S39" s="265"/>
      <c r="T39" s="325"/>
      <c r="V39" s="29">
        <f t="shared" si="4"/>
        <v>0</v>
      </c>
      <c r="X39"/>
      <c r="AC39"/>
      <c r="AD39"/>
      <c r="AE39" s="13"/>
      <c r="AF39" s="13"/>
      <c r="AG39" s="13"/>
      <c r="AH39"/>
      <c r="AI39"/>
      <c r="AJ39"/>
    </row>
    <row r="40" s="315" customFormat="1" ht="19.5" customHeight="1" spans="1:36">
      <c r="A40" s="319">
        <v>1</v>
      </c>
      <c r="B40" s="319" t="s">
        <v>336</v>
      </c>
      <c r="C40" s="319" t="s">
        <v>326</v>
      </c>
      <c r="D40" s="319" t="s">
        <v>337</v>
      </c>
      <c r="E40" s="320">
        <v>101900</v>
      </c>
      <c r="F40" s="320">
        <v>160000</v>
      </c>
      <c r="G40" s="320">
        <v>281000</v>
      </c>
      <c r="H40" s="321">
        <f t="shared" ref="H40:H53" si="14">SUM(E40:G40)</f>
        <v>542900</v>
      </c>
      <c r="I40" s="320">
        <v>0</v>
      </c>
      <c r="J40" s="320">
        <v>30000</v>
      </c>
      <c r="K40" s="320">
        <v>88990</v>
      </c>
      <c r="L40" s="321">
        <f t="shared" ref="L40:L53" si="15">SUM(I40:K40)</f>
        <v>118990</v>
      </c>
      <c r="M40" s="320">
        <v>125000</v>
      </c>
      <c r="N40" s="320">
        <v>115000</v>
      </c>
      <c r="O40" s="320">
        <v>141978.5</v>
      </c>
      <c r="P40" s="321">
        <f t="shared" ref="P40:P53" si="16">SUM(M40:O40)</f>
        <v>381978.5</v>
      </c>
      <c r="Q40" s="320">
        <v>70000</v>
      </c>
      <c r="R40" s="320">
        <v>120000</v>
      </c>
      <c r="S40" s="320">
        <v>130000</v>
      </c>
      <c r="T40" s="321">
        <f t="shared" ref="T40:T53" si="17">SUM(Q40:S40)</f>
        <v>320000</v>
      </c>
      <c r="V40" s="329">
        <f t="shared" si="4"/>
        <v>1363868.5</v>
      </c>
      <c r="X40" s="330"/>
      <c r="AC40" s="330"/>
      <c r="AD40" s="330"/>
      <c r="AE40" s="334"/>
      <c r="AF40" s="334"/>
      <c r="AG40" s="334"/>
      <c r="AH40" s="330"/>
      <c r="AI40" s="330"/>
      <c r="AJ40" s="330"/>
    </row>
    <row r="41" s="315" customFormat="1" ht="19.5" customHeight="1" spans="1:36">
      <c r="A41" s="319">
        <v>2</v>
      </c>
      <c r="B41" s="319" t="s">
        <v>338</v>
      </c>
      <c r="C41" s="319" t="s">
        <v>326</v>
      </c>
      <c r="D41" s="319" t="s">
        <v>339</v>
      </c>
      <c r="E41" s="320">
        <v>10000</v>
      </c>
      <c r="F41" s="320">
        <v>20000</v>
      </c>
      <c r="G41" s="320">
        <v>10000</v>
      </c>
      <c r="H41" s="321">
        <f t="shared" si="14"/>
        <v>40000</v>
      </c>
      <c r="I41" s="320">
        <v>30000</v>
      </c>
      <c r="J41" s="320">
        <v>0</v>
      </c>
      <c r="K41" s="320">
        <v>0</v>
      </c>
      <c r="L41" s="321">
        <f t="shared" si="15"/>
        <v>30000</v>
      </c>
      <c r="M41" s="320">
        <v>10000</v>
      </c>
      <c r="N41" s="320">
        <v>0</v>
      </c>
      <c r="O41" s="320">
        <v>0</v>
      </c>
      <c r="P41" s="321">
        <f t="shared" si="16"/>
        <v>10000</v>
      </c>
      <c r="Q41" s="320">
        <v>0</v>
      </c>
      <c r="R41" s="320">
        <v>20000</v>
      </c>
      <c r="S41" s="320">
        <v>0</v>
      </c>
      <c r="T41" s="321">
        <f t="shared" si="17"/>
        <v>20000</v>
      </c>
      <c r="V41" s="329">
        <f t="shared" si="4"/>
        <v>100000</v>
      </c>
      <c r="X41" s="330"/>
      <c r="Y41" s="330"/>
      <c r="Z41" s="330"/>
      <c r="AA41" s="330"/>
      <c r="AB41" s="330"/>
      <c r="AC41" s="330"/>
      <c r="AD41" s="330"/>
      <c r="AE41" s="334"/>
      <c r="AF41" s="334"/>
      <c r="AG41" s="334"/>
      <c r="AH41" s="330"/>
      <c r="AI41" s="330"/>
      <c r="AJ41" s="330"/>
    </row>
    <row r="42" s="315" customFormat="1" ht="19.5" customHeight="1" spans="1:36">
      <c r="A42" s="319">
        <v>3</v>
      </c>
      <c r="B42" s="319" t="s">
        <v>340</v>
      </c>
      <c r="C42" s="319" t="s">
        <v>326</v>
      </c>
      <c r="D42" s="319" t="s">
        <v>341</v>
      </c>
      <c r="E42" s="320">
        <v>0</v>
      </c>
      <c r="F42" s="320">
        <v>40938</v>
      </c>
      <c r="G42" s="320">
        <v>17009</v>
      </c>
      <c r="H42" s="321">
        <f t="shared" si="14"/>
        <v>57947</v>
      </c>
      <c r="I42" s="320">
        <v>22743</v>
      </c>
      <c r="J42" s="320">
        <v>17555</v>
      </c>
      <c r="K42" s="320">
        <v>41837</v>
      </c>
      <c r="L42" s="321">
        <f t="shared" si="15"/>
        <v>82135</v>
      </c>
      <c r="M42" s="320">
        <v>29146</v>
      </c>
      <c r="N42" s="320">
        <v>26349</v>
      </c>
      <c r="O42" s="320">
        <v>52577</v>
      </c>
      <c r="P42" s="321">
        <f t="shared" si="16"/>
        <v>108072</v>
      </c>
      <c r="Q42" s="320">
        <v>36858</v>
      </c>
      <c r="R42" s="320">
        <v>66599</v>
      </c>
      <c r="S42" s="320">
        <v>59956</v>
      </c>
      <c r="T42" s="321">
        <f t="shared" si="17"/>
        <v>163413</v>
      </c>
      <c r="V42" s="329">
        <f t="shared" si="4"/>
        <v>411567</v>
      </c>
      <c r="X42" s="330"/>
      <c r="Y42" s="330"/>
      <c r="Z42" s="330"/>
      <c r="AA42" s="330"/>
      <c r="AB42" s="330"/>
      <c r="AC42" s="330"/>
      <c r="AD42" s="330"/>
      <c r="AE42" s="334"/>
      <c r="AF42" s="334"/>
      <c r="AG42" s="334"/>
      <c r="AH42" s="330"/>
      <c r="AI42" s="330"/>
      <c r="AJ42" s="330"/>
    </row>
    <row r="43" ht="19.5" customHeight="1" spans="1:36">
      <c r="A43" s="256">
        <v>4</v>
      </c>
      <c r="B43" s="266" t="s">
        <v>530</v>
      </c>
      <c r="C43" s="256" t="s">
        <v>305</v>
      </c>
      <c r="D43" s="256" t="s">
        <v>341</v>
      </c>
      <c r="E43" s="279">
        <v>0</v>
      </c>
      <c r="F43" s="257">
        <v>0</v>
      </c>
      <c r="G43" s="257">
        <v>0</v>
      </c>
      <c r="H43" s="322">
        <f t="shared" si="14"/>
        <v>0</v>
      </c>
      <c r="I43" s="257">
        <v>0</v>
      </c>
      <c r="J43" s="257">
        <v>0</v>
      </c>
      <c r="K43" s="257">
        <v>0</v>
      </c>
      <c r="L43" s="322">
        <f t="shared" si="15"/>
        <v>0</v>
      </c>
      <c r="M43" s="257">
        <v>0</v>
      </c>
      <c r="N43" s="257">
        <v>0</v>
      </c>
      <c r="O43" s="291">
        <v>0</v>
      </c>
      <c r="P43" s="322">
        <f t="shared" si="16"/>
        <v>0</v>
      </c>
      <c r="Q43" s="257">
        <v>0</v>
      </c>
      <c r="R43" s="257">
        <v>0</v>
      </c>
      <c r="S43" s="257">
        <v>0</v>
      </c>
      <c r="T43" s="322">
        <f t="shared" si="17"/>
        <v>0</v>
      </c>
      <c r="V43" s="29">
        <f t="shared" si="4"/>
        <v>0</v>
      </c>
      <c r="X43"/>
      <c r="Y43"/>
      <c r="Z43"/>
      <c r="AA43"/>
      <c r="AB43"/>
      <c r="AC43"/>
      <c r="AD43"/>
      <c r="AE43" s="13"/>
      <c r="AF43" s="13"/>
      <c r="AG43" s="13"/>
      <c r="AH43"/>
      <c r="AI43"/>
      <c r="AJ43"/>
    </row>
    <row r="44" ht="19.5" customHeight="1" spans="1:36">
      <c r="A44" s="256">
        <v>5</v>
      </c>
      <c r="B44" s="266" t="s">
        <v>531</v>
      </c>
      <c r="C44" s="256"/>
      <c r="D44" s="256"/>
      <c r="E44" s="279">
        <v>0</v>
      </c>
      <c r="F44" s="257">
        <v>0</v>
      </c>
      <c r="G44" s="257">
        <v>0</v>
      </c>
      <c r="H44" s="322">
        <f t="shared" si="14"/>
        <v>0</v>
      </c>
      <c r="I44" s="257">
        <v>0</v>
      </c>
      <c r="J44" s="257">
        <v>0</v>
      </c>
      <c r="K44" s="257">
        <v>0</v>
      </c>
      <c r="L44" s="322">
        <f t="shared" si="15"/>
        <v>0</v>
      </c>
      <c r="M44" s="257">
        <v>0</v>
      </c>
      <c r="N44" s="257">
        <v>0</v>
      </c>
      <c r="O44" s="257">
        <v>0</v>
      </c>
      <c r="P44" s="322">
        <f t="shared" si="16"/>
        <v>0</v>
      </c>
      <c r="Q44" s="257">
        <v>0</v>
      </c>
      <c r="R44" s="257">
        <v>0</v>
      </c>
      <c r="S44" s="257">
        <v>0</v>
      </c>
      <c r="T44" s="322">
        <f t="shared" si="17"/>
        <v>0</v>
      </c>
      <c r="V44" s="29">
        <f t="shared" si="4"/>
        <v>0</v>
      </c>
      <c r="X44"/>
      <c r="Y44"/>
      <c r="Z44"/>
      <c r="AA44"/>
      <c r="AB44"/>
      <c r="AC44"/>
      <c r="AD44"/>
      <c r="AE44" s="13"/>
      <c r="AF44" s="13"/>
      <c r="AG44" s="13"/>
      <c r="AH44"/>
      <c r="AI44"/>
      <c r="AJ44"/>
    </row>
    <row r="45" ht="19.5" customHeight="1" spans="1:36">
      <c r="A45" s="256">
        <v>6</v>
      </c>
      <c r="B45" s="266" t="s">
        <v>532</v>
      </c>
      <c r="C45" s="256" t="s">
        <v>305</v>
      </c>
      <c r="D45" s="256" t="s">
        <v>343</v>
      </c>
      <c r="E45" s="279">
        <v>0</v>
      </c>
      <c r="F45" s="257">
        <v>0</v>
      </c>
      <c r="G45" s="257">
        <v>0</v>
      </c>
      <c r="H45" s="322">
        <f t="shared" si="14"/>
        <v>0</v>
      </c>
      <c r="I45" s="257">
        <v>0</v>
      </c>
      <c r="J45" s="257">
        <v>0</v>
      </c>
      <c r="K45" s="257">
        <v>0</v>
      </c>
      <c r="L45" s="322">
        <f t="shared" si="15"/>
        <v>0</v>
      </c>
      <c r="M45" s="257">
        <v>0</v>
      </c>
      <c r="N45" s="257">
        <v>0</v>
      </c>
      <c r="O45" s="291">
        <v>0</v>
      </c>
      <c r="P45" s="322">
        <f t="shared" si="16"/>
        <v>0</v>
      </c>
      <c r="Q45" s="257">
        <v>0</v>
      </c>
      <c r="R45" s="257">
        <v>0</v>
      </c>
      <c r="S45" s="257">
        <v>0</v>
      </c>
      <c r="T45" s="322">
        <f t="shared" si="17"/>
        <v>0</v>
      </c>
      <c r="V45" s="29">
        <f t="shared" si="4"/>
        <v>0</v>
      </c>
      <c r="X45"/>
      <c r="Y45"/>
      <c r="Z45"/>
      <c r="AA45"/>
      <c r="AB45"/>
      <c r="AC45"/>
      <c r="AD45"/>
      <c r="AE45" s="13"/>
      <c r="AF45" s="13"/>
      <c r="AG45" s="13"/>
      <c r="AH45"/>
      <c r="AI45"/>
      <c r="AJ45"/>
    </row>
    <row r="46" s="315" customFormat="1" ht="19.5" customHeight="1" spans="1:36">
      <c r="A46" s="319">
        <v>7</v>
      </c>
      <c r="B46" s="319" t="s">
        <v>342</v>
      </c>
      <c r="C46" s="319" t="s">
        <v>326</v>
      </c>
      <c r="D46" s="319" t="s">
        <v>343</v>
      </c>
      <c r="E46" s="320">
        <v>149000</v>
      </c>
      <c r="F46" s="320">
        <v>285400</v>
      </c>
      <c r="G46" s="320">
        <v>227000</v>
      </c>
      <c r="H46" s="321">
        <f t="shared" si="14"/>
        <v>661400</v>
      </c>
      <c r="I46" s="320">
        <v>303536</v>
      </c>
      <c r="J46" s="320">
        <v>302400</v>
      </c>
      <c r="K46" s="320">
        <v>245030</v>
      </c>
      <c r="L46" s="321">
        <f t="shared" si="15"/>
        <v>850966</v>
      </c>
      <c r="M46" s="320">
        <v>166858</v>
      </c>
      <c r="N46" s="320">
        <v>197000</v>
      </c>
      <c r="O46" s="320">
        <v>119000</v>
      </c>
      <c r="P46" s="321">
        <f t="shared" si="16"/>
        <v>482858</v>
      </c>
      <c r="Q46" s="320">
        <v>175647</v>
      </c>
      <c r="R46" s="320">
        <v>316300</v>
      </c>
      <c r="S46" s="320">
        <v>311518</v>
      </c>
      <c r="T46" s="321">
        <f t="shared" si="17"/>
        <v>803465</v>
      </c>
      <c r="V46" s="329">
        <f t="shared" si="4"/>
        <v>2798689</v>
      </c>
      <c r="X46" s="330"/>
      <c r="Y46" s="330"/>
      <c r="Z46" s="330"/>
      <c r="AA46" s="330"/>
      <c r="AB46" s="330"/>
      <c r="AC46" s="330"/>
      <c r="AD46" s="330"/>
      <c r="AE46" s="334"/>
      <c r="AF46" s="334"/>
      <c r="AG46" s="334"/>
      <c r="AH46" s="330"/>
      <c r="AI46" s="330"/>
      <c r="AJ46" s="330"/>
    </row>
    <row r="47" ht="19.5" customHeight="1" spans="1:36">
      <c r="A47" s="256">
        <v>8</v>
      </c>
      <c r="B47" s="266" t="s">
        <v>533</v>
      </c>
      <c r="C47" s="256"/>
      <c r="D47" s="256"/>
      <c r="E47" s="279">
        <v>0</v>
      </c>
      <c r="F47" s="257">
        <v>0</v>
      </c>
      <c r="G47" s="257">
        <v>0</v>
      </c>
      <c r="H47" s="322">
        <f t="shared" si="14"/>
        <v>0</v>
      </c>
      <c r="I47" s="257">
        <v>0</v>
      </c>
      <c r="J47" s="257">
        <v>0</v>
      </c>
      <c r="K47" s="257">
        <v>0</v>
      </c>
      <c r="L47" s="322">
        <f t="shared" si="15"/>
        <v>0</v>
      </c>
      <c r="M47" s="257">
        <v>0</v>
      </c>
      <c r="N47" s="257">
        <v>0</v>
      </c>
      <c r="O47" s="257">
        <v>0</v>
      </c>
      <c r="P47" s="322">
        <f t="shared" si="16"/>
        <v>0</v>
      </c>
      <c r="Q47" s="257">
        <v>0</v>
      </c>
      <c r="R47" s="257">
        <v>0</v>
      </c>
      <c r="S47" s="257">
        <v>0</v>
      </c>
      <c r="T47" s="322">
        <f t="shared" si="17"/>
        <v>0</v>
      </c>
      <c r="V47" s="29">
        <f t="shared" si="4"/>
        <v>0</v>
      </c>
      <c r="X47"/>
      <c r="Y47"/>
      <c r="Z47"/>
      <c r="AA47"/>
      <c r="AB47"/>
      <c r="AC47"/>
      <c r="AD47"/>
      <c r="AE47" s="13"/>
      <c r="AF47" s="13"/>
      <c r="AG47" s="13"/>
      <c r="AH47"/>
      <c r="AI47"/>
      <c r="AJ47"/>
    </row>
    <row r="48" ht="19.5" customHeight="1" spans="1:36">
      <c r="A48" s="256">
        <v>9</v>
      </c>
      <c r="B48" s="266" t="s">
        <v>534</v>
      </c>
      <c r="C48" s="256"/>
      <c r="D48" s="256"/>
      <c r="E48" s="279">
        <v>0</v>
      </c>
      <c r="F48" s="257">
        <v>0</v>
      </c>
      <c r="G48" s="257">
        <v>0</v>
      </c>
      <c r="H48" s="322">
        <f t="shared" si="14"/>
        <v>0</v>
      </c>
      <c r="I48" s="257">
        <v>0</v>
      </c>
      <c r="J48" s="257">
        <v>0</v>
      </c>
      <c r="K48" s="257">
        <v>0</v>
      </c>
      <c r="L48" s="322">
        <f t="shared" si="15"/>
        <v>0</v>
      </c>
      <c r="M48" s="257">
        <v>0</v>
      </c>
      <c r="N48" s="257">
        <v>0</v>
      </c>
      <c r="O48" s="257">
        <v>0</v>
      </c>
      <c r="P48" s="322">
        <f t="shared" si="16"/>
        <v>0</v>
      </c>
      <c r="Q48" s="257">
        <v>0</v>
      </c>
      <c r="R48" s="257">
        <v>0</v>
      </c>
      <c r="S48" s="257">
        <v>0</v>
      </c>
      <c r="T48" s="322">
        <f t="shared" si="17"/>
        <v>0</v>
      </c>
      <c r="V48" s="29">
        <f t="shared" si="4"/>
        <v>0</v>
      </c>
      <c r="X48"/>
      <c r="Y48"/>
      <c r="Z48"/>
      <c r="AA48"/>
      <c r="AB48"/>
      <c r="AC48"/>
      <c r="AD48"/>
      <c r="AE48" s="13"/>
      <c r="AF48" s="13"/>
      <c r="AG48" s="13"/>
      <c r="AH48"/>
      <c r="AI48"/>
      <c r="AJ48"/>
    </row>
    <row r="49" ht="19.5" customHeight="1" spans="1:36">
      <c r="A49" s="256">
        <v>10</v>
      </c>
      <c r="B49" s="266" t="s">
        <v>535</v>
      </c>
      <c r="C49" s="256"/>
      <c r="D49" s="256"/>
      <c r="E49" s="279">
        <v>0</v>
      </c>
      <c r="F49" s="257">
        <v>0</v>
      </c>
      <c r="G49" s="257">
        <v>0</v>
      </c>
      <c r="H49" s="322">
        <f t="shared" si="14"/>
        <v>0</v>
      </c>
      <c r="I49" s="257">
        <v>0</v>
      </c>
      <c r="J49" s="257">
        <v>0</v>
      </c>
      <c r="K49" s="257">
        <v>0</v>
      </c>
      <c r="L49" s="322">
        <f t="shared" si="15"/>
        <v>0</v>
      </c>
      <c r="M49" s="257">
        <v>0</v>
      </c>
      <c r="N49" s="257">
        <v>0</v>
      </c>
      <c r="O49" s="257">
        <v>0</v>
      </c>
      <c r="P49" s="322">
        <f t="shared" si="16"/>
        <v>0</v>
      </c>
      <c r="Q49" s="257">
        <v>0</v>
      </c>
      <c r="R49" s="257">
        <v>0</v>
      </c>
      <c r="S49" s="257">
        <v>0</v>
      </c>
      <c r="T49" s="322">
        <f t="shared" si="17"/>
        <v>0</v>
      </c>
      <c r="V49" s="29">
        <f t="shared" si="4"/>
        <v>0</v>
      </c>
      <c r="X49"/>
      <c r="Y49"/>
      <c r="Z49"/>
      <c r="AA49"/>
      <c r="AB49"/>
      <c r="AC49"/>
      <c r="AD49"/>
      <c r="AE49" s="13"/>
      <c r="AF49" s="13"/>
      <c r="AG49" s="13"/>
      <c r="AH49"/>
      <c r="AI49"/>
      <c r="AJ49"/>
    </row>
    <row r="50" ht="19.5" customHeight="1" spans="1:36">
      <c r="A50" s="256">
        <v>11</v>
      </c>
      <c r="B50" s="266" t="s">
        <v>536</v>
      </c>
      <c r="C50" s="256"/>
      <c r="D50" s="256"/>
      <c r="E50" s="279">
        <v>0</v>
      </c>
      <c r="F50" s="257">
        <v>0</v>
      </c>
      <c r="G50" s="257">
        <v>0</v>
      </c>
      <c r="H50" s="322">
        <f t="shared" si="14"/>
        <v>0</v>
      </c>
      <c r="I50" s="257">
        <v>0</v>
      </c>
      <c r="J50" s="257">
        <v>0</v>
      </c>
      <c r="K50" s="257">
        <v>0</v>
      </c>
      <c r="L50" s="322">
        <f t="shared" si="15"/>
        <v>0</v>
      </c>
      <c r="M50" s="257">
        <v>0</v>
      </c>
      <c r="N50" s="257">
        <v>0</v>
      </c>
      <c r="O50" s="257">
        <v>0</v>
      </c>
      <c r="P50" s="322">
        <f t="shared" si="16"/>
        <v>0</v>
      </c>
      <c r="Q50" s="257">
        <v>0</v>
      </c>
      <c r="R50" s="257">
        <v>0</v>
      </c>
      <c r="S50" s="257">
        <v>0</v>
      </c>
      <c r="T50" s="322">
        <f t="shared" si="17"/>
        <v>0</v>
      </c>
      <c r="V50" s="29">
        <f t="shared" si="4"/>
        <v>0</v>
      </c>
      <c r="X50"/>
      <c r="Y50"/>
      <c r="Z50"/>
      <c r="AA50"/>
      <c r="AB50"/>
      <c r="AC50"/>
      <c r="AD50"/>
      <c r="AE50" s="13"/>
      <c r="AF50" s="13"/>
      <c r="AG50" s="13"/>
      <c r="AH50"/>
      <c r="AI50"/>
      <c r="AJ50"/>
    </row>
    <row r="51" ht="19.5" customHeight="1" spans="1:36">
      <c r="A51" s="256">
        <v>12</v>
      </c>
      <c r="B51" s="266" t="s">
        <v>537</v>
      </c>
      <c r="C51" s="256"/>
      <c r="D51" s="256"/>
      <c r="E51" s="279">
        <v>0</v>
      </c>
      <c r="F51" s="257">
        <v>0</v>
      </c>
      <c r="G51" s="257">
        <v>0</v>
      </c>
      <c r="H51" s="322">
        <f t="shared" si="14"/>
        <v>0</v>
      </c>
      <c r="I51" s="257">
        <v>0</v>
      </c>
      <c r="J51" s="257">
        <v>0</v>
      </c>
      <c r="K51" s="257">
        <v>0</v>
      </c>
      <c r="L51" s="322">
        <f t="shared" si="15"/>
        <v>0</v>
      </c>
      <c r="M51" s="257">
        <v>0</v>
      </c>
      <c r="N51" s="257">
        <v>0</v>
      </c>
      <c r="O51" s="257">
        <v>0</v>
      </c>
      <c r="P51" s="322">
        <f t="shared" si="16"/>
        <v>0</v>
      </c>
      <c r="Q51" s="257">
        <v>0</v>
      </c>
      <c r="R51" s="257">
        <v>0</v>
      </c>
      <c r="S51" s="257">
        <v>0</v>
      </c>
      <c r="T51" s="322">
        <f t="shared" si="17"/>
        <v>0</v>
      </c>
      <c r="V51" s="29">
        <f t="shared" si="4"/>
        <v>0</v>
      </c>
      <c r="X51"/>
      <c r="Y51"/>
      <c r="Z51"/>
      <c r="AA51"/>
      <c r="AB51"/>
      <c r="AC51"/>
      <c r="AD51"/>
      <c r="AE51" s="13"/>
      <c r="AF51" s="13"/>
      <c r="AG51" s="13"/>
      <c r="AH51"/>
      <c r="AI51"/>
      <c r="AJ51"/>
    </row>
    <row r="52" ht="19.5" customHeight="1" spans="1:36">
      <c r="A52" s="256">
        <v>13</v>
      </c>
      <c r="B52" s="266" t="s">
        <v>538</v>
      </c>
      <c r="C52" s="256"/>
      <c r="D52" s="256"/>
      <c r="E52" s="279">
        <v>0</v>
      </c>
      <c r="F52" s="257">
        <v>0</v>
      </c>
      <c r="G52" s="257">
        <v>0</v>
      </c>
      <c r="H52" s="322">
        <f t="shared" si="14"/>
        <v>0</v>
      </c>
      <c r="I52" s="257">
        <v>0</v>
      </c>
      <c r="J52" s="257">
        <v>0</v>
      </c>
      <c r="K52" s="257">
        <v>0</v>
      </c>
      <c r="L52" s="322">
        <f t="shared" si="15"/>
        <v>0</v>
      </c>
      <c r="M52" s="257">
        <v>0</v>
      </c>
      <c r="N52" s="257">
        <v>0</v>
      </c>
      <c r="O52" s="257">
        <v>0</v>
      </c>
      <c r="P52" s="322">
        <f t="shared" si="16"/>
        <v>0</v>
      </c>
      <c r="Q52" s="257">
        <v>0</v>
      </c>
      <c r="R52" s="257">
        <v>0</v>
      </c>
      <c r="S52" s="257">
        <v>0</v>
      </c>
      <c r="T52" s="322">
        <f t="shared" si="17"/>
        <v>0</v>
      </c>
      <c r="V52" s="29">
        <f t="shared" si="4"/>
        <v>0</v>
      </c>
      <c r="X52"/>
      <c r="Y52"/>
      <c r="Z52"/>
      <c r="AA52"/>
      <c r="AB52"/>
      <c r="AC52"/>
      <c r="AD52"/>
      <c r="AE52" s="13"/>
      <c r="AF52" s="13"/>
      <c r="AG52" s="13"/>
      <c r="AH52"/>
      <c r="AI52"/>
      <c r="AJ52"/>
    </row>
    <row r="53" ht="19.5" customHeight="1" spans="1:36">
      <c r="A53" s="256">
        <v>15</v>
      </c>
      <c r="B53" s="266" t="s">
        <v>539</v>
      </c>
      <c r="C53" s="256"/>
      <c r="D53" s="256"/>
      <c r="E53" s="279">
        <v>0</v>
      </c>
      <c r="F53" s="257">
        <v>0</v>
      </c>
      <c r="G53" s="257">
        <v>0</v>
      </c>
      <c r="H53" s="322">
        <f t="shared" si="14"/>
        <v>0</v>
      </c>
      <c r="I53" s="257">
        <v>0</v>
      </c>
      <c r="J53" s="257">
        <v>0</v>
      </c>
      <c r="K53" s="257">
        <v>0</v>
      </c>
      <c r="L53" s="322">
        <f t="shared" si="15"/>
        <v>0</v>
      </c>
      <c r="M53" s="257">
        <v>0</v>
      </c>
      <c r="N53" s="257">
        <v>0</v>
      </c>
      <c r="O53" s="257">
        <v>0</v>
      </c>
      <c r="P53" s="322">
        <f t="shared" si="16"/>
        <v>0</v>
      </c>
      <c r="Q53" s="257">
        <v>0</v>
      </c>
      <c r="R53" s="257">
        <v>0</v>
      </c>
      <c r="S53" s="257">
        <v>0</v>
      </c>
      <c r="T53" s="322">
        <f t="shared" si="17"/>
        <v>0</v>
      </c>
      <c r="V53" s="29">
        <f t="shared" si="4"/>
        <v>0</v>
      </c>
      <c r="X53"/>
      <c r="Y53"/>
      <c r="Z53"/>
      <c r="AA53"/>
      <c r="AB53"/>
      <c r="AC53"/>
      <c r="AD53"/>
      <c r="AE53" s="13"/>
      <c r="AF53" s="13"/>
      <c r="AG53" s="13"/>
      <c r="AH53"/>
      <c r="AI53"/>
      <c r="AJ53"/>
    </row>
    <row r="54" ht="19.5" customHeight="1" spans="1:36">
      <c r="A54" s="256"/>
      <c r="B54" s="326" t="s">
        <v>11</v>
      </c>
      <c r="C54" s="289"/>
      <c r="D54" s="289"/>
      <c r="E54" s="276">
        <f t="shared" ref="E54:T54" si="18">SUM(E40:E53)</f>
        <v>260900</v>
      </c>
      <c r="F54" s="276">
        <f t="shared" si="18"/>
        <v>506338</v>
      </c>
      <c r="G54" s="276">
        <f t="shared" si="18"/>
        <v>535009</v>
      </c>
      <c r="H54" s="324">
        <f t="shared" si="18"/>
        <v>1302247</v>
      </c>
      <c r="I54" s="276">
        <f t="shared" si="18"/>
        <v>356279</v>
      </c>
      <c r="J54" s="276">
        <f t="shared" si="18"/>
        <v>349955</v>
      </c>
      <c r="K54" s="276">
        <f t="shared" si="18"/>
        <v>375857</v>
      </c>
      <c r="L54" s="324">
        <f t="shared" si="18"/>
        <v>1082091</v>
      </c>
      <c r="M54" s="276">
        <f t="shared" si="18"/>
        <v>331004</v>
      </c>
      <c r="N54" s="276">
        <f t="shared" si="18"/>
        <v>338349</v>
      </c>
      <c r="O54" s="276">
        <f t="shared" si="18"/>
        <v>313555.5</v>
      </c>
      <c r="P54" s="324">
        <f t="shared" si="18"/>
        <v>982908.5</v>
      </c>
      <c r="Q54" s="276">
        <f t="shared" si="18"/>
        <v>282505</v>
      </c>
      <c r="R54" s="276">
        <f t="shared" si="18"/>
        <v>522899</v>
      </c>
      <c r="S54" s="276">
        <f t="shared" si="18"/>
        <v>501474</v>
      </c>
      <c r="T54" s="324">
        <f t="shared" si="18"/>
        <v>1306878</v>
      </c>
      <c r="V54" s="292">
        <f t="shared" si="4"/>
        <v>4674124.5</v>
      </c>
      <c r="X54"/>
      <c r="Y54"/>
      <c r="Z54"/>
      <c r="AA54"/>
      <c r="AB54"/>
      <c r="AC54"/>
      <c r="AD54"/>
      <c r="AE54" s="13"/>
      <c r="AF54" s="13"/>
      <c r="AG54" s="13"/>
      <c r="AH54"/>
      <c r="AI54"/>
      <c r="AJ54"/>
    </row>
    <row r="55" ht="19.5" customHeight="1" spans="1:36">
      <c r="A55" s="251" t="s">
        <v>540</v>
      </c>
      <c r="B55" s="140"/>
      <c r="C55" s="251"/>
      <c r="D55" s="251"/>
      <c r="E55" s="288"/>
      <c r="F55" s="265"/>
      <c r="G55" s="265"/>
      <c r="H55" s="325"/>
      <c r="I55" s="265"/>
      <c r="J55" s="265"/>
      <c r="K55" s="265"/>
      <c r="L55" s="325"/>
      <c r="M55" s="265"/>
      <c r="N55" s="265"/>
      <c r="O55" s="265"/>
      <c r="P55" s="325"/>
      <c r="Q55" s="265"/>
      <c r="R55" s="265"/>
      <c r="S55" s="265"/>
      <c r="T55" s="325"/>
      <c r="V55" s="29">
        <f t="shared" si="4"/>
        <v>0</v>
      </c>
      <c r="X55"/>
      <c r="Y55"/>
      <c r="Z55"/>
      <c r="AA55"/>
      <c r="AB55"/>
      <c r="AC55"/>
      <c r="AD55"/>
      <c r="AE55" s="13"/>
      <c r="AF55" s="13"/>
      <c r="AG55" s="13"/>
      <c r="AH55"/>
      <c r="AI55"/>
      <c r="AJ55"/>
    </row>
    <row r="56" ht="19.5" customHeight="1" spans="1:36">
      <c r="A56" s="256">
        <v>1</v>
      </c>
      <c r="B56" s="266" t="s">
        <v>541</v>
      </c>
      <c r="C56" s="256" t="s">
        <v>541</v>
      </c>
      <c r="D56" s="256" t="s">
        <v>318</v>
      </c>
      <c r="E56" s="279">
        <v>0</v>
      </c>
      <c r="F56" s="257">
        <v>0</v>
      </c>
      <c r="G56" s="257">
        <v>0</v>
      </c>
      <c r="H56" s="322">
        <f t="shared" ref="H56:H63" si="19">SUM(E56:G56)</f>
        <v>0</v>
      </c>
      <c r="I56" s="257">
        <v>0</v>
      </c>
      <c r="J56" s="257">
        <v>0</v>
      </c>
      <c r="K56" s="257">
        <f>VLOOKUP(B:B,[3]杭州!$B$2:$AG$57,32,0)</f>
        <v>178700</v>
      </c>
      <c r="L56" s="322">
        <f t="shared" ref="L56:L63" si="20">SUM(I56:K56)</f>
        <v>178700</v>
      </c>
      <c r="M56" s="257">
        <v>0</v>
      </c>
      <c r="N56" s="257">
        <v>0</v>
      </c>
      <c r="O56" s="291">
        <v>0</v>
      </c>
      <c r="P56" s="322">
        <f t="shared" ref="P56:P63" si="21">SUM(M56:O56)</f>
        <v>0</v>
      </c>
      <c r="Q56" s="257">
        <v>0</v>
      </c>
      <c r="R56" s="257">
        <v>0</v>
      </c>
      <c r="S56" s="257">
        <v>375496</v>
      </c>
      <c r="T56" s="322">
        <f t="shared" ref="T56:T63" si="22">SUM(Q56:S56)</f>
        <v>375496</v>
      </c>
      <c r="V56" s="29">
        <f t="shared" si="4"/>
        <v>554196</v>
      </c>
      <c r="X56"/>
      <c r="Y56"/>
      <c r="Z56"/>
      <c r="AA56"/>
      <c r="AB56"/>
      <c r="AC56"/>
      <c r="AD56"/>
      <c r="AE56" s="13"/>
      <c r="AF56" s="13"/>
      <c r="AG56" s="13"/>
      <c r="AH56"/>
      <c r="AI56"/>
      <c r="AJ56"/>
    </row>
    <row r="57" ht="19.5" customHeight="1" spans="2:36">
      <c r="B57" s="323" t="s">
        <v>11</v>
      </c>
      <c r="C57" s="287"/>
      <c r="D57" s="287"/>
      <c r="E57" s="276">
        <f t="shared" ref="E57:T57" si="23">SUM(E56)</f>
        <v>0</v>
      </c>
      <c r="F57" s="276">
        <f t="shared" si="23"/>
        <v>0</v>
      </c>
      <c r="G57" s="276">
        <f t="shared" si="23"/>
        <v>0</v>
      </c>
      <c r="H57" s="324">
        <f t="shared" si="23"/>
        <v>0</v>
      </c>
      <c r="I57" s="276">
        <f t="shared" si="23"/>
        <v>0</v>
      </c>
      <c r="J57" s="276">
        <f t="shared" si="23"/>
        <v>0</v>
      </c>
      <c r="K57" s="276">
        <f t="shared" si="23"/>
        <v>178700</v>
      </c>
      <c r="L57" s="324">
        <f t="shared" si="23"/>
        <v>178700</v>
      </c>
      <c r="M57" s="276">
        <f t="shared" si="23"/>
        <v>0</v>
      </c>
      <c r="N57" s="276">
        <f t="shared" si="23"/>
        <v>0</v>
      </c>
      <c r="O57" s="276">
        <f t="shared" si="23"/>
        <v>0</v>
      </c>
      <c r="P57" s="324">
        <f t="shared" si="23"/>
        <v>0</v>
      </c>
      <c r="Q57" s="276">
        <f t="shared" si="23"/>
        <v>0</v>
      </c>
      <c r="R57" s="276">
        <f t="shared" si="23"/>
        <v>0</v>
      </c>
      <c r="S57" s="276">
        <f t="shared" si="23"/>
        <v>375496</v>
      </c>
      <c r="T57" s="324">
        <f t="shared" si="23"/>
        <v>375496</v>
      </c>
      <c r="V57" s="292">
        <f t="shared" si="4"/>
        <v>554196</v>
      </c>
      <c r="X57"/>
      <c r="Y57"/>
      <c r="Z57"/>
      <c r="AA57"/>
      <c r="AB57"/>
      <c r="AC57"/>
      <c r="AD57"/>
      <c r="AE57" s="13"/>
      <c r="AF57" s="13"/>
      <c r="AG57" s="13"/>
      <c r="AH57"/>
      <c r="AI57"/>
      <c r="AJ57"/>
    </row>
    <row r="58" ht="19.5" customHeight="1" spans="1:36">
      <c r="A58" s="251" t="s">
        <v>542</v>
      </c>
      <c r="B58" s="140"/>
      <c r="C58" s="251"/>
      <c r="D58" s="251"/>
      <c r="E58" s="288"/>
      <c r="F58" s="265"/>
      <c r="G58" s="265"/>
      <c r="H58" s="328"/>
      <c r="I58" s="288"/>
      <c r="J58" s="288"/>
      <c r="K58" s="288"/>
      <c r="L58" s="328"/>
      <c r="M58" s="288"/>
      <c r="N58" s="288"/>
      <c r="O58" s="257"/>
      <c r="P58" s="328"/>
      <c r="Q58" s="288"/>
      <c r="R58" s="288"/>
      <c r="S58" s="288"/>
      <c r="T58" s="328"/>
      <c r="V58" s="29">
        <f t="shared" si="4"/>
        <v>0</v>
      </c>
      <c r="X58"/>
      <c r="Y58"/>
      <c r="Z58"/>
      <c r="AA58"/>
      <c r="AB58"/>
      <c r="AC58"/>
      <c r="AD58"/>
      <c r="AE58" s="13"/>
      <c r="AF58" s="13"/>
      <c r="AG58" s="13"/>
      <c r="AH58"/>
      <c r="AI58"/>
      <c r="AJ58"/>
    </row>
    <row r="59" s="315" customFormat="1" ht="19.5" customHeight="1" spans="1:36">
      <c r="A59" s="319">
        <v>1</v>
      </c>
      <c r="B59" s="319" t="s">
        <v>271</v>
      </c>
      <c r="C59" s="319" t="s">
        <v>271</v>
      </c>
      <c r="D59" s="319" t="s">
        <v>318</v>
      </c>
      <c r="E59" s="320">
        <v>185197.48</v>
      </c>
      <c r="F59" s="320">
        <v>198062.94</v>
      </c>
      <c r="G59" s="320">
        <v>550590.57</v>
      </c>
      <c r="H59" s="321">
        <f t="shared" si="19"/>
        <v>933850.99</v>
      </c>
      <c r="I59" s="320">
        <v>274478.54</v>
      </c>
      <c r="J59" s="320">
        <v>881876.29</v>
      </c>
      <c r="K59" s="320">
        <v>224190.67</v>
      </c>
      <c r="L59" s="321">
        <f t="shared" si="20"/>
        <v>1380545.5</v>
      </c>
      <c r="M59" s="320">
        <v>15376.83</v>
      </c>
      <c r="N59" s="320">
        <v>85501.02</v>
      </c>
      <c r="O59" s="320">
        <v>114834.16</v>
      </c>
      <c r="P59" s="321">
        <f t="shared" si="21"/>
        <v>215712.01</v>
      </c>
      <c r="Q59" s="320">
        <v>558302.07</v>
      </c>
      <c r="R59" s="320">
        <v>170963.09</v>
      </c>
      <c r="S59" s="320">
        <v>710496.38</v>
      </c>
      <c r="T59" s="321">
        <f t="shared" si="22"/>
        <v>1439761.54</v>
      </c>
      <c r="V59" s="329">
        <f t="shared" si="4"/>
        <v>3969870.04</v>
      </c>
      <c r="X59" s="330"/>
      <c r="Y59" s="330"/>
      <c r="Z59" s="330"/>
      <c r="AA59" s="330"/>
      <c r="AB59" s="330"/>
      <c r="AC59" s="330"/>
      <c r="AD59" s="330"/>
      <c r="AE59" s="334"/>
      <c r="AF59" s="334"/>
      <c r="AG59" s="334"/>
      <c r="AH59" s="330"/>
      <c r="AI59" s="330"/>
      <c r="AJ59" s="330"/>
    </row>
    <row r="60" s="31" customFormat="1" ht="19.5" customHeight="1" spans="1:36">
      <c r="A60" s="260">
        <v>2</v>
      </c>
      <c r="B60" s="290" t="s">
        <v>386</v>
      </c>
      <c r="C60" s="256"/>
      <c r="D60" s="256"/>
      <c r="E60" s="279">
        <v>0</v>
      </c>
      <c r="F60" s="257">
        <v>0</v>
      </c>
      <c r="G60" s="257">
        <v>0</v>
      </c>
      <c r="H60" s="322">
        <f t="shared" si="19"/>
        <v>0</v>
      </c>
      <c r="I60" s="257">
        <v>0</v>
      </c>
      <c r="J60" s="257">
        <v>0</v>
      </c>
      <c r="K60" s="257">
        <v>0</v>
      </c>
      <c r="L60" s="322">
        <f t="shared" si="20"/>
        <v>0</v>
      </c>
      <c r="M60" s="257">
        <v>0</v>
      </c>
      <c r="N60" s="257">
        <v>0</v>
      </c>
      <c r="O60" s="257">
        <v>0</v>
      </c>
      <c r="P60" s="322">
        <f t="shared" si="21"/>
        <v>0</v>
      </c>
      <c r="Q60" s="257">
        <v>0</v>
      </c>
      <c r="R60" s="257">
        <v>0</v>
      </c>
      <c r="S60" s="257">
        <v>0</v>
      </c>
      <c r="T60" s="322">
        <f t="shared" si="22"/>
        <v>0</v>
      </c>
      <c r="V60" s="281">
        <f t="shared" si="4"/>
        <v>0</v>
      </c>
      <c r="X60"/>
      <c r="Y60"/>
      <c r="Z60"/>
      <c r="AA60"/>
      <c r="AB60"/>
      <c r="AC60"/>
      <c r="AD60"/>
      <c r="AE60" s="13"/>
      <c r="AF60" s="13"/>
      <c r="AG60" s="13"/>
      <c r="AH60"/>
      <c r="AI60"/>
      <c r="AJ60"/>
    </row>
    <row r="61" s="315" customFormat="1" ht="19.5" customHeight="1" spans="1:36">
      <c r="A61" s="319">
        <v>3</v>
      </c>
      <c r="B61" s="319" t="s">
        <v>315</v>
      </c>
      <c r="C61" s="319" t="s">
        <v>305</v>
      </c>
      <c r="D61" s="319" t="s">
        <v>306</v>
      </c>
      <c r="E61" s="320">
        <v>0</v>
      </c>
      <c r="F61" s="320">
        <v>10000</v>
      </c>
      <c r="G61" s="320">
        <v>0</v>
      </c>
      <c r="H61" s="321">
        <f t="shared" si="19"/>
        <v>10000</v>
      </c>
      <c r="I61" s="320">
        <v>1258</v>
      </c>
      <c r="J61" s="320">
        <v>5820</v>
      </c>
      <c r="K61" s="320">
        <v>0</v>
      </c>
      <c r="L61" s="321">
        <f t="shared" si="20"/>
        <v>7078</v>
      </c>
      <c r="M61" s="320">
        <v>5000</v>
      </c>
      <c r="N61" s="320">
        <v>3000</v>
      </c>
      <c r="O61" s="320">
        <v>2045</v>
      </c>
      <c r="P61" s="321">
        <f t="shared" si="21"/>
        <v>10045</v>
      </c>
      <c r="Q61" s="320">
        <v>6410</v>
      </c>
      <c r="R61" s="320">
        <v>16157</v>
      </c>
      <c r="S61" s="320">
        <v>13268</v>
      </c>
      <c r="T61" s="321">
        <f t="shared" si="22"/>
        <v>35835</v>
      </c>
      <c r="V61" s="329">
        <f t="shared" si="4"/>
        <v>62958</v>
      </c>
      <c r="X61" s="330"/>
      <c r="Y61" s="330"/>
      <c r="Z61" s="330"/>
      <c r="AA61" s="330"/>
      <c r="AB61" s="330"/>
      <c r="AC61" s="330"/>
      <c r="AD61" s="330"/>
      <c r="AE61" s="334"/>
      <c r="AF61" s="334"/>
      <c r="AG61" s="334"/>
      <c r="AH61" s="330"/>
      <c r="AI61" s="330"/>
      <c r="AJ61" s="330"/>
    </row>
    <row r="62" ht="19.5" customHeight="1" spans="1:36">
      <c r="A62" s="260">
        <v>4</v>
      </c>
      <c r="B62" s="266" t="s">
        <v>543</v>
      </c>
      <c r="C62" s="256"/>
      <c r="D62" s="256"/>
      <c r="E62" s="279">
        <v>0</v>
      </c>
      <c r="F62" s="257">
        <v>0</v>
      </c>
      <c r="G62" s="257">
        <v>0</v>
      </c>
      <c r="H62" s="322">
        <f t="shared" si="19"/>
        <v>0</v>
      </c>
      <c r="I62" s="257">
        <v>0</v>
      </c>
      <c r="J62" s="257">
        <v>0</v>
      </c>
      <c r="K62" s="257">
        <v>0</v>
      </c>
      <c r="L62" s="322">
        <f t="shared" si="20"/>
        <v>0</v>
      </c>
      <c r="M62" s="257">
        <v>0</v>
      </c>
      <c r="N62" s="257">
        <v>0</v>
      </c>
      <c r="O62" s="257">
        <v>0</v>
      </c>
      <c r="P62" s="322">
        <f t="shared" si="21"/>
        <v>0</v>
      </c>
      <c r="Q62" s="257">
        <v>0</v>
      </c>
      <c r="R62" s="257">
        <v>0</v>
      </c>
      <c r="S62" s="257">
        <v>0</v>
      </c>
      <c r="T62" s="322">
        <f t="shared" si="22"/>
        <v>0</v>
      </c>
      <c r="V62" s="29">
        <f t="shared" si="4"/>
        <v>0</v>
      </c>
      <c r="X62"/>
      <c r="Y62"/>
      <c r="Z62"/>
      <c r="AA62"/>
      <c r="AB62"/>
      <c r="AC62"/>
      <c r="AD62"/>
      <c r="AE62" s="13"/>
      <c r="AF62" s="13"/>
      <c r="AG62" s="13"/>
      <c r="AH62"/>
      <c r="AI62"/>
      <c r="AJ62"/>
    </row>
    <row r="63" s="315" customFormat="1" ht="19.5" customHeight="1" spans="1:36">
      <c r="A63" s="319">
        <v>5</v>
      </c>
      <c r="B63" s="319" t="s">
        <v>316</v>
      </c>
      <c r="C63" s="319"/>
      <c r="D63" s="319"/>
      <c r="E63" s="320"/>
      <c r="F63" s="320"/>
      <c r="G63" s="320"/>
      <c r="H63" s="321">
        <f t="shared" si="19"/>
        <v>0</v>
      </c>
      <c r="I63" s="320"/>
      <c r="J63" s="320"/>
      <c r="K63" s="320"/>
      <c r="L63" s="321">
        <f t="shared" si="20"/>
        <v>0</v>
      </c>
      <c r="M63" s="320"/>
      <c r="N63" s="320"/>
      <c r="O63" s="320">
        <v>10000</v>
      </c>
      <c r="P63" s="321">
        <f t="shared" si="21"/>
        <v>10000</v>
      </c>
      <c r="Q63" s="320">
        <v>30000</v>
      </c>
      <c r="R63" s="320">
        <v>20000</v>
      </c>
      <c r="S63" s="320">
        <v>20000</v>
      </c>
      <c r="T63" s="321">
        <f t="shared" si="22"/>
        <v>70000</v>
      </c>
      <c r="V63" s="329">
        <f t="shared" si="4"/>
        <v>80000</v>
      </c>
      <c r="X63" s="330"/>
      <c r="Y63" s="330"/>
      <c r="Z63" s="330"/>
      <c r="AA63" s="330"/>
      <c r="AB63" s="330"/>
      <c r="AC63" s="330"/>
      <c r="AD63" s="330"/>
      <c r="AE63" s="334"/>
      <c r="AF63" s="334"/>
      <c r="AG63" s="334"/>
      <c r="AH63" s="330"/>
      <c r="AI63" s="330"/>
      <c r="AJ63" s="330"/>
    </row>
    <row r="64" ht="19.5" customHeight="1" spans="1:36">
      <c r="A64" s="256"/>
      <c r="B64" s="326" t="s">
        <v>11</v>
      </c>
      <c r="C64" s="289"/>
      <c r="D64" s="289"/>
      <c r="E64" s="276">
        <f t="shared" ref="E64:T64" si="24">SUM(E59:E63)</f>
        <v>185197.48</v>
      </c>
      <c r="F64" s="276">
        <f t="shared" si="24"/>
        <v>208062.94</v>
      </c>
      <c r="G64" s="276">
        <f t="shared" si="24"/>
        <v>550590.57</v>
      </c>
      <c r="H64" s="324">
        <f t="shared" si="24"/>
        <v>943850.99</v>
      </c>
      <c r="I64" s="276">
        <f t="shared" si="24"/>
        <v>275736.54</v>
      </c>
      <c r="J64" s="276">
        <f t="shared" si="24"/>
        <v>887696.29</v>
      </c>
      <c r="K64" s="276">
        <f t="shared" si="24"/>
        <v>224190.67</v>
      </c>
      <c r="L64" s="324">
        <f t="shared" si="24"/>
        <v>1387623.5</v>
      </c>
      <c r="M64" s="276">
        <f t="shared" si="24"/>
        <v>20376.83</v>
      </c>
      <c r="N64" s="276">
        <f t="shared" si="24"/>
        <v>88501.02</v>
      </c>
      <c r="O64" s="276">
        <f t="shared" si="24"/>
        <v>126879.16</v>
      </c>
      <c r="P64" s="324">
        <f t="shared" si="24"/>
        <v>235757.01</v>
      </c>
      <c r="Q64" s="276">
        <f t="shared" si="24"/>
        <v>594712.07</v>
      </c>
      <c r="R64" s="276">
        <f t="shared" si="24"/>
        <v>207120.09</v>
      </c>
      <c r="S64" s="276">
        <f t="shared" si="24"/>
        <v>743764.38</v>
      </c>
      <c r="T64" s="324">
        <f t="shared" si="24"/>
        <v>1545596.54</v>
      </c>
      <c r="V64" s="292">
        <f t="shared" si="4"/>
        <v>4112828.04</v>
      </c>
      <c r="X64"/>
      <c r="Y64"/>
      <c r="Z64"/>
      <c r="AA64"/>
      <c r="AB64"/>
      <c r="AC64"/>
      <c r="AD64"/>
      <c r="AE64" s="13"/>
      <c r="AF64" s="13"/>
      <c r="AG64" s="13"/>
      <c r="AH64"/>
      <c r="AI64"/>
      <c r="AJ64"/>
    </row>
    <row r="65" ht="19.5" customHeight="1" spans="1:36">
      <c r="A65" s="251"/>
      <c r="B65" s="140"/>
      <c r="C65" s="251"/>
      <c r="D65" s="251"/>
      <c r="E65"/>
      <c r="F65" s="265"/>
      <c r="G65"/>
      <c r="I65" s="265"/>
      <c r="J65" s="265"/>
      <c r="K65" s="265"/>
      <c r="M65" s="265"/>
      <c r="N65" s="265"/>
      <c r="O65" s="265"/>
      <c r="Q65" s="265"/>
      <c r="R65" s="265"/>
      <c r="S65" s="265"/>
      <c r="T65" s="325"/>
      <c r="V65" s="29">
        <f t="shared" si="4"/>
        <v>0</v>
      </c>
      <c r="X65"/>
      <c r="Y65"/>
      <c r="Z65"/>
      <c r="AA65"/>
      <c r="AB65"/>
      <c r="AC65"/>
      <c r="AD65"/>
      <c r="AE65" s="13"/>
      <c r="AF65" s="13"/>
      <c r="AG65" s="13"/>
      <c r="AH65"/>
      <c r="AI65"/>
      <c r="AJ65"/>
    </row>
    <row r="66" s="315" customFormat="1" ht="24" customHeight="1" spans="1:36">
      <c r="A66" s="335">
        <v>1</v>
      </c>
      <c r="B66" s="336" t="s">
        <v>373</v>
      </c>
      <c r="C66" s="319" t="s">
        <v>374</v>
      </c>
      <c r="D66" s="319" t="s">
        <v>318</v>
      </c>
      <c r="E66" s="320">
        <v>82929</v>
      </c>
      <c r="F66" s="320">
        <v>229584</v>
      </c>
      <c r="G66" s="320">
        <v>145499</v>
      </c>
      <c r="H66" s="321">
        <f t="shared" ref="H66:H77" si="25">SUM(E66:G66)</f>
        <v>458012</v>
      </c>
      <c r="I66" s="320">
        <v>47622.6</v>
      </c>
      <c r="J66" s="320">
        <v>91445.4</v>
      </c>
      <c r="K66" s="320">
        <v>165502.8</v>
      </c>
      <c r="L66" s="321">
        <f t="shared" ref="L66:L77" si="26">SUM(I66:K66)</f>
        <v>304570.8</v>
      </c>
      <c r="M66" s="320">
        <v>189717.66</v>
      </c>
      <c r="N66" s="320">
        <v>102214.28</v>
      </c>
      <c r="O66" s="320">
        <v>170352.72</v>
      </c>
      <c r="P66" s="321">
        <f t="shared" ref="P66:P77" si="27">SUM(M66:O66)</f>
        <v>462284.66</v>
      </c>
      <c r="Q66" s="320">
        <f>262688.3-73830</f>
        <v>188858.3</v>
      </c>
      <c r="R66" s="320">
        <f>334440.32-48155</f>
        <v>286285.32</v>
      </c>
      <c r="S66" s="320">
        <f>175216.1-56884</f>
        <v>118332.1</v>
      </c>
      <c r="T66" s="321">
        <f t="shared" ref="T66:T77" si="28">SUM(Q66:S66)</f>
        <v>593475.72</v>
      </c>
      <c r="V66" s="329">
        <f t="shared" si="4"/>
        <v>1818343.18</v>
      </c>
      <c r="X66" s="330"/>
      <c r="Y66" s="330"/>
      <c r="Z66" s="330"/>
      <c r="AA66" s="330"/>
      <c r="AB66" s="330"/>
      <c r="AC66" s="330"/>
      <c r="AD66" s="330"/>
      <c r="AE66" s="334"/>
      <c r="AF66" s="334"/>
      <c r="AG66" s="334"/>
      <c r="AH66" s="330"/>
      <c r="AI66" s="330"/>
      <c r="AJ66" s="330"/>
    </row>
    <row r="67" s="315" customFormat="1" ht="24" customHeight="1" spans="1:36">
      <c r="A67" s="319">
        <v>2</v>
      </c>
      <c r="B67" s="319" t="s">
        <v>375</v>
      </c>
      <c r="C67" s="319" t="s">
        <v>310</v>
      </c>
      <c r="D67" s="319" t="s">
        <v>349</v>
      </c>
      <c r="E67" s="320">
        <v>0</v>
      </c>
      <c r="F67" s="320">
        <v>9395</v>
      </c>
      <c r="G67" s="320">
        <v>1580</v>
      </c>
      <c r="H67" s="321">
        <f t="shared" si="25"/>
        <v>10975</v>
      </c>
      <c r="I67" s="320">
        <v>11195</v>
      </c>
      <c r="J67" s="320">
        <v>0</v>
      </c>
      <c r="K67" s="320">
        <v>15533</v>
      </c>
      <c r="L67" s="321">
        <f t="shared" si="26"/>
        <v>26728</v>
      </c>
      <c r="M67" s="320">
        <v>730</v>
      </c>
      <c r="N67" s="320">
        <v>0</v>
      </c>
      <c r="O67" s="320">
        <v>0</v>
      </c>
      <c r="P67" s="321">
        <f t="shared" si="27"/>
        <v>730</v>
      </c>
      <c r="Q67" s="320">
        <v>11195</v>
      </c>
      <c r="R67" s="320">
        <v>790</v>
      </c>
      <c r="S67" s="320">
        <v>15395.36</v>
      </c>
      <c r="T67" s="321">
        <f t="shared" si="28"/>
        <v>27380.36</v>
      </c>
      <c r="V67" s="348">
        <f t="shared" si="4"/>
        <v>65813.36</v>
      </c>
      <c r="X67" s="330"/>
      <c r="Y67" s="330"/>
      <c r="Z67" s="330"/>
      <c r="AA67" s="330"/>
      <c r="AB67" s="330"/>
      <c r="AC67" s="330"/>
      <c r="AD67" s="330"/>
      <c r="AE67" s="334"/>
      <c r="AF67" s="334"/>
      <c r="AG67" s="334"/>
      <c r="AH67" s="330"/>
      <c r="AI67" s="330"/>
      <c r="AJ67" s="330"/>
    </row>
    <row r="68" s="315" customFormat="1" ht="24" customHeight="1" spans="1:36">
      <c r="A68" s="335">
        <v>3</v>
      </c>
      <c r="B68" s="319" t="s">
        <v>376</v>
      </c>
      <c r="C68" s="319" t="s">
        <v>305</v>
      </c>
      <c r="D68" s="319" t="s">
        <v>314</v>
      </c>
      <c r="E68" s="320">
        <v>0</v>
      </c>
      <c r="F68" s="320">
        <v>8351</v>
      </c>
      <c r="G68" s="320">
        <v>0</v>
      </c>
      <c r="H68" s="321">
        <f t="shared" si="25"/>
        <v>8351</v>
      </c>
      <c r="I68" s="320">
        <v>0</v>
      </c>
      <c r="J68" s="320">
        <v>0</v>
      </c>
      <c r="K68" s="320">
        <v>0</v>
      </c>
      <c r="L68" s="321">
        <f t="shared" si="26"/>
        <v>0</v>
      </c>
      <c r="M68" s="320">
        <v>0</v>
      </c>
      <c r="N68" s="320">
        <v>0</v>
      </c>
      <c r="O68" s="320">
        <v>0</v>
      </c>
      <c r="P68" s="321">
        <f t="shared" si="27"/>
        <v>0</v>
      </c>
      <c r="Q68" s="320">
        <v>0</v>
      </c>
      <c r="R68" s="320">
        <v>0</v>
      </c>
      <c r="S68" s="320">
        <v>0</v>
      </c>
      <c r="T68" s="321">
        <f t="shared" si="28"/>
        <v>0</v>
      </c>
      <c r="V68" s="329">
        <f t="shared" ref="V68:V105" si="29">S68+R68+Q68+O68+N68+M68+K68+J68+I68+G68+F68+E68</f>
        <v>8351</v>
      </c>
      <c r="X68" s="330"/>
      <c r="Y68" s="330"/>
      <c r="Z68" s="330"/>
      <c r="AA68" s="330"/>
      <c r="AB68" s="330"/>
      <c r="AC68" s="330"/>
      <c r="AD68" s="330"/>
      <c r="AE68" s="334"/>
      <c r="AF68" s="334"/>
      <c r="AG68" s="334"/>
      <c r="AH68" s="330"/>
      <c r="AI68" s="330"/>
      <c r="AJ68" s="330"/>
    </row>
    <row r="69" ht="24" customHeight="1" spans="1:36">
      <c r="A69" s="256">
        <v>4</v>
      </c>
      <c r="B69" s="266" t="s">
        <v>377</v>
      </c>
      <c r="C69" s="256" t="s">
        <v>305</v>
      </c>
      <c r="D69" s="256" t="s">
        <v>306</v>
      </c>
      <c r="E69" s="279">
        <v>0</v>
      </c>
      <c r="F69" s="257">
        <v>0</v>
      </c>
      <c r="G69" s="257">
        <v>0</v>
      </c>
      <c r="H69" s="322">
        <f t="shared" si="25"/>
        <v>0</v>
      </c>
      <c r="I69" s="257">
        <v>0</v>
      </c>
      <c r="J69" s="257">
        <v>0</v>
      </c>
      <c r="K69" s="257">
        <v>0</v>
      </c>
      <c r="L69" s="322">
        <f t="shared" si="26"/>
        <v>0</v>
      </c>
      <c r="M69" s="257">
        <v>0</v>
      </c>
      <c r="N69" s="257">
        <v>0</v>
      </c>
      <c r="O69" s="291">
        <v>0</v>
      </c>
      <c r="P69" s="322">
        <f t="shared" si="27"/>
        <v>0</v>
      </c>
      <c r="Q69" s="257">
        <v>0</v>
      </c>
      <c r="R69" s="257">
        <v>0</v>
      </c>
      <c r="S69" s="257">
        <v>0</v>
      </c>
      <c r="T69" s="322">
        <f t="shared" si="28"/>
        <v>0</v>
      </c>
      <c r="V69" s="309">
        <f t="shared" si="29"/>
        <v>0</v>
      </c>
      <c r="X69"/>
      <c r="Y69"/>
      <c r="Z69"/>
      <c r="AA69"/>
      <c r="AB69"/>
      <c r="AC69"/>
      <c r="AD69"/>
      <c r="AE69" s="13"/>
      <c r="AF69" s="13"/>
      <c r="AG69" s="13"/>
      <c r="AH69"/>
      <c r="AI69"/>
      <c r="AJ69"/>
    </row>
    <row r="70" ht="24" customHeight="1" spans="1:36">
      <c r="A70" s="337">
        <v>5</v>
      </c>
      <c r="B70" s="266" t="s">
        <v>378</v>
      </c>
      <c r="C70" s="256"/>
      <c r="D70" s="256"/>
      <c r="E70" s="279">
        <v>0</v>
      </c>
      <c r="F70" s="257">
        <v>0</v>
      </c>
      <c r="G70" s="257">
        <v>0</v>
      </c>
      <c r="H70" s="322">
        <f t="shared" si="25"/>
        <v>0</v>
      </c>
      <c r="I70" s="257">
        <v>0</v>
      </c>
      <c r="J70" s="257">
        <v>0</v>
      </c>
      <c r="K70" s="257">
        <v>0</v>
      </c>
      <c r="L70" s="322">
        <f t="shared" si="26"/>
        <v>0</v>
      </c>
      <c r="M70" s="257">
        <v>0</v>
      </c>
      <c r="N70" s="257">
        <v>0</v>
      </c>
      <c r="O70" s="257">
        <v>0</v>
      </c>
      <c r="P70" s="322">
        <f t="shared" si="27"/>
        <v>0</v>
      </c>
      <c r="Q70" s="257">
        <v>0</v>
      </c>
      <c r="R70" s="257">
        <v>0</v>
      </c>
      <c r="S70" s="257">
        <v>0</v>
      </c>
      <c r="T70" s="322">
        <f t="shared" si="28"/>
        <v>0</v>
      </c>
      <c r="V70" s="29">
        <f t="shared" si="29"/>
        <v>0</v>
      </c>
      <c r="X70"/>
      <c r="Y70"/>
      <c r="Z70"/>
      <c r="AA70"/>
      <c r="AB70"/>
      <c r="AC70"/>
      <c r="AD70"/>
      <c r="AE70" s="13"/>
      <c r="AF70" s="13"/>
      <c r="AG70" s="13"/>
      <c r="AH70"/>
      <c r="AI70"/>
      <c r="AJ70"/>
    </row>
    <row r="71" ht="24" customHeight="1" spans="1:36">
      <c r="A71" s="261">
        <v>6</v>
      </c>
      <c r="B71" s="266" t="s">
        <v>379</v>
      </c>
      <c r="C71" s="256"/>
      <c r="D71" s="256"/>
      <c r="E71" s="279">
        <v>0</v>
      </c>
      <c r="F71" s="257">
        <v>0</v>
      </c>
      <c r="G71" s="257">
        <v>0</v>
      </c>
      <c r="H71" s="322">
        <f t="shared" si="25"/>
        <v>0</v>
      </c>
      <c r="I71" s="257">
        <v>0</v>
      </c>
      <c r="J71" s="257">
        <v>0</v>
      </c>
      <c r="K71" s="257">
        <v>0</v>
      </c>
      <c r="L71" s="322">
        <f t="shared" si="26"/>
        <v>0</v>
      </c>
      <c r="M71" s="257">
        <v>0</v>
      </c>
      <c r="N71" s="257">
        <v>0</v>
      </c>
      <c r="O71" s="257">
        <v>0</v>
      </c>
      <c r="P71" s="322">
        <f t="shared" si="27"/>
        <v>0</v>
      </c>
      <c r="Q71" s="257">
        <v>0</v>
      </c>
      <c r="R71" s="257">
        <v>0</v>
      </c>
      <c r="S71" s="257">
        <v>0</v>
      </c>
      <c r="T71" s="322">
        <f t="shared" si="28"/>
        <v>0</v>
      </c>
      <c r="V71" s="29">
        <f t="shared" si="29"/>
        <v>0</v>
      </c>
      <c r="X71"/>
      <c r="Y71"/>
      <c r="Z71"/>
      <c r="AA71"/>
      <c r="AB71"/>
      <c r="AC71"/>
      <c r="AD71"/>
      <c r="AE71" s="13"/>
      <c r="AF71" s="13"/>
      <c r="AG71" s="13"/>
      <c r="AH71"/>
      <c r="AI71"/>
      <c r="AJ71"/>
    </row>
    <row r="72" ht="24" customHeight="1" spans="1:36">
      <c r="A72" s="253">
        <v>7</v>
      </c>
      <c r="B72" s="266" t="s">
        <v>380</v>
      </c>
      <c r="C72" s="256"/>
      <c r="D72" s="256"/>
      <c r="E72" s="279">
        <v>0</v>
      </c>
      <c r="F72" s="257">
        <v>0</v>
      </c>
      <c r="G72" s="257">
        <v>0</v>
      </c>
      <c r="H72" s="322">
        <f t="shared" si="25"/>
        <v>0</v>
      </c>
      <c r="I72" s="257">
        <v>0</v>
      </c>
      <c r="J72" s="257">
        <v>0</v>
      </c>
      <c r="K72" s="257">
        <v>0</v>
      </c>
      <c r="L72" s="322">
        <f t="shared" si="26"/>
        <v>0</v>
      </c>
      <c r="M72" s="257">
        <v>0</v>
      </c>
      <c r="N72" s="257">
        <v>0</v>
      </c>
      <c r="O72" s="257">
        <v>0</v>
      </c>
      <c r="P72" s="322">
        <f t="shared" si="27"/>
        <v>0</v>
      </c>
      <c r="Q72" s="257">
        <v>0</v>
      </c>
      <c r="R72" s="257">
        <v>0</v>
      </c>
      <c r="S72" s="257">
        <v>0</v>
      </c>
      <c r="T72" s="322">
        <f t="shared" si="28"/>
        <v>0</v>
      </c>
      <c r="V72" s="29">
        <f t="shared" si="29"/>
        <v>0</v>
      </c>
      <c r="X72"/>
      <c r="Y72"/>
      <c r="Z72"/>
      <c r="AA72"/>
      <c r="AB72"/>
      <c r="AC72"/>
      <c r="AD72"/>
      <c r="AE72" s="13"/>
      <c r="AF72" s="13"/>
      <c r="AG72" s="13"/>
      <c r="AH72"/>
      <c r="AI72"/>
      <c r="AJ72"/>
    </row>
    <row r="73" ht="24" customHeight="1" spans="1:36">
      <c r="A73" s="256">
        <v>8</v>
      </c>
      <c r="B73" s="266" t="s">
        <v>381</v>
      </c>
      <c r="C73" s="256"/>
      <c r="D73" s="256"/>
      <c r="E73" s="279">
        <v>0</v>
      </c>
      <c r="F73" s="257">
        <v>0</v>
      </c>
      <c r="G73" s="257">
        <v>0</v>
      </c>
      <c r="H73" s="322">
        <f t="shared" si="25"/>
        <v>0</v>
      </c>
      <c r="I73" s="257">
        <v>0</v>
      </c>
      <c r="J73" s="257">
        <v>0</v>
      </c>
      <c r="K73" s="257">
        <v>0</v>
      </c>
      <c r="L73" s="322">
        <f t="shared" si="26"/>
        <v>0</v>
      </c>
      <c r="M73" s="257">
        <v>0</v>
      </c>
      <c r="N73" s="257">
        <v>0</v>
      </c>
      <c r="O73" s="257">
        <v>0</v>
      </c>
      <c r="P73" s="322">
        <f t="shared" si="27"/>
        <v>0</v>
      </c>
      <c r="Q73" s="257">
        <v>0</v>
      </c>
      <c r="R73" s="257">
        <v>0</v>
      </c>
      <c r="S73" s="257">
        <v>0</v>
      </c>
      <c r="T73" s="322">
        <f t="shared" si="28"/>
        <v>0</v>
      </c>
      <c r="V73" s="29">
        <f t="shared" si="29"/>
        <v>0</v>
      </c>
      <c r="X73"/>
      <c r="Y73"/>
      <c r="Z73"/>
      <c r="AA73"/>
      <c r="AB73"/>
      <c r="AC73"/>
      <c r="AD73"/>
      <c r="AE73" s="13"/>
      <c r="AF73" s="13"/>
      <c r="AG73" s="13"/>
      <c r="AH73"/>
      <c r="AI73"/>
      <c r="AJ73"/>
    </row>
    <row r="74" ht="24" customHeight="1" spans="1:36">
      <c r="A74" s="253">
        <v>9</v>
      </c>
      <c r="B74" s="266" t="s">
        <v>382</v>
      </c>
      <c r="C74" s="256" t="s">
        <v>305</v>
      </c>
      <c r="D74" s="256" t="s">
        <v>334</v>
      </c>
      <c r="E74" s="279">
        <v>0</v>
      </c>
      <c r="F74" s="257">
        <v>0</v>
      </c>
      <c r="G74" s="257">
        <v>0</v>
      </c>
      <c r="H74" s="322">
        <f t="shared" si="25"/>
        <v>0</v>
      </c>
      <c r="I74" s="257">
        <v>0</v>
      </c>
      <c r="J74" s="257">
        <v>0</v>
      </c>
      <c r="K74" s="257">
        <v>0</v>
      </c>
      <c r="L74" s="322">
        <f t="shared" si="26"/>
        <v>0</v>
      </c>
      <c r="M74" s="257">
        <v>0</v>
      </c>
      <c r="N74" s="257">
        <v>0</v>
      </c>
      <c r="O74" s="291">
        <v>0</v>
      </c>
      <c r="P74" s="322">
        <f t="shared" si="27"/>
        <v>0</v>
      </c>
      <c r="Q74" s="257">
        <v>0</v>
      </c>
      <c r="R74" s="257">
        <v>0</v>
      </c>
      <c r="S74" s="257">
        <v>0</v>
      </c>
      <c r="T74" s="322">
        <f t="shared" si="28"/>
        <v>0</v>
      </c>
      <c r="V74" s="29">
        <f t="shared" si="29"/>
        <v>0</v>
      </c>
      <c r="X74"/>
      <c r="Y74"/>
      <c r="Z74"/>
      <c r="AA74"/>
      <c r="AB74"/>
      <c r="AC74"/>
      <c r="AD74"/>
      <c r="AE74" s="13"/>
      <c r="AF74" s="13"/>
      <c r="AG74" s="13"/>
      <c r="AH74"/>
      <c r="AI74"/>
      <c r="AJ74"/>
    </row>
    <row r="75" ht="24" customHeight="1" spans="1:36">
      <c r="A75" s="256">
        <v>10</v>
      </c>
      <c r="B75" s="266" t="s">
        <v>383</v>
      </c>
      <c r="C75" s="256"/>
      <c r="D75" s="256"/>
      <c r="E75" s="279">
        <v>0</v>
      </c>
      <c r="F75" s="257">
        <v>0</v>
      </c>
      <c r="G75" s="257">
        <v>0</v>
      </c>
      <c r="H75" s="322">
        <f t="shared" si="25"/>
        <v>0</v>
      </c>
      <c r="I75" s="257">
        <v>0</v>
      </c>
      <c r="J75" s="257">
        <v>0</v>
      </c>
      <c r="K75" s="257">
        <v>0</v>
      </c>
      <c r="L75" s="322">
        <f t="shared" si="26"/>
        <v>0</v>
      </c>
      <c r="M75" s="257">
        <v>0</v>
      </c>
      <c r="N75" s="257">
        <v>0</v>
      </c>
      <c r="O75" s="257">
        <v>0</v>
      </c>
      <c r="P75" s="322">
        <f t="shared" si="27"/>
        <v>0</v>
      </c>
      <c r="Q75" s="257">
        <v>0</v>
      </c>
      <c r="R75" s="257">
        <v>0</v>
      </c>
      <c r="S75" s="257">
        <v>0</v>
      </c>
      <c r="T75" s="322">
        <f t="shared" si="28"/>
        <v>0</v>
      </c>
      <c r="V75" s="29">
        <f t="shared" si="29"/>
        <v>0</v>
      </c>
      <c r="X75"/>
      <c r="Y75"/>
      <c r="Z75"/>
      <c r="AA75"/>
      <c r="AB75"/>
      <c r="AC75"/>
      <c r="AD75"/>
      <c r="AE75" s="13"/>
      <c r="AF75" s="13"/>
      <c r="AG75" s="13"/>
      <c r="AH75"/>
      <c r="AI75"/>
      <c r="AJ75"/>
    </row>
    <row r="76" ht="24" customHeight="1" spans="1:36">
      <c r="A76" s="337">
        <v>11</v>
      </c>
      <c r="B76" s="266" t="s">
        <v>384</v>
      </c>
      <c r="C76" s="256" t="s">
        <v>310</v>
      </c>
      <c r="D76" s="256" t="s">
        <v>314</v>
      </c>
      <c r="E76" s="279"/>
      <c r="F76" s="257"/>
      <c r="G76" s="257"/>
      <c r="H76" s="322">
        <f t="shared" si="25"/>
        <v>0</v>
      </c>
      <c r="I76" s="257">
        <v>0</v>
      </c>
      <c r="J76" s="257">
        <v>0</v>
      </c>
      <c r="K76" s="257">
        <v>0</v>
      </c>
      <c r="L76" s="322">
        <f t="shared" si="26"/>
        <v>0</v>
      </c>
      <c r="M76" s="257">
        <v>0</v>
      </c>
      <c r="N76" s="257">
        <v>0</v>
      </c>
      <c r="O76" s="291">
        <v>0</v>
      </c>
      <c r="P76" s="322">
        <f t="shared" si="27"/>
        <v>0</v>
      </c>
      <c r="Q76" s="257">
        <v>0</v>
      </c>
      <c r="R76" s="257">
        <v>0</v>
      </c>
      <c r="S76" s="257">
        <v>0</v>
      </c>
      <c r="T76" s="322">
        <f t="shared" si="28"/>
        <v>0</v>
      </c>
      <c r="V76" s="29">
        <f t="shared" si="29"/>
        <v>0</v>
      </c>
      <c r="X76"/>
      <c r="Y76"/>
      <c r="Z76"/>
      <c r="AA76"/>
      <c r="AB76"/>
      <c r="AC76"/>
      <c r="AD76"/>
      <c r="AE76" s="13"/>
      <c r="AF76" s="13"/>
      <c r="AG76" s="13"/>
      <c r="AH76"/>
      <c r="AI76"/>
      <c r="AJ76"/>
    </row>
    <row r="77" ht="24" customHeight="1" spans="1:36">
      <c r="A77" s="261">
        <v>12</v>
      </c>
      <c r="B77" s="290" t="s">
        <v>385</v>
      </c>
      <c r="C77" s="256"/>
      <c r="D77" s="256"/>
      <c r="E77" s="279">
        <v>0</v>
      </c>
      <c r="F77" s="257">
        <v>0</v>
      </c>
      <c r="G77" s="257">
        <v>0</v>
      </c>
      <c r="H77" s="322">
        <f t="shared" si="25"/>
        <v>0</v>
      </c>
      <c r="I77" s="257">
        <v>0</v>
      </c>
      <c r="J77" s="257">
        <v>0</v>
      </c>
      <c r="K77" s="257">
        <v>0</v>
      </c>
      <c r="L77" s="322">
        <f t="shared" si="26"/>
        <v>0</v>
      </c>
      <c r="M77" s="257">
        <v>0</v>
      </c>
      <c r="N77" s="257">
        <v>0</v>
      </c>
      <c r="O77" s="257">
        <v>0</v>
      </c>
      <c r="P77" s="322">
        <f t="shared" si="27"/>
        <v>0</v>
      </c>
      <c r="Q77" s="257">
        <v>0</v>
      </c>
      <c r="R77" s="257">
        <v>0</v>
      </c>
      <c r="S77" s="257">
        <v>0</v>
      </c>
      <c r="T77" s="322">
        <f t="shared" si="28"/>
        <v>0</v>
      </c>
      <c r="V77" s="29">
        <f t="shared" si="29"/>
        <v>0</v>
      </c>
      <c r="X77"/>
      <c r="Y77"/>
      <c r="Z77"/>
      <c r="AA77"/>
      <c r="AB77"/>
      <c r="AC77"/>
      <c r="AD77"/>
      <c r="AE77" s="13"/>
      <c r="AF77" s="13"/>
      <c r="AG77" s="13"/>
      <c r="AH77"/>
      <c r="AI77"/>
      <c r="AJ77"/>
    </row>
    <row r="78" ht="19.5" customHeight="1" spans="1:36">
      <c r="A78" s="256"/>
      <c r="B78" s="338" t="s">
        <v>544</v>
      </c>
      <c r="C78" s="299"/>
      <c r="D78" s="299"/>
      <c r="E78" s="276">
        <f t="shared" ref="E78:P78" si="30">E13+E17+E38+E54+E57+E64+E66+E67+E68+E69+E70+E71+E72+E73+E74+E75+E76+E77</f>
        <v>1253096.54</v>
      </c>
      <c r="F78" s="276">
        <f t="shared" si="30"/>
        <v>1370430.94</v>
      </c>
      <c r="G78" s="276">
        <f t="shared" si="30"/>
        <v>2120209.77</v>
      </c>
      <c r="H78" s="324">
        <f t="shared" si="30"/>
        <v>4743737.25</v>
      </c>
      <c r="I78" s="276">
        <f t="shared" si="30"/>
        <v>1098056.64</v>
      </c>
      <c r="J78" s="276">
        <f t="shared" si="30"/>
        <v>2249655.33</v>
      </c>
      <c r="K78" s="276">
        <f t="shared" si="30"/>
        <v>1515205.77</v>
      </c>
      <c r="L78" s="324">
        <f t="shared" si="30"/>
        <v>4862917.74</v>
      </c>
      <c r="M78" s="276">
        <f t="shared" si="30"/>
        <v>1263195.14</v>
      </c>
      <c r="N78" s="276">
        <f t="shared" si="30"/>
        <v>1625037.3</v>
      </c>
      <c r="O78" s="276">
        <f t="shared" si="30"/>
        <v>1536071.38</v>
      </c>
      <c r="P78" s="324">
        <f t="shared" si="30"/>
        <v>4424303.82</v>
      </c>
      <c r="Q78" s="276">
        <f t="shared" ref="Q78:T78" si="31">Q75+Q74+Q73+Q72+Q71+Q70+Q69+Q68+Q67+Q66+Q17+Q64+Q57+Q54+Q38+Q13+Q105</f>
        <v>1647825.56</v>
      </c>
      <c r="R78" s="276">
        <f t="shared" si="31"/>
        <v>2314391.94</v>
      </c>
      <c r="S78" s="276">
        <f t="shared" si="31"/>
        <v>2972715.04</v>
      </c>
      <c r="T78" s="324">
        <f t="shared" si="31"/>
        <v>6934932.54</v>
      </c>
      <c r="V78" s="29">
        <f t="shared" si="29"/>
        <v>20965891.35</v>
      </c>
      <c r="X78"/>
      <c r="Y78"/>
      <c r="Z78"/>
      <c r="AA78"/>
      <c r="AB78"/>
      <c r="AC78"/>
      <c r="AD78"/>
      <c r="AE78" s="13"/>
      <c r="AF78" s="13"/>
      <c r="AG78" s="13"/>
      <c r="AH78"/>
      <c r="AI78"/>
      <c r="AJ78"/>
    </row>
    <row r="79" s="251" customFormat="1" ht="19.5" customHeight="1" spans="1:36">
      <c r="A79" s="251" t="s">
        <v>545</v>
      </c>
      <c r="B79" s="140"/>
      <c r="E79" s="300"/>
      <c r="F79" s="271"/>
      <c r="G79" s="271"/>
      <c r="H79" s="339"/>
      <c r="I79" s="265"/>
      <c r="J79" s="271"/>
      <c r="K79" s="271"/>
      <c r="L79" s="339"/>
      <c r="M79" s="271"/>
      <c r="N79" s="271"/>
      <c r="O79" s="271"/>
      <c r="P79" s="339"/>
      <c r="Q79" s="271"/>
      <c r="R79" s="271"/>
      <c r="S79" s="271"/>
      <c r="T79" s="339"/>
      <c r="V79" s="283">
        <f t="shared" si="29"/>
        <v>0</v>
      </c>
      <c r="X79"/>
      <c r="Y79"/>
      <c r="Z79"/>
      <c r="AA79"/>
      <c r="AB79"/>
      <c r="AC79"/>
      <c r="AD79"/>
      <c r="AE79" s="13"/>
      <c r="AF79" s="13"/>
      <c r="AG79" s="13"/>
      <c r="AH79"/>
      <c r="AI79"/>
      <c r="AJ79"/>
    </row>
    <row r="80" s="31" customFormat="1" ht="19.5" customHeight="1" spans="1:36">
      <c r="A80" s="254" t="s">
        <v>3</v>
      </c>
      <c r="B80" s="286" t="s">
        <v>286</v>
      </c>
      <c r="C80" s="256" t="s">
        <v>287</v>
      </c>
      <c r="D80" s="256" t="s">
        <v>346</v>
      </c>
      <c r="E80" s="301" t="s">
        <v>288</v>
      </c>
      <c r="F80" s="302" t="s">
        <v>289</v>
      </c>
      <c r="G80" s="302" t="s">
        <v>290</v>
      </c>
      <c r="H80" s="340" t="s">
        <v>291</v>
      </c>
      <c r="I80" s="257" t="s">
        <v>292</v>
      </c>
      <c r="J80" s="302" t="s">
        <v>293</v>
      </c>
      <c r="K80" s="302" t="s">
        <v>294</v>
      </c>
      <c r="L80" s="340" t="s">
        <v>295</v>
      </c>
      <c r="M80" s="302" t="s">
        <v>296</v>
      </c>
      <c r="N80" s="302" t="s">
        <v>297</v>
      </c>
      <c r="O80" s="302" t="s">
        <v>298</v>
      </c>
      <c r="P80" s="340" t="s">
        <v>299</v>
      </c>
      <c r="Q80" s="302" t="s">
        <v>300</v>
      </c>
      <c r="R80" s="302" t="s">
        <v>301</v>
      </c>
      <c r="S80" s="302" t="s">
        <v>302</v>
      </c>
      <c r="T80" s="340" t="s">
        <v>303</v>
      </c>
      <c r="V80" s="281" t="e">
        <f t="shared" si="29"/>
        <v>#VALUE!</v>
      </c>
      <c r="X80"/>
      <c r="Y80"/>
      <c r="Z80"/>
      <c r="AA80"/>
      <c r="AB80"/>
      <c r="AC80"/>
      <c r="AD80"/>
      <c r="AE80" s="13"/>
      <c r="AF80" s="13"/>
      <c r="AG80" s="13"/>
      <c r="AH80"/>
      <c r="AI80"/>
      <c r="AJ80"/>
    </row>
    <row r="81" ht="19.5" customHeight="1" spans="1:36">
      <c r="A81" s="256">
        <v>1</v>
      </c>
      <c r="B81" s="266" t="s">
        <v>347</v>
      </c>
      <c r="C81" s="256" t="s">
        <v>348</v>
      </c>
      <c r="D81" s="256" t="s">
        <v>349</v>
      </c>
      <c r="E81" s="279">
        <v>431498</v>
      </c>
      <c r="F81" s="257">
        <v>555081</v>
      </c>
      <c r="G81" s="257">
        <v>601937</v>
      </c>
      <c r="H81" s="322">
        <f t="shared" ref="H81:H87" si="32">SUM(E81:G81)</f>
        <v>1588516</v>
      </c>
      <c r="I81" s="257">
        <v>445677</v>
      </c>
      <c r="J81" s="257">
        <f>VLOOKUP(B:B,[4]杭州!$B$2:$AA$44,26,0)</f>
        <v>486210.7</v>
      </c>
      <c r="K81" s="257">
        <f>VLOOKUP(B:B,[3]杭州!$B$2:$AG$57,32,0)</f>
        <v>474139</v>
      </c>
      <c r="L81" s="322">
        <f t="shared" ref="L81:L87" si="33">SUM(I81:K81)</f>
        <v>1406026.7</v>
      </c>
      <c r="M81" s="257">
        <v>476498</v>
      </c>
      <c r="N81" s="257">
        <v>576554</v>
      </c>
      <c r="O81" s="291">
        <v>499405</v>
      </c>
      <c r="P81" s="322">
        <f t="shared" ref="P81:P87" si="34">SUM(M81:O81)</f>
        <v>1552457</v>
      </c>
      <c r="Q81" s="257">
        <v>326061</v>
      </c>
      <c r="R81" s="257">
        <v>369698</v>
      </c>
      <c r="S81" s="257">
        <v>180921</v>
      </c>
      <c r="T81" s="322">
        <f t="shared" ref="T81:T87" si="35">SUM(Q81:S81)</f>
        <v>876680</v>
      </c>
      <c r="V81" s="280">
        <f t="shared" si="29"/>
        <v>5423679.7</v>
      </c>
      <c r="X81"/>
      <c r="Y81"/>
      <c r="Z81"/>
      <c r="AA81"/>
      <c r="AB81"/>
      <c r="AC81"/>
      <c r="AD81"/>
      <c r="AE81" s="13"/>
      <c r="AF81" s="13"/>
      <c r="AG81" s="13"/>
      <c r="AH81"/>
      <c r="AI81"/>
      <c r="AJ81"/>
    </row>
    <row r="82" ht="19.5" customHeight="1" spans="1:36">
      <c r="A82" s="256">
        <v>2</v>
      </c>
      <c r="B82" s="266" t="s">
        <v>350</v>
      </c>
      <c r="C82" s="256" t="s">
        <v>348</v>
      </c>
      <c r="D82" s="256" t="s">
        <v>334</v>
      </c>
      <c r="E82" s="279">
        <v>84451</v>
      </c>
      <c r="F82" s="257">
        <v>174972.1</v>
      </c>
      <c r="G82" s="257">
        <v>150952</v>
      </c>
      <c r="H82" s="322">
        <f t="shared" si="32"/>
        <v>410375.1</v>
      </c>
      <c r="I82" s="257">
        <v>86605</v>
      </c>
      <c r="J82" s="257">
        <f>VLOOKUP(B:B,[4]杭州!$B$2:$AA$44,26,0)</f>
        <v>75153</v>
      </c>
      <c r="K82" s="257">
        <f>VLOOKUP(B:B,[3]杭州!$B$2:$AG$57,32,0)</f>
        <v>20340</v>
      </c>
      <c r="L82" s="322">
        <f t="shared" si="33"/>
        <v>182098</v>
      </c>
      <c r="M82" s="257">
        <v>0</v>
      </c>
      <c r="N82" s="257">
        <v>0</v>
      </c>
      <c r="O82" s="291">
        <v>0</v>
      </c>
      <c r="P82" s="322">
        <f t="shared" si="34"/>
        <v>0</v>
      </c>
      <c r="Q82" s="257">
        <v>0</v>
      </c>
      <c r="R82" s="257">
        <v>0</v>
      </c>
      <c r="S82" s="257">
        <v>0</v>
      </c>
      <c r="T82" s="322">
        <f t="shared" si="35"/>
        <v>0</v>
      </c>
      <c r="V82" s="29">
        <f t="shared" si="29"/>
        <v>592473.1</v>
      </c>
      <c r="X82"/>
      <c r="Y82"/>
      <c r="Z82"/>
      <c r="AA82"/>
      <c r="AB82"/>
      <c r="AC82"/>
      <c r="AD82"/>
      <c r="AE82" s="13"/>
      <c r="AF82" s="13"/>
      <c r="AG82" s="13"/>
      <c r="AH82"/>
      <c r="AI82"/>
      <c r="AJ82"/>
    </row>
    <row r="83" s="30" customFormat="1" ht="19.5" customHeight="1" spans="1:36">
      <c r="A83" s="256">
        <v>3</v>
      </c>
      <c r="B83" s="266" t="s">
        <v>351</v>
      </c>
      <c r="C83" s="256" t="s">
        <v>348</v>
      </c>
      <c r="D83" s="256" t="s">
        <v>352</v>
      </c>
      <c r="E83" s="279">
        <v>24422</v>
      </c>
      <c r="F83" s="257">
        <v>110516.9</v>
      </c>
      <c r="G83" s="257">
        <v>143654.88</v>
      </c>
      <c r="H83" s="322">
        <f t="shared" si="32"/>
        <v>278593.78</v>
      </c>
      <c r="I83" s="257">
        <v>151575</v>
      </c>
      <c r="J83" s="257">
        <f>VLOOKUP(B:B,[4]杭州!$B$2:$AA$44,26,0)</f>
        <v>213071</v>
      </c>
      <c r="K83" s="257">
        <f>VLOOKUP(B:B,[3]杭州!$B$2:$AG$57,32,0)</f>
        <v>204318.7</v>
      </c>
      <c r="L83" s="322">
        <f t="shared" si="33"/>
        <v>568964.7</v>
      </c>
      <c r="M83" s="257">
        <v>115145</v>
      </c>
      <c r="N83" s="257">
        <v>198600</v>
      </c>
      <c r="O83" s="291">
        <v>113334.1</v>
      </c>
      <c r="P83" s="322">
        <f t="shared" si="34"/>
        <v>427079.1</v>
      </c>
      <c r="Q83" s="257">
        <v>135746.4</v>
      </c>
      <c r="R83" s="257">
        <v>105312</v>
      </c>
      <c r="S83" s="257">
        <v>195981</v>
      </c>
      <c r="T83" s="322">
        <f t="shared" si="35"/>
        <v>437039.4</v>
      </c>
      <c r="V83" s="29">
        <f t="shared" si="29"/>
        <v>1711676.98</v>
      </c>
      <c r="X83"/>
      <c r="Y83"/>
      <c r="Z83"/>
      <c r="AA83"/>
      <c r="AB83"/>
      <c r="AC83"/>
      <c r="AD83"/>
      <c r="AE83" s="13"/>
      <c r="AF83" s="13"/>
      <c r="AG83" s="13"/>
      <c r="AH83"/>
      <c r="AI83"/>
      <c r="AJ83"/>
    </row>
    <row r="84" ht="19.5" customHeight="1" spans="1:36">
      <c r="A84" s="256">
        <v>4</v>
      </c>
      <c r="B84" s="266" t="s">
        <v>353</v>
      </c>
      <c r="C84" s="256" t="s">
        <v>348</v>
      </c>
      <c r="D84" s="256" t="s">
        <v>314</v>
      </c>
      <c r="E84" s="279">
        <v>55888</v>
      </c>
      <c r="F84" s="257">
        <v>110150.4</v>
      </c>
      <c r="G84" s="257">
        <v>151680.8</v>
      </c>
      <c r="H84" s="322">
        <f t="shared" si="32"/>
        <v>317719.2</v>
      </c>
      <c r="I84" s="257">
        <v>105900</v>
      </c>
      <c r="J84" s="257">
        <f>VLOOKUP(B:B,[4]杭州!$B$2:$AA$44,26,0)</f>
        <v>130233</v>
      </c>
      <c r="K84" s="257">
        <f>VLOOKUP(B:B,[3]杭州!$B$2:$AG$57,32,0)</f>
        <v>234526.6</v>
      </c>
      <c r="L84" s="322">
        <f t="shared" si="33"/>
        <v>470659.6</v>
      </c>
      <c r="M84" s="257">
        <v>158253.1</v>
      </c>
      <c r="N84" s="257">
        <v>223421</v>
      </c>
      <c r="O84" s="291">
        <v>248443</v>
      </c>
      <c r="P84" s="322">
        <f t="shared" si="34"/>
        <v>630117.1</v>
      </c>
      <c r="Q84" s="257">
        <v>194731</v>
      </c>
      <c r="R84" s="257">
        <v>180451</v>
      </c>
      <c r="S84" s="257">
        <v>240463</v>
      </c>
      <c r="T84" s="322">
        <f t="shared" si="35"/>
        <v>615645</v>
      </c>
      <c r="V84" s="29">
        <f t="shared" si="29"/>
        <v>2034140.9</v>
      </c>
      <c r="X84"/>
      <c r="Y84"/>
      <c r="Z84"/>
      <c r="AA84"/>
      <c r="AB84"/>
      <c r="AC84"/>
      <c r="AD84"/>
      <c r="AE84" s="13"/>
      <c r="AF84" s="13"/>
      <c r="AG84" s="13"/>
      <c r="AH84"/>
      <c r="AI84"/>
      <c r="AJ84"/>
    </row>
    <row r="85" ht="19.5" customHeight="1" spans="1:36">
      <c r="A85" s="256">
        <v>5</v>
      </c>
      <c r="B85" s="266" t="s">
        <v>354</v>
      </c>
      <c r="C85" s="256" t="s">
        <v>348</v>
      </c>
      <c r="D85" s="256" t="s">
        <v>306</v>
      </c>
      <c r="E85" s="279">
        <v>0</v>
      </c>
      <c r="F85" s="257">
        <v>14214</v>
      </c>
      <c r="G85" s="257">
        <v>26766</v>
      </c>
      <c r="H85" s="322">
        <f t="shared" si="32"/>
        <v>40980</v>
      </c>
      <c r="I85" s="257">
        <v>21834</v>
      </c>
      <c r="J85" s="257">
        <f>VLOOKUP(B:B,[4]杭州!$B$2:$AA$44,26,0)</f>
        <v>6999</v>
      </c>
      <c r="K85" s="257">
        <f>VLOOKUP(B:B,[3]杭州!$B$2:$AG$57,32,0)</f>
        <v>30981</v>
      </c>
      <c r="L85" s="322">
        <f t="shared" si="33"/>
        <v>59814</v>
      </c>
      <c r="M85" s="257">
        <v>53347</v>
      </c>
      <c r="N85" s="257">
        <v>63547</v>
      </c>
      <c r="O85" s="291">
        <v>129104</v>
      </c>
      <c r="P85" s="322">
        <f t="shared" si="34"/>
        <v>245998</v>
      </c>
      <c r="Q85" s="257">
        <v>81847</v>
      </c>
      <c r="R85" s="257">
        <v>99030</v>
      </c>
      <c r="S85" s="257">
        <v>109815</v>
      </c>
      <c r="T85" s="322">
        <f t="shared" si="35"/>
        <v>290692</v>
      </c>
      <c r="V85" s="29">
        <f t="shared" si="29"/>
        <v>637484</v>
      </c>
      <c r="X85"/>
      <c r="Y85"/>
      <c r="Z85"/>
      <c r="AA85"/>
      <c r="AB85"/>
      <c r="AC85"/>
      <c r="AD85"/>
      <c r="AE85" s="13"/>
      <c r="AF85" s="13"/>
      <c r="AG85" s="13"/>
      <c r="AH85"/>
      <c r="AI85"/>
      <c r="AJ85"/>
    </row>
    <row r="86" ht="19.5" customHeight="1" spans="1:36">
      <c r="A86" s="256">
        <v>6</v>
      </c>
      <c r="B86" s="266" t="s">
        <v>355</v>
      </c>
      <c r="C86" s="256" t="s">
        <v>348</v>
      </c>
      <c r="D86" s="256" t="s">
        <v>352</v>
      </c>
      <c r="E86" s="279">
        <v>29179</v>
      </c>
      <c r="F86" s="257">
        <v>111337</v>
      </c>
      <c r="G86" s="257">
        <v>74565</v>
      </c>
      <c r="H86" s="322">
        <f t="shared" si="32"/>
        <v>215081</v>
      </c>
      <c r="I86" s="257">
        <v>93352</v>
      </c>
      <c r="J86" s="257">
        <f>VLOOKUP(B:B,[4]杭州!$B$2:$AA$44,26,0)</f>
        <v>55599</v>
      </c>
      <c r="K86" s="257">
        <f>VLOOKUP(B:B,[3]杭州!$B$2:$AG$57,32,0)</f>
        <v>140940</v>
      </c>
      <c r="L86" s="322">
        <f t="shared" si="33"/>
        <v>289891</v>
      </c>
      <c r="M86" s="257">
        <v>93297</v>
      </c>
      <c r="N86" s="257">
        <v>63000</v>
      </c>
      <c r="O86" s="291">
        <v>329264</v>
      </c>
      <c r="P86" s="322">
        <f t="shared" si="34"/>
        <v>485561</v>
      </c>
      <c r="Q86" s="257">
        <v>104219</v>
      </c>
      <c r="R86" s="257">
        <v>127071</v>
      </c>
      <c r="S86" s="257">
        <v>93404</v>
      </c>
      <c r="T86" s="322">
        <f t="shared" si="35"/>
        <v>324694</v>
      </c>
      <c r="V86" s="29">
        <f t="shared" si="29"/>
        <v>1315227</v>
      </c>
      <c r="X86"/>
      <c r="Y86"/>
      <c r="Z86"/>
      <c r="AA86"/>
      <c r="AB86"/>
      <c r="AC86"/>
      <c r="AD86"/>
      <c r="AE86" s="13"/>
      <c r="AF86" s="13"/>
      <c r="AG86" s="13"/>
      <c r="AH86"/>
      <c r="AI86"/>
      <c r="AJ86"/>
    </row>
    <row r="87" ht="19.5" customHeight="1" spans="1:36">
      <c r="A87" s="256">
        <v>7</v>
      </c>
      <c r="B87" s="266" t="s">
        <v>357</v>
      </c>
      <c r="C87" s="256" t="s">
        <v>326</v>
      </c>
      <c r="D87" s="256" t="s">
        <v>334</v>
      </c>
      <c r="E87" s="279">
        <v>153577</v>
      </c>
      <c r="F87" s="257">
        <v>138466</v>
      </c>
      <c r="G87" s="257">
        <v>247705.4</v>
      </c>
      <c r="H87" s="322">
        <f t="shared" si="32"/>
        <v>539748.4</v>
      </c>
      <c r="I87" s="257">
        <v>211406</v>
      </c>
      <c r="J87" s="257">
        <f>VLOOKUP(B:B,[4]杭州!$B$2:$AA$44,26,0)</f>
        <v>148012</v>
      </c>
      <c r="K87" s="257">
        <f>VLOOKUP(B:B,[3]杭州!$B$2:$AG$57,32,0)</f>
        <v>265849</v>
      </c>
      <c r="L87" s="322">
        <f t="shared" si="33"/>
        <v>625267</v>
      </c>
      <c r="M87" s="257">
        <v>89268.5</v>
      </c>
      <c r="N87" s="257">
        <v>237232</v>
      </c>
      <c r="O87" s="291">
        <v>39492</v>
      </c>
      <c r="P87" s="322">
        <f t="shared" si="34"/>
        <v>365992.5</v>
      </c>
      <c r="Q87" s="257">
        <v>59102</v>
      </c>
      <c r="R87" s="257">
        <v>79729</v>
      </c>
      <c r="S87" s="257">
        <v>106859</v>
      </c>
      <c r="T87" s="322">
        <f t="shared" si="35"/>
        <v>245690</v>
      </c>
      <c r="V87" s="29">
        <f t="shared" si="29"/>
        <v>1776697.9</v>
      </c>
      <c r="X87"/>
      <c r="Y87"/>
      <c r="Z87"/>
      <c r="AA87"/>
      <c r="AB87"/>
      <c r="AC87"/>
      <c r="AD87"/>
      <c r="AE87" s="13"/>
      <c r="AF87" s="13"/>
      <c r="AG87" s="13"/>
      <c r="AH87"/>
      <c r="AI87"/>
      <c r="AJ87"/>
    </row>
    <row r="88" ht="19.5" customHeight="1" spans="2:36">
      <c r="B88" s="323" t="s">
        <v>360</v>
      </c>
      <c r="C88" s="287"/>
      <c r="D88" s="287"/>
      <c r="E88" s="276">
        <f t="shared" ref="E88:T88" si="36">SUM(E81:E87)</f>
        <v>779015</v>
      </c>
      <c r="F88" s="276">
        <f t="shared" si="36"/>
        <v>1214737.4</v>
      </c>
      <c r="G88" s="276">
        <f t="shared" si="36"/>
        <v>1397261.08</v>
      </c>
      <c r="H88" s="324">
        <f t="shared" si="36"/>
        <v>3391013.48</v>
      </c>
      <c r="I88" s="276">
        <f t="shared" si="36"/>
        <v>1116349</v>
      </c>
      <c r="J88" s="276">
        <f t="shared" si="36"/>
        <v>1115277.7</v>
      </c>
      <c r="K88" s="276">
        <f t="shared" si="36"/>
        <v>1371094.3</v>
      </c>
      <c r="L88" s="324">
        <f t="shared" si="36"/>
        <v>3602721</v>
      </c>
      <c r="M88" s="276">
        <f t="shared" si="36"/>
        <v>985808.6</v>
      </c>
      <c r="N88" s="276">
        <f t="shared" si="36"/>
        <v>1362354</v>
      </c>
      <c r="O88" s="276">
        <f t="shared" si="36"/>
        <v>1359042.1</v>
      </c>
      <c r="P88" s="324">
        <f t="shared" si="36"/>
        <v>3707204.7</v>
      </c>
      <c r="Q88" s="276">
        <f t="shared" si="36"/>
        <v>901706.4</v>
      </c>
      <c r="R88" s="276">
        <f t="shared" si="36"/>
        <v>961291</v>
      </c>
      <c r="S88" s="276">
        <f t="shared" si="36"/>
        <v>927443</v>
      </c>
      <c r="T88" s="324">
        <f t="shared" si="36"/>
        <v>2790440.4</v>
      </c>
      <c r="V88" s="29">
        <f t="shared" si="29"/>
        <v>13491379.58</v>
      </c>
      <c r="X88"/>
      <c r="Y88"/>
      <c r="Z88"/>
      <c r="AA88"/>
      <c r="AB88"/>
      <c r="AC88"/>
      <c r="AD88"/>
      <c r="AE88" s="13"/>
      <c r="AF88" s="13"/>
      <c r="AG88" s="13"/>
      <c r="AH88"/>
      <c r="AI88"/>
      <c r="AJ88"/>
    </row>
    <row r="89" ht="19.5" customHeight="1" spans="1:24">
      <c r="A89" s="251"/>
      <c r="B89" s="140"/>
      <c r="C89" s="251"/>
      <c r="D89" s="251"/>
      <c r="E89" s="288"/>
      <c r="F89" s="265"/>
      <c r="G89" s="265"/>
      <c r="H89" s="325"/>
      <c r="I89" s="265"/>
      <c r="J89" s="265"/>
      <c r="K89" s="265"/>
      <c r="L89" s="325"/>
      <c r="M89" s="265"/>
      <c r="N89" s="265"/>
      <c r="O89" s="265"/>
      <c r="P89" s="325"/>
      <c r="Q89" s="265"/>
      <c r="R89" s="265"/>
      <c r="S89" s="265"/>
      <c r="T89" s="325"/>
      <c r="V89" s="29">
        <f t="shared" si="29"/>
        <v>0</v>
      </c>
      <c r="X89"/>
    </row>
    <row r="90" ht="19.5" customHeight="1" spans="1:24">
      <c r="A90" s="304" t="s">
        <v>390</v>
      </c>
      <c r="B90" s="286"/>
      <c r="C90" s="304"/>
      <c r="D90" s="304"/>
      <c r="E90" s="276">
        <f t="shared" ref="E90:T90" si="37">E88+E78</f>
        <v>2032111.54</v>
      </c>
      <c r="F90" s="276">
        <f t="shared" si="37"/>
        <v>2585168.34</v>
      </c>
      <c r="G90" s="276">
        <f t="shared" si="37"/>
        <v>3517470.85</v>
      </c>
      <c r="H90" s="324">
        <f t="shared" si="37"/>
        <v>8134750.73</v>
      </c>
      <c r="I90" s="276">
        <f t="shared" si="37"/>
        <v>2214405.64</v>
      </c>
      <c r="J90" s="276">
        <f t="shared" si="37"/>
        <v>3364933.03</v>
      </c>
      <c r="K90" s="276">
        <f t="shared" si="37"/>
        <v>2886300.07</v>
      </c>
      <c r="L90" s="324">
        <f t="shared" si="37"/>
        <v>8465638.74</v>
      </c>
      <c r="M90" s="276">
        <f t="shared" si="37"/>
        <v>2249003.74</v>
      </c>
      <c r="N90" s="276">
        <f t="shared" si="37"/>
        <v>2987391.3</v>
      </c>
      <c r="O90" s="276">
        <f t="shared" si="37"/>
        <v>2895113.48</v>
      </c>
      <c r="P90" s="324">
        <f t="shared" si="37"/>
        <v>8131508.52</v>
      </c>
      <c r="Q90" s="276">
        <f t="shared" si="37"/>
        <v>2549531.96</v>
      </c>
      <c r="R90" s="276">
        <f t="shared" si="37"/>
        <v>3275682.94</v>
      </c>
      <c r="S90" s="276">
        <f t="shared" si="37"/>
        <v>3900158.04</v>
      </c>
      <c r="T90" s="324">
        <f t="shared" si="37"/>
        <v>9725372.94</v>
      </c>
      <c r="V90" s="29">
        <f t="shared" si="29"/>
        <v>34457270.93</v>
      </c>
      <c r="X90"/>
    </row>
    <row r="91" ht="19.5" customHeight="1" spans="1:24">
      <c r="A91" s="251"/>
      <c r="B91" s="140"/>
      <c r="C91" s="251"/>
      <c r="D91" s="251"/>
      <c r="E91" s="288"/>
      <c r="F91" s="265"/>
      <c r="G91" s="265"/>
      <c r="H91" s="325"/>
      <c r="I91" s="265"/>
      <c r="V91" s="292">
        <f t="shared" si="29"/>
        <v>0</v>
      </c>
      <c r="X91"/>
    </row>
    <row r="92" ht="19.5" customHeight="1" spans="1:24">
      <c r="A92" s="251"/>
      <c r="B92" s="140"/>
      <c r="C92" s="251"/>
      <c r="D92" s="251"/>
      <c r="E92" s="288"/>
      <c r="F92" s="288"/>
      <c r="G92" s="288"/>
      <c r="H92" s="328"/>
      <c r="I92" s="288"/>
      <c r="J92" s="288"/>
      <c r="K92" s="288"/>
      <c r="L92" s="328"/>
      <c r="M92" s="288"/>
      <c r="N92" s="288"/>
      <c r="O92" s="288"/>
      <c r="P92" s="328"/>
      <c r="Q92" s="288"/>
      <c r="R92" s="288"/>
      <c r="S92" s="288"/>
      <c r="T92" s="328"/>
      <c r="V92" s="280">
        <f t="shared" si="29"/>
        <v>0</v>
      </c>
      <c r="X92"/>
    </row>
    <row r="93" ht="32.1" customHeight="1" spans="2:24">
      <c r="B93" s="191" t="s">
        <v>546</v>
      </c>
      <c r="C93" s="306"/>
      <c r="D93" s="306"/>
      <c r="E93" s="288">
        <f t="shared" ref="E93:T93" si="38">E87+E78</f>
        <v>1406673.54</v>
      </c>
      <c r="F93" s="288">
        <f t="shared" si="38"/>
        <v>1508896.94</v>
      </c>
      <c r="G93" s="288">
        <f t="shared" si="38"/>
        <v>2367915.17</v>
      </c>
      <c r="H93" s="328">
        <f t="shared" si="38"/>
        <v>5283485.65</v>
      </c>
      <c r="I93" s="288">
        <f t="shared" si="38"/>
        <v>1309462.64</v>
      </c>
      <c r="J93" s="288">
        <f t="shared" si="38"/>
        <v>2397667.33</v>
      </c>
      <c r="K93" s="288">
        <f t="shared" si="38"/>
        <v>1781054.77</v>
      </c>
      <c r="L93" s="328">
        <f t="shared" si="38"/>
        <v>5488184.74</v>
      </c>
      <c r="M93" s="288">
        <f t="shared" si="38"/>
        <v>1352463.64</v>
      </c>
      <c r="N93" s="288">
        <f t="shared" si="38"/>
        <v>1862269.3</v>
      </c>
      <c r="O93" s="288">
        <f t="shared" si="38"/>
        <v>1575563.38</v>
      </c>
      <c r="P93" s="328">
        <f t="shared" si="38"/>
        <v>4790296.32</v>
      </c>
      <c r="Q93" s="288">
        <f t="shared" si="38"/>
        <v>1706927.56</v>
      </c>
      <c r="R93" s="288">
        <f t="shared" si="38"/>
        <v>2394120.94</v>
      </c>
      <c r="S93" s="288">
        <f t="shared" si="38"/>
        <v>3079574.04</v>
      </c>
      <c r="T93" s="328">
        <f t="shared" si="38"/>
        <v>7180622.54</v>
      </c>
      <c r="V93" s="29">
        <f t="shared" si="29"/>
        <v>22742589.25</v>
      </c>
      <c r="X93"/>
    </row>
    <row r="94" ht="19.5" customHeight="1" spans="2:24">
      <c r="B94" s="140" t="s">
        <v>547</v>
      </c>
      <c r="E94" s="288">
        <f t="shared" ref="E94:T94" si="39">E88-E87</f>
        <v>625438</v>
      </c>
      <c r="F94" s="288">
        <f t="shared" si="39"/>
        <v>1076271.4</v>
      </c>
      <c r="G94" s="288">
        <f t="shared" si="39"/>
        <v>1149555.68</v>
      </c>
      <c r="H94" s="328">
        <f t="shared" si="39"/>
        <v>2851265.08</v>
      </c>
      <c r="I94" s="288">
        <f t="shared" si="39"/>
        <v>904943</v>
      </c>
      <c r="J94" s="288">
        <f t="shared" si="39"/>
        <v>967265.7</v>
      </c>
      <c r="K94" s="288">
        <f t="shared" si="39"/>
        <v>1105245.3</v>
      </c>
      <c r="L94" s="328">
        <f t="shared" si="39"/>
        <v>2977454</v>
      </c>
      <c r="M94" s="288">
        <f t="shared" si="39"/>
        <v>896540.1</v>
      </c>
      <c r="N94" s="288">
        <f t="shared" si="39"/>
        <v>1125122</v>
      </c>
      <c r="O94" s="288">
        <f t="shared" si="39"/>
        <v>1319550.1</v>
      </c>
      <c r="P94" s="328">
        <f t="shared" si="39"/>
        <v>3341212.2</v>
      </c>
      <c r="Q94" s="288">
        <f t="shared" si="39"/>
        <v>842604.4</v>
      </c>
      <c r="R94" s="288">
        <f t="shared" si="39"/>
        <v>881562</v>
      </c>
      <c r="S94" s="288">
        <f t="shared" si="39"/>
        <v>820584</v>
      </c>
      <c r="T94" s="328">
        <f t="shared" si="39"/>
        <v>2544750.4</v>
      </c>
      <c r="U94" s="265"/>
      <c r="V94" s="277">
        <f t="shared" si="29"/>
        <v>11714681.68</v>
      </c>
      <c r="W94" s="265"/>
      <c r="X94"/>
    </row>
    <row r="95" ht="19.5" customHeight="1" spans="5:24">
      <c r="E95" s="288"/>
      <c r="F95" s="265"/>
      <c r="G95" s="265"/>
      <c r="H95" s="325"/>
      <c r="I95" s="265"/>
      <c r="U95" s="265"/>
      <c r="V95" s="277">
        <f t="shared" si="29"/>
        <v>0</v>
      </c>
      <c r="X95"/>
    </row>
    <row r="96" ht="19.5" customHeight="1" spans="5:24">
      <c r="E96" s="288"/>
      <c r="F96" s="265"/>
      <c r="G96" s="265"/>
      <c r="H96" s="325"/>
      <c r="I96" s="265"/>
      <c r="V96" s="29">
        <f t="shared" si="29"/>
        <v>0</v>
      </c>
      <c r="X96"/>
    </row>
    <row r="97" ht="19.5" customHeight="1" spans="5:24">
      <c r="E97" s="288"/>
      <c r="F97" s="265"/>
      <c r="G97" s="265"/>
      <c r="H97" s="325"/>
      <c r="I97" s="265"/>
      <c r="V97" s="29">
        <f t="shared" si="29"/>
        <v>0</v>
      </c>
      <c r="X97"/>
    </row>
    <row r="98" ht="19.5" customHeight="1" spans="1:24">
      <c r="A98" s="254" t="s">
        <v>3</v>
      </c>
      <c r="B98" s="286" t="s">
        <v>286</v>
      </c>
      <c r="C98" s="254" t="s">
        <v>287</v>
      </c>
      <c r="D98" s="254" t="s">
        <v>224</v>
      </c>
      <c r="E98" s="286" t="s">
        <v>288</v>
      </c>
      <c r="F98" s="254" t="s">
        <v>289</v>
      </c>
      <c r="G98" s="254" t="s">
        <v>290</v>
      </c>
      <c r="H98" s="318" t="s">
        <v>291</v>
      </c>
      <c r="I98" s="278" t="s">
        <v>292</v>
      </c>
      <c r="J98" s="254" t="s">
        <v>293</v>
      </c>
      <c r="K98" s="254" t="s">
        <v>294</v>
      </c>
      <c r="L98" s="318" t="s">
        <v>295</v>
      </c>
      <c r="M98" s="254" t="s">
        <v>296</v>
      </c>
      <c r="N98" s="254" t="s">
        <v>297</v>
      </c>
      <c r="O98" s="254" t="s">
        <v>298</v>
      </c>
      <c r="P98" s="318" t="s">
        <v>299</v>
      </c>
      <c r="Q98" s="254" t="s">
        <v>300</v>
      </c>
      <c r="R98" s="254" t="s">
        <v>301</v>
      </c>
      <c r="S98" s="254" t="s">
        <v>302</v>
      </c>
      <c r="T98" s="318" t="s">
        <v>303</v>
      </c>
      <c r="V98" s="29" t="e">
        <f t="shared" si="29"/>
        <v>#VALUE!</v>
      </c>
      <c r="X98"/>
    </row>
    <row r="99" ht="19.5" customHeight="1" spans="1:24">
      <c r="A99" s="251" t="s">
        <v>274</v>
      </c>
      <c r="B99" s="140"/>
      <c r="C99" s="251"/>
      <c r="D99" s="251"/>
      <c r="E99" s="288"/>
      <c r="F99" s="265"/>
      <c r="G99" s="265"/>
      <c r="H99" s="325"/>
      <c r="I99" s="265"/>
      <c r="J99" s="265"/>
      <c r="K99" s="265"/>
      <c r="L99" s="325"/>
      <c r="M99" s="265"/>
      <c r="N99" s="265"/>
      <c r="O99" s="265"/>
      <c r="P99" s="325"/>
      <c r="Q99" s="265"/>
      <c r="R99" s="265"/>
      <c r="S99" s="265"/>
      <c r="T99" s="325"/>
      <c r="V99" s="29">
        <f t="shared" si="29"/>
        <v>0</v>
      </c>
      <c r="X99"/>
    </row>
    <row r="100" ht="19.5" customHeight="1" spans="1:35">
      <c r="A100" s="256">
        <v>1</v>
      </c>
      <c r="B100" s="266" t="s">
        <v>362</v>
      </c>
      <c r="C100" s="256" t="s">
        <v>274</v>
      </c>
      <c r="D100" s="256" t="s">
        <v>306</v>
      </c>
      <c r="E100" s="279">
        <v>0</v>
      </c>
      <c r="F100" s="257">
        <v>15347</v>
      </c>
      <c r="G100" s="257">
        <v>0</v>
      </c>
      <c r="H100" s="322">
        <f t="shared" ref="H100:H104" si="40">SUM(E100:G100)</f>
        <v>15347</v>
      </c>
      <c r="I100" s="257"/>
      <c r="J100" s="257">
        <v>35681</v>
      </c>
      <c r="K100" s="257">
        <v>11924</v>
      </c>
      <c r="L100" s="322">
        <f t="shared" ref="L100:L104" si="41">SUM(I100:K100)</f>
        <v>47605</v>
      </c>
      <c r="M100" s="257">
        <v>65625</v>
      </c>
      <c r="N100" s="257">
        <v>63833</v>
      </c>
      <c r="O100" s="291">
        <v>0</v>
      </c>
      <c r="P100" s="322">
        <f t="shared" ref="P100:P104" si="42">SUM(M100:O100)</f>
        <v>129458</v>
      </c>
      <c r="Q100" s="257">
        <v>16871</v>
      </c>
      <c r="R100" s="257">
        <v>24673</v>
      </c>
      <c r="S100" s="257">
        <f>VLOOKUP(B100,[2]杭州!$B$2:$BR$61,69,0)</f>
        <v>28520</v>
      </c>
      <c r="T100" s="322">
        <f t="shared" ref="T100:T104" si="43">SUM(Q100:S100)</f>
        <v>70064</v>
      </c>
      <c r="V100" s="29">
        <f t="shared" si="29"/>
        <v>262474</v>
      </c>
      <c r="X100"/>
      <c r="Y100" s="5" t="s">
        <v>373</v>
      </c>
      <c r="Z100" s="5"/>
      <c r="AA100" s="5"/>
      <c r="AB100" s="5"/>
      <c r="AC100" s="2"/>
      <c r="AD100" s="2"/>
      <c r="AE100" s="14"/>
      <c r="AF100" s="14"/>
      <c r="AG100" s="14"/>
      <c r="AH100" s="6"/>
      <c r="AI100" s="6"/>
    </row>
    <row r="101" ht="19.5" customHeight="1" spans="1:24">
      <c r="A101" s="256">
        <v>2</v>
      </c>
      <c r="B101" s="266" t="s">
        <v>363</v>
      </c>
      <c r="C101" s="256" t="s">
        <v>305</v>
      </c>
      <c r="D101" s="256" t="s">
        <v>331</v>
      </c>
      <c r="E101" s="279">
        <v>0</v>
      </c>
      <c r="F101" s="257">
        <v>0</v>
      </c>
      <c r="G101" s="257">
        <v>10879</v>
      </c>
      <c r="H101" s="322">
        <f t="shared" si="40"/>
        <v>10879</v>
      </c>
      <c r="I101" s="257">
        <v>20268</v>
      </c>
      <c r="J101" s="257">
        <v>5900</v>
      </c>
      <c r="K101" s="257">
        <v>10172</v>
      </c>
      <c r="L101" s="322">
        <f t="shared" si="41"/>
        <v>36340</v>
      </c>
      <c r="M101" s="257">
        <v>5916</v>
      </c>
      <c r="N101" s="257">
        <v>5731</v>
      </c>
      <c r="O101" s="291">
        <v>3441</v>
      </c>
      <c r="P101" s="322">
        <f t="shared" si="42"/>
        <v>15088</v>
      </c>
      <c r="Q101" s="257">
        <v>9365</v>
      </c>
      <c r="R101" s="257">
        <v>18963</v>
      </c>
      <c r="S101" s="257">
        <f>VLOOKUP(B101,[2]杭州!$B$2:$BR$61,69,0)</f>
        <v>11769.5</v>
      </c>
      <c r="T101" s="322">
        <f t="shared" si="43"/>
        <v>40097.5</v>
      </c>
      <c r="V101" s="29">
        <f t="shared" si="29"/>
        <v>102404.5</v>
      </c>
      <c r="X101"/>
    </row>
    <row r="102" ht="19.5" customHeight="1" spans="1:24">
      <c r="A102" s="256">
        <v>3</v>
      </c>
      <c r="B102" s="266" t="s">
        <v>364</v>
      </c>
      <c r="C102" s="256" t="s">
        <v>274</v>
      </c>
      <c r="D102" s="256" t="s">
        <v>331</v>
      </c>
      <c r="E102" s="279">
        <v>0</v>
      </c>
      <c r="F102" s="257">
        <v>15877.35</v>
      </c>
      <c r="G102" s="257">
        <v>35693.04</v>
      </c>
      <c r="H102" s="322">
        <f t="shared" si="40"/>
        <v>51570.39</v>
      </c>
      <c r="I102" s="257"/>
      <c r="J102" s="257">
        <v>372208.3</v>
      </c>
      <c r="K102" s="257">
        <v>218571.81</v>
      </c>
      <c r="L102" s="322">
        <f t="shared" si="41"/>
        <v>590780.11</v>
      </c>
      <c r="M102" s="257">
        <v>195700.56</v>
      </c>
      <c r="N102" s="257">
        <v>122586.09</v>
      </c>
      <c r="O102" s="291">
        <v>178665.11</v>
      </c>
      <c r="P102" s="322">
        <f t="shared" si="42"/>
        <v>496951.76</v>
      </c>
      <c r="Q102" s="257">
        <v>88547.59</v>
      </c>
      <c r="R102" s="257">
        <v>53037.08</v>
      </c>
      <c r="S102" s="257">
        <f>VLOOKUP(B102,[2]杭州!$B$2:$BR$61,69,0)</f>
        <v>120342.55</v>
      </c>
      <c r="T102" s="322">
        <f t="shared" si="43"/>
        <v>261927.22</v>
      </c>
      <c r="V102" s="29">
        <f t="shared" si="29"/>
        <v>1401229.48</v>
      </c>
      <c r="X102"/>
    </row>
    <row r="103" ht="19.5" customHeight="1" spans="1:24">
      <c r="A103" s="256">
        <v>4</v>
      </c>
      <c r="B103" s="341" t="s">
        <v>365</v>
      </c>
      <c r="C103" s="256" t="s">
        <v>274</v>
      </c>
      <c r="D103" s="342" t="s">
        <v>334</v>
      </c>
      <c r="E103" s="343"/>
      <c r="F103" s="344"/>
      <c r="G103" s="344"/>
      <c r="H103" s="322">
        <f t="shared" si="40"/>
        <v>0</v>
      </c>
      <c r="I103" s="344"/>
      <c r="J103" s="344"/>
      <c r="K103" s="344"/>
      <c r="L103" s="322">
        <f t="shared" si="41"/>
        <v>0</v>
      </c>
      <c r="M103" s="344">
        <v>7970</v>
      </c>
      <c r="N103" s="344"/>
      <c r="O103" s="291">
        <v>3794</v>
      </c>
      <c r="P103" s="322">
        <f t="shared" si="42"/>
        <v>11764</v>
      </c>
      <c r="Q103" s="257">
        <v>9897</v>
      </c>
      <c r="R103" s="257">
        <v>10422</v>
      </c>
      <c r="S103" s="257">
        <f>VLOOKUP(B103,[2]杭州!$B$2:$BR$61,69,0)</f>
        <v>7539</v>
      </c>
      <c r="T103" s="322">
        <f t="shared" si="43"/>
        <v>27858</v>
      </c>
      <c r="V103" s="29">
        <f t="shared" si="29"/>
        <v>39622</v>
      </c>
      <c r="X103"/>
    </row>
    <row r="104" ht="19.5" customHeight="1" spans="1:24">
      <c r="A104" s="256">
        <v>5</v>
      </c>
      <c r="B104" s="341" t="s">
        <v>366</v>
      </c>
      <c r="C104" s="345"/>
      <c r="D104" s="346"/>
      <c r="E104" s="343"/>
      <c r="F104" s="344"/>
      <c r="G104" s="344"/>
      <c r="H104" s="322">
        <f t="shared" si="40"/>
        <v>0</v>
      </c>
      <c r="I104" s="344"/>
      <c r="J104" s="344"/>
      <c r="K104" s="344">
        <v>10502</v>
      </c>
      <c r="L104" s="322">
        <f t="shared" si="41"/>
        <v>10502</v>
      </c>
      <c r="M104" s="344">
        <v>56800</v>
      </c>
      <c r="N104" s="344">
        <v>55695</v>
      </c>
      <c r="O104" s="344">
        <v>40432</v>
      </c>
      <c r="P104" s="322">
        <f t="shared" si="42"/>
        <v>152927</v>
      </c>
      <c r="Q104" s="257">
        <v>73830</v>
      </c>
      <c r="R104" s="257">
        <v>48155</v>
      </c>
      <c r="S104" s="344">
        <v>56884</v>
      </c>
      <c r="T104" s="322">
        <f t="shared" si="43"/>
        <v>178869</v>
      </c>
      <c r="V104" s="29">
        <f t="shared" si="29"/>
        <v>342298</v>
      </c>
      <c r="X104"/>
    </row>
    <row r="105" ht="19.5" customHeight="1" spans="2:24">
      <c r="B105" s="347" t="s">
        <v>11</v>
      </c>
      <c r="C105" s="307"/>
      <c r="D105" s="307"/>
      <c r="E105" s="308">
        <f t="shared" ref="E105:T105" si="44">SUM(E100:E104)</f>
        <v>0</v>
      </c>
      <c r="F105" s="308">
        <f t="shared" si="44"/>
        <v>31224.35</v>
      </c>
      <c r="G105" s="308">
        <f t="shared" si="44"/>
        <v>46572.04</v>
      </c>
      <c r="H105" s="308">
        <f t="shared" si="44"/>
        <v>77796.39</v>
      </c>
      <c r="I105" s="308">
        <f t="shared" si="44"/>
        <v>20268</v>
      </c>
      <c r="J105" s="308">
        <f t="shared" si="44"/>
        <v>413789.3</v>
      </c>
      <c r="K105" s="308">
        <f t="shared" si="44"/>
        <v>251169.81</v>
      </c>
      <c r="L105" s="308">
        <f t="shared" si="44"/>
        <v>685227.11</v>
      </c>
      <c r="M105" s="308">
        <f t="shared" si="44"/>
        <v>332011.56</v>
      </c>
      <c r="N105" s="308">
        <f t="shared" si="44"/>
        <v>247845.09</v>
      </c>
      <c r="O105" s="308">
        <f t="shared" si="44"/>
        <v>226332.11</v>
      </c>
      <c r="P105" s="308">
        <f t="shared" si="44"/>
        <v>806188.76</v>
      </c>
      <c r="Q105" s="308">
        <f t="shared" si="44"/>
        <v>198510.59</v>
      </c>
      <c r="R105" s="308">
        <f t="shared" si="44"/>
        <v>155250.08</v>
      </c>
      <c r="S105" s="308">
        <f t="shared" si="44"/>
        <v>225055.05</v>
      </c>
      <c r="T105" s="308">
        <f t="shared" si="44"/>
        <v>578815.72</v>
      </c>
      <c r="V105" s="29">
        <f t="shared" si="29"/>
        <v>2148027.98</v>
      </c>
      <c r="X105"/>
    </row>
    <row r="106" ht="19.5" customHeight="1" spans="5:24">
      <c r="E106" s="288"/>
      <c r="F106" s="288"/>
      <c r="G106" s="288"/>
      <c r="H106" s="325"/>
      <c r="I106" s="288"/>
      <c r="J106" s="288"/>
      <c r="K106" s="288"/>
      <c r="M106" s="288"/>
      <c r="N106" s="288"/>
      <c r="O106" s="288"/>
      <c r="Q106" s="288"/>
      <c r="R106" s="288"/>
      <c r="S106" s="288"/>
      <c r="X106"/>
    </row>
    <row r="107" ht="19.5" customHeight="1" spans="5:9">
      <c r="E107" s="288"/>
      <c r="F107" s="265"/>
      <c r="G107" s="265"/>
      <c r="H107" s="325"/>
      <c r="I107" s="265"/>
    </row>
    <row r="108" ht="19.5" customHeight="1" spans="5:15">
      <c r="E108" s="288"/>
      <c r="F108" s="265"/>
      <c r="G108" s="265"/>
      <c r="H108" s="325"/>
      <c r="I108" s="265"/>
      <c r="O108" s="20">
        <f>O90+O100+O101+O102+O103</f>
        <v>3081013.59</v>
      </c>
    </row>
    <row r="109" ht="19.5" customHeight="1" spans="5:15">
      <c r="E109" s="288"/>
      <c r="F109" s="265"/>
      <c r="G109" s="265"/>
      <c r="H109" s="325"/>
      <c r="I109" s="265"/>
      <c r="O109" s="20">
        <v>3081013.59</v>
      </c>
    </row>
    <row r="110" ht="19.5" customHeight="1" spans="15:15">
      <c r="O110" s="20">
        <f>O108-O109</f>
        <v>0</v>
      </c>
    </row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  <row r="123" ht="19.5" customHeight="1"/>
    <row r="124" ht="19.5" customHeight="1"/>
  </sheetData>
  <autoFilter xmlns:etc="http://www.wps.cn/officeDocument/2017/etCustomData" ref="A3:AF105" etc:filterBottomFollowUsedRange="0">
    <extLst/>
  </autoFilter>
  <mergeCells count="1">
    <mergeCell ref="A90:B90"/>
  </mergeCells>
  <conditionalFormatting sqref="Y100">
    <cfRule type="duplicateValues" dxfId="0" priority="2"/>
  </conditionalFormatting>
  <conditionalFormatting sqref="Y5:Y33">
    <cfRule type="duplicateValues" dxfId="0" priority="1"/>
  </conditionalFormatting>
  <pageMargins left="0.393055555555556" right="0.275" top="0.354166666666667" bottom="0.275" header="0.313888888888889" footer="0.196527777777778"/>
  <pageSetup paperSize="9" scale="80" orientation="portrait"/>
  <headerFooter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H122"/>
  <sheetViews>
    <sheetView workbookViewId="0">
      <pane xSplit="5" ySplit="3" topLeftCell="F54" activePane="bottomRight" state="frozen"/>
      <selection/>
      <selection pane="topRight"/>
      <selection pane="bottomLeft"/>
      <selection pane="bottomRight" activeCell="F73" sqref="F73"/>
    </sheetView>
  </sheetViews>
  <sheetFormatPr defaultColWidth="9" defaultRowHeight="13"/>
  <cols>
    <col min="1" max="1" width="4" style="20" customWidth="1"/>
    <col min="2" max="2" width="32.8727272727273" style="20" customWidth="1"/>
    <col min="3" max="4" width="4.25454545454545" style="20" customWidth="1"/>
    <col min="5" max="5" width="10.5" style="4" customWidth="1"/>
    <col min="6" max="7" width="10.5" style="30" customWidth="1"/>
    <col min="8" max="8" width="11.6272727272727" style="30" customWidth="1"/>
    <col min="9" max="9" width="10.5" style="30" customWidth="1"/>
    <col min="10" max="11" width="10.5" style="20" customWidth="1"/>
    <col min="12" max="12" width="11.7545454545455" style="20" customWidth="1"/>
    <col min="13" max="13" width="11.2545454545455" style="20" customWidth="1"/>
    <col min="14" max="14" width="12.7545454545455" style="20" customWidth="1"/>
    <col min="15" max="16" width="11.2545454545455" style="20" customWidth="1"/>
    <col min="17" max="20" width="11.8727272727273" style="20" customWidth="1"/>
    <col min="21" max="21" width="4.5" style="20" customWidth="1"/>
    <col min="22" max="22" width="16.5" style="20" customWidth="1"/>
    <col min="23" max="23" width="3.75454545454545" style="20" customWidth="1"/>
    <col min="24" max="24" width="11.1272727272727" style="20" customWidth="1"/>
    <col min="25" max="25" width="40.6272727272727" style="6" customWidth="1"/>
    <col min="26" max="26" width="17.1272727272727" style="6" customWidth="1"/>
    <col min="27" max="27" width="12.2545454545455" style="6" customWidth="1"/>
    <col min="28" max="28" width="14.5" style="6" customWidth="1"/>
    <col min="29" max="30" width="11.5" style="20"/>
    <col min="31" max="31" width="28.6272727272727" style="20" customWidth="1"/>
    <col min="32" max="16384" width="9" style="20"/>
  </cols>
  <sheetData>
    <row r="1" ht="25.5" customHeight="1" spans="1:1">
      <c r="A1" s="251" t="s">
        <v>284</v>
      </c>
    </row>
    <row r="2" ht="19.5" customHeight="1" spans="1:1">
      <c r="A2" s="251" t="s">
        <v>548</v>
      </c>
    </row>
    <row r="3" s="30" customFormat="1" ht="19.5" customHeight="1" spans="1:29">
      <c r="A3" s="254" t="s">
        <v>3</v>
      </c>
      <c r="B3" s="254" t="s">
        <v>286</v>
      </c>
      <c r="C3" s="254" t="s">
        <v>287</v>
      </c>
      <c r="D3" s="254" t="s">
        <v>224</v>
      </c>
      <c r="E3" s="286" t="s">
        <v>288</v>
      </c>
      <c r="F3" s="254" t="s">
        <v>289</v>
      </c>
      <c r="G3" s="254" t="s">
        <v>290</v>
      </c>
      <c r="H3" s="255" t="s">
        <v>291</v>
      </c>
      <c r="I3" s="254" t="s">
        <v>292</v>
      </c>
      <c r="J3" s="254" t="s">
        <v>293</v>
      </c>
      <c r="K3" s="254" t="s">
        <v>294</v>
      </c>
      <c r="L3" s="255" t="s">
        <v>295</v>
      </c>
      <c r="M3" s="254" t="s">
        <v>296</v>
      </c>
      <c r="N3" s="254" t="s">
        <v>297</v>
      </c>
      <c r="O3" s="254" t="s">
        <v>298</v>
      </c>
      <c r="P3" s="255" t="s">
        <v>299</v>
      </c>
      <c r="Q3" s="254" t="s">
        <v>300</v>
      </c>
      <c r="R3" s="254" t="s">
        <v>301</v>
      </c>
      <c r="S3" s="254" t="s">
        <v>302</v>
      </c>
      <c r="T3" s="255" t="s">
        <v>303</v>
      </c>
      <c r="V3" s="252" t="s">
        <v>395</v>
      </c>
      <c r="Y3" s="3" t="s">
        <v>492</v>
      </c>
      <c r="Z3" s="3" t="s">
        <v>493</v>
      </c>
      <c r="AA3" s="3" t="s">
        <v>494</v>
      </c>
      <c r="AB3" s="3" t="s">
        <v>495</v>
      </c>
      <c r="AC3" s="30" t="s">
        <v>496</v>
      </c>
    </row>
    <row r="4" ht="19.5" customHeight="1" spans="1:33">
      <c r="A4" s="256">
        <v>1</v>
      </c>
      <c r="B4" s="256" t="s">
        <v>196</v>
      </c>
      <c r="C4" s="256" t="s">
        <v>305</v>
      </c>
      <c r="D4" s="256" t="s">
        <v>306</v>
      </c>
      <c r="E4" s="279">
        <v>250000</v>
      </c>
      <c r="F4" s="257">
        <v>130000</v>
      </c>
      <c r="G4" s="257">
        <v>100000</v>
      </c>
      <c r="H4" s="258">
        <f t="shared" ref="H4:H12" si="0">SUM(E4:G4)</f>
        <v>480000</v>
      </c>
      <c r="I4" s="259"/>
      <c r="J4" s="257"/>
      <c r="K4" s="257"/>
      <c r="L4" s="258">
        <f t="shared" ref="L4:L12" si="1">SUM(I4:K4)</f>
        <v>0</v>
      </c>
      <c r="M4" s="257"/>
      <c r="N4" s="257"/>
      <c r="O4" s="257"/>
      <c r="P4" s="258">
        <f t="shared" ref="P4:P12" si="2">SUM(M4:O4)</f>
        <v>0</v>
      </c>
      <c r="Q4" s="257"/>
      <c r="R4" s="257"/>
      <c r="S4" s="257"/>
      <c r="T4" s="258">
        <f t="shared" ref="T4:T12" si="3">SUM(Q4:S4)</f>
        <v>0</v>
      </c>
      <c r="V4" s="29">
        <f t="shared" ref="V4:V13" si="4">S4+R4+Q4+O4+N4+M4+K4+J4+I4+G4+F4+E4</f>
        <v>480000</v>
      </c>
      <c r="X4" t="s">
        <v>114</v>
      </c>
      <c r="Y4" s="5" t="s">
        <v>353</v>
      </c>
      <c r="Z4" s="5">
        <v>59388</v>
      </c>
      <c r="AA4" s="5">
        <f>VLOOKUP(Y:Y,[5]Sheet2!$B$3:$C$12,2,0)</f>
        <v>3500</v>
      </c>
      <c r="AB4" s="5">
        <f t="shared" ref="AB4:AB24" si="5">Z4-AA4</f>
        <v>55888</v>
      </c>
      <c r="AC4" s="2">
        <v>55888</v>
      </c>
      <c r="AD4" s="2">
        <f t="shared" ref="AD4:AD24" si="6">AB4-AC4</f>
        <v>0</v>
      </c>
      <c r="AE4" s="2"/>
      <c r="AF4" s="6"/>
      <c r="AG4" s="6"/>
    </row>
    <row r="5" ht="19.5" customHeight="1" spans="1:33">
      <c r="A5" s="256">
        <v>2</v>
      </c>
      <c r="B5" s="256" t="s">
        <v>307</v>
      </c>
      <c r="C5" s="256" t="s">
        <v>305</v>
      </c>
      <c r="D5" s="256" t="s">
        <v>306</v>
      </c>
      <c r="E5" s="279">
        <v>173281.75</v>
      </c>
      <c r="F5" s="257">
        <v>0</v>
      </c>
      <c r="G5" s="257">
        <v>330711.2</v>
      </c>
      <c r="H5" s="258">
        <f t="shared" si="0"/>
        <v>503992.95</v>
      </c>
      <c r="I5" s="257"/>
      <c r="J5" s="257"/>
      <c r="K5" s="257"/>
      <c r="L5" s="258">
        <f t="shared" si="1"/>
        <v>0</v>
      </c>
      <c r="M5" s="257"/>
      <c r="N5" s="257"/>
      <c r="O5" s="257"/>
      <c r="P5" s="258">
        <f t="shared" si="2"/>
        <v>0</v>
      </c>
      <c r="Q5" s="257"/>
      <c r="R5" s="257"/>
      <c r="S5" s="257"/>
      <c r="T5" s="258">
        <f t="shared" si="3"/>
        <v>0</v>
      </c>
      <c r="V5" s="29">
        <f t="shared" si="4"/>
        <v>503992.95</v>
      </c>
      <c r="X5"/>
      <c r="Y5" s="5" t="s">
        <v>347</v>
      </c>
      <c r="Z5" s="5">
        <v>444308</v>
      </c>
      <c r="AA5" s="5">
        <f>VLOOKUP(Y:Y,[5]Sheet2!$B$3:$C$12,2,0)</f>
        <v>12810</v>
      </c>
      <c r="AB5" s="5">
        <f t="shared" si="5"/>
        <v>431498</v>
      </c>
      <c r="AC5" s="2">
        <v>431498</v>
      </c>
      <c r="AD5" s="2">
        <f t="shared" si="6"/>
        <v>0</v>
      </c>
      <c r="AE5" s="2"/>
      <c r="AF5" s="6"/>
      <c r="AG5" s="6"/>
    </row>
    <row r="6" ht="19.5" customHeight="1" spans="1:33">
      <c r="A6" s="256">
        <v>3</v>
      </c>
      <c r="B6" s="256" t="s">
        <v>308</v>
      </c>
      <c r="C6" s="256" t="s">
        <v>305</v>
      </c>
      <c r="D6" s="256" t="s">
        <v>306</v>
      </c>
      <c r="E6" s="279">
        <v>6910</v>
      </c>
      <c r="F6" s="257">
        <v>0</v>
      </c>
      <c r="G6" s="257">
        <v>0</v>
      </c>
      <c r="H6" s="258">
        <f t="shared" si="0"/>
        <v>6910</v>
      </c>
      <c r="I6" s="257"/>
      <c r="J6" s="257"/>
      <c r="K6" s="257"/>
      <c r="L6" s="258">
        <f t="shared" si="1"/>
        <v>0</v>
      </c>
      <c r="M6" s="257"/>
      <c r="N6" s="257"/>
      <c r="O6" s="257"/>
      <c r="P6" s="258">
        <f t="shared" si="2"/>
        <v>0</v>
      </c>
      <c r="Q6" s="257"/>
      <c r="R6" s="257"/>
      <c r="S6" s="257"/>
      <c r="T6" s="258">
        <f t="shared" si="3"/>
        <v>0</v>
      </c>
      <c r="V6" s="29">
        <f t="shared" si="4"/>
        <v>6910</v>
      </c>
      <c r="X6"/>
      <c r="Y6" s="293" t="s">
        <v>499</v>
      </c>
      <c r="Z6" s="293">
        <v>296245.62</v>
      </c>
      <c r="AA6" s="293"/>
      <c r="AB6" s="293">
        <f t="shared" si="5"/>
        <v>296245.62</v>
      </c>
      <c r="AC6" s="294" t="e">
        <v>#N/A</v>
      </c>
      <c r="AD6" s="294" t="e">
        <f t="shared" si="6"/>
        <v>#N/A</v>
      </c>
      <c r="AE6" s="2"/>
      <c r="AF6" s="6"/>
      <c r="AG6" s="6"/>
    </row>
    <row r="7" ht="19.5" customHeight="1" spans="1:33">
      <c r="A7" s="256">
        <v>4</v>
      </c>
      <c r="B7" s="256" t="s">
        <v>498</v>
      </c>
      <c r="C7" s="256" t="s">
        <v>305</v>
      </c>
      <c r="D7" s="256" t="s">
        <v>306</v>
      </c>
      <c r="E7" s="279">
        <v>0</v>
      </c>
      <c r="F7" s="257">
        <v>0</v>
      </c>
      <c r="G7" s="257">
        <v>0</v>
      </c>
      <c r="H7" s="258">
        <f t="shared" si="0"/>
        <v>0</v>
      </c>
      <c r="I7" s="257"/>
      <c r="J7" s="257"/>
      <c r="K7" s="257"/>
      <c r="L7" s="258">
        <f t="shared" si="1"/>
        <v>0</v>
      </c>
      <c r="M7" s="257"/>
      <c r="N7" s="257"/>
      <c r="O7" s="257"/>
      <c r="P7" s="258">
        <f t="shared" si="2"/>
        <v>0</v>
      </c>
      <c r="Q7" s="257"/>
      <c r="R7" s="257"/>
      <c r="S7" s="257"/>
      <c r="T7" s="258">
        <f t="shared" si="3"/>
        <v>0</v>
      </c>
      <c r="V7" s="29">
        <f t="shared" si="4"/>
        <v>0</v>
      </c>
      <c r="X7"/>
      <c r="Y7" s="5" t="s">
        <v>357</v>
      </c>
      <c r="Z7" s="5">
        <v>153577</v>
      </c>
      <c r="AA7" s="5"/>
      <c r="AB7" s="5">
        <f t="shared" si="5"/>
        <v>153577</v>
      </c>
      <c r="AC7" s="2">
        <v>153577</v>
      </c>
      <c r="AD7" s="2">
        <f t="shared" si="6"/>
        <v>0</v>
      </c>
      <c r="AE7" s="2"/>
      <c r="AF7" s="6"/>
      <c r="AG7" s="6"/>
    </row>
    <row r="8" ht="19.5" customHeight="1" spans="1:33">
      <c r="A8" s="256">
        <v>5</v>
      </c>
      <c r="B8" s="256" t="s">
        <v>500</v>
      </c>
      <c r="C8" s="256"/>
      <c r="D8" s="256"/>
      <c r="E8" s="279">
        <v>0</v>
      </c>
      <c r="F8" s="257">
        <v>0</v>
      </c>
      <c r="G8" s="257">
        <v>0</v>
      </c>
      <c r="H8" s="258">
        <f t="shared" si="0"/>
        <v>0</v>
      </c>
      <c r="I8" s="257"/>
      <c r="J8" s="257"/>
      <c r="K8" s="257"/>
      <c r="L8" s="258">
        <f t="shared" si="1"/>
        <v>0</v>
      </c>
      <c r="M8" s="257"/>
      <c r="N8" s="257"/>
      <c r="O8" s="257"/>
      <c r="P8" s="258">
        <f t="shared" si="2"/>
        <v>0</v>
      </c>
      <c r="Q8" s="257"/>
      <c r="R8" s="257"/>
      <c r="S8" s="257"/>
      <c r="T8" s="258">
        <f t="shared" si="3"/>
        <v>0</v>
      </c>
      <c r="V8" s="29">
        <f t="shared" si="4"/>
        <v>0</v>
      </c>
      <c r="X8"/>
      <c r="Y8" s="5" t="s">
        <v>309</v>
      </c>
      <c r="Z8" s="5">
        <v>10859</v>
      </c>
      <c r="AA8" s="5"/>
      <c r="AB8" s="5">
        <f t="shared" si="5"/>
        <v>10859</v>
      </c>
      <c r="AC8" s="2">
        <v>10859</v>
      </c>
      <c r="AD8" s="2">
        <f t="shared" si="6"/>
        <v>0</v>
      </c>
      <c r="AE8" s="2"/>
      <c r="AF8" s="6"/>
      <c r="AG8" s="6"/>
    </row>
    <row r="9" ht="19.5" customHeight="1" spans="1:33">
      <c r="A9" s="256">
        <v>6</v>
      </c>
      <c r="B9" s="256" t="s">
        <v>501</v>
      </c>
      <c r="C9" s="256"/>
      <c r="D9" s="256"/>
      <c r="E9" s="279">
        <v>0</v>
      </c>
      <c r="F9" s="257">
        <v>0</v>
      </c>
      <c r="G9" s="257">
        <v>0</v>
      </c>
      <c r="H9" s="258">
        <f t="shared" si="0"/>
        <v>0</v>
      </c>
      <c r="I9" s="257"/>
      <c r="J9" s="257"/>
      <c r="K9" s="257"/>
      <c r="L9" s="258">
        <f t="shared" si="1"/>
        <v>0</v>
      </c>
      <c r="M9" s="257"/>
      <c r="N9" s="257"/>
      <c r="O9" s="257"/>
      <c r="P9" s="258">
        <f t="shared" si="2"/>
        <v>0</v>
      </c>
      <c r="Q9" s="257"/>
      <c r="R9" s="257"/>
      <c r="S9" s="257"/>
      <c r="T9" s="258">
        <f t="shared" si="3"/>
        <v>0</v>
      </c>
      <c r="V9" s="29">
        <f t="shared" si="4"/>
        <v>0</v>
      </c>
      <c r="X9"/>
      <c r="Y9" s="5" t="s">
        <v>351</v>
      </c>
      <c r="Z9" s="5">
        <v>28472</v>
      </c>
      <c r="AA9" s="5">
        <f>VLOOKUP(Y:Y,[5]Sheet2!$B$3:$C$12,2,0)</f>
        <v>4050</v>
      </c>
      <c r="AB9" s="5">
        <f t="shared" si="5"/>
        <v>24422</v>
      </c>
      <c r="AC9" s="2">
        <v>24422</v>
      </c>
      <c r="AD9" s="2">
        <f t="shared" si="6"/>
        <v>0</v>
      </c>
      <c r="AE9" s="2"/>
      <c r="AF9" s="6"/>
      <c r="AG9" s="6"/>
    </row>
    <row r="10" ht="19.5" customHeight="1" spans="1:33">
      <c r="A10" s="256">
        <v>7</v>
      </c>
      <c r="B10" s="260" t="s">
        <v>502</v>
      </c>
      <c r="C10" s="256"/>
      <c r="D10" s="256"/>
      <c r="E10" s="279">
        <v>0</v>
      </c>
      <c r="F10" s="257">
        <v>0</v>
      </c>
      <c r="G10" s="257">
        <v>0</v>
      </c>
      <c r="H10" s="258">
        <f t="shared" si="0"/>
        <v>0</v>
      </c>
      <c r="I10" s="257"/>
      <c r="J10" s="257"/>
      <c r="K10" s="257"/>
      <c r="L10" s="258">
        <f t="shared" si="1"/>
        <v>0</v>
      </c>
      <c r="M10" s="257"/>
      <c r="N10" s="257"/>
      <c r="O10" s="257"/>
      <c r="P10" s="258">
        <f t="shared" si="2"/>
        <v>0</v>
      </c>
      <c r="Q10" s="257"/>
      <c r="R10" s="257"/>
      <c r="S10" s="257"/>
      <c r="T10" s="258">
        <f t="shared" si="3"/>
        <v>0</v>
      </c>
      <c r="V10" s="29">
        <f t="shared" si="4"/>
        <v>0</v>
      </c>
      <c r="X10"/>
      <c r="Y10" s="5" t="s">
        <v>342</v>
      </c>
      <c r="Z10" s="5">
        <v>149000</v>
      </c>
      <c r="AA10" s="5"/>
      <c r="AB10" s="5">
        <f t="shared" si="5"/>
        <v>149000</v>
      </c>
      <c r="AC10" s="2">
        <v>149000</v>
      </c>
      <c r="AD10" s="2">
        <f t="shared" si="6"/>
        <v>0</v>
      </c>
      <c r="AE10" s="2"/>
      <c r="AF10" s="6"/>
      <c r="AG10" s="6"/>
    </row>
    <row r="11" ht="19.5" customHeight="1" spans="1:33">
      <c r="A11" s="256">
        <v>8</v>
      </c>
      <c r="B11" s="256" t="s">
        <v>309</v>
      </c>
      <c r="C11" s="256" t="s">
        <v>310</v>
      </c>
      <c r="D11" s="256" t="s">
        <v>306</v>
      </c>
      <c r="E11" s="279">
        <v>10859</v>
      </c>
      <c r="F11" s="257">
        <v>0</v>
      </c>
      <c r="G11" s="257">
        <v>0</v>
      </c>
      <c r="H11" s="258">
        <f t="shared" si="0"/>
        <v>10859</v>
      </c>
      <c r="I11" s="257"/>
      <c r="J11" s="257"/>
      <c r="K11" s="257"/>
      <c r="L11" s="258">
        <f t="shared" si="1"/>
        <v>0</v>
      </c>
      <c r="M11" s="257"/>
      <c r="N11" s="257"/>
      <c r="O11" s="257"/>
      <c r="P11" s="258">
        <f t="shared" si="2"/>
        <v>0</v>
      </c>
      <c r="Q11" s="257"/>
      <c r="R11" s="257"/>
      <c r="S11" s="257"/>
      <c r="T11" s="258">
        <f t="shared" si="3"/>
        <v>0</v>
      </c>
      <c r="V11" s="29">
        <f t="shared" si="4"/>
        <v>10859</v>
      </c>
      <c r="X11"/>
      <c r="Y11" s="5" t="s">
        <v>308</v>
      </c>
      <c r="Z11" s="5">
        <v>6910</v>
      </c>
      <c r="AA11" s="5"/>
      <c r="AB11" s="5">
        <f t="shared" si="5"/>
        <v>6910</v>
      </c>
      <c r="AC11" s="2">
        <v>6910</v>
      </c>
      <c r="AD11" s="2">
        <f t="shared" si="6"/>
        <v>0</v>
      </c>
      <c r="AE11" s="2"/>
      <c r="AF11" s="6"/>
      <c r="AG11" s="6"/>
    </row>
    <row r="12" ht="19.5" customHeight="1" spans="1:33">
      <c r="A12" s="256">
        <v>9</v>
      </c>
      <c r="B12" s="256" t="s">
        <v>503</v>
      </c>
      <c r="C12" s="256"/>
      <c r="D12" s="256"/>
      <c r="E12" s="279">
        <v>0</v>
      </c>
      <c r="F12" s="257">
        <v>0</v>
      </c>
      <c r="G12" s="257">
        <v>0</v>
      </c>
      <c r="H12" s="258">
        <f t="shared" si="0"/>
        <v>0</v>
      </c>
      <c r="I12" s="257"/>
      <c r="J12" s="257"/>
      <c r="K12" s="257"/>
      <c r="L12" s="258">
        <f t="shared" si="1"/>
        <v>0</v>
      </c>
      <c r="M12" s="257"/>
      <c r="N12" s="257"/>
      <c r="O12" s="257"/>
      <c r="P12" s="258">
        <f t="shared" si="2"/>
        <v>0</v>
      </c>
      <c r="Q12" s="257"/>
      <c r="R12" s="257"/>
      <c r="S12" s="257"/>
      <c r="T12" s="258">
        <f t="shared" si="3"/>
        <v>0</v>
      </c>
      <c r="V12" s="29">
        <f t="shared" si="4"/>
        <v>0</v>
      </c>
      <c r="X12"/>
      <c r="Y12" s="5" t="s">
        <v>338</v>
      </c>
      <c r="Z12" s="5">
        <v>10000</v>
      </c>
      <c r="AA12" s="5"/>
      <c r="AB12" s="5">
        <f t="shared" si="5"/>
        <v>10000</v>
      </c>
      <c r="AC12" s="2">
        <v>10000</v>
      </c>
      <c r="AD12" s="2">
        <f t="shared" si="6"/>
        <v>0</v>
      </c>
      <c r="AE12" s="2"/>
      <c r="AF12" s="6"/>
      <c r="AG12" s="6"/>
    </row>
    <row r="13" ht="19.5" customHeight="1" spans="2:33">
      <c r="B13" s="287" t="s">
        <v>11</v>
      </c>
      <c r="C13" s="287"/>
      <c r="D13" s="287"/>
      <c r="E13" s="276">
        <f t="shared" ref="E13:T13" si="7">SUM(E4:E12)</f>
        <v>441050.75</v>
      </c>
      <c r="F13" s="276">
        <f t="shared" si="7"/>
        <v>130000</v>
      </c>
      <c r="G13" s="276">
        <f t="shared" si="7"/>
        <v>430711.2</v>
      </c>
      <c r="H13" s="276">
        <f t="shared" si="7"/>
        <v>1001761.95</v>
      </c>
      <c r="I13" s="276">
        <f t="shared" si="7"/>
        <v>0</v>
      </c>
      <c r="J13" s="276">
        <f t="shared" si="7"/>
        <v>0</v>
      </c>
      <c r="K13" s="276">
        <f t="shared" si="7"/>
        <v>0</v>
      </c>
      <c r="L13" s="276">
        <f t="shared" si="7"/>
        <v>0</v>
      </c>
      <c r="M13" s="276">
        <f t="shared" si="7"/>
        <v>0</v>
      </c>
      <c r="N13" s="276">
        <f t="shared" si="7"/>
        <v>0</v>
      </c>
      <c r="O13" s="276">
        <f t="shared" si="7"/>
        <v>0</v>
      </c>
      <c r="P13" s="276">
        <f t="shared" si="7"/>
        <v>0</v>
      </c>
      <c r="Q13" s="276">
        <f t="shared" si="7"/>
        <v>0</v>
      </c>
      <c r="R13" s="276">
        <f t="shared" si="7"/>
        <v>0</v>
      </c>
      <c r="S13" s="276">
        <f t="shared" si="7"/>
        <v>0</v>
      </c>
      <c r="T13" s="276">
        <f t="shared" si="7"/>
        <v>0</v>
      </c>
      <c r="V13" s="292">
        <f t="shared" si="4"/>
        <v>1001761.95</v>
      </c>
      <c r="X13"/>
      <c r="Y13" s="5" t="s">
        <v>325</v>
      </c>
      <c r="Z13" s="5">
        <v>176000</v>
      </c>
      <c r="AA13" s="5"/>
      <c r="AB13" s="5">
        <f t="shared" si="5"/>
        <v>176000</v>
      </c>
      <c r="AC13" s="2">
        <v>176000</v>
      </c>
      <c r="AD13" s="2">
        <f t="shared" si="6"/>
        <v>0</v>
      </c>
      <c r="AE13" s="2"/>
      <c r="AF13" s="6"/>
      <c r="AG13" s="6"/>
    </row>
    <row r="14" ht="19.5" customHeight="1" spans="1:33">
      <c r="A14" s="251" t="s">
        <v>549</v>
      </c>
      <c r="B14" s="251"/>
      <c r="C14" s="251"/>
      <c r="D14" s="251"/>
      <c r="E14" s="288"/>
      <c r="F14" s="265"/>
      <c r="G14" s="265"/>
      <c r="H14" s="265"/>
      <c r="I14" s="265"/>
      <c r="J14" s="265"/>
      <c r="K14" s="265"/>
      <c r="L14" s="265"/>
      <c r="M14" s="265"/>
      <c r="N14" s="265"/>
      <c r="O14" s="265"/>
      <c r="P14" s="265"/>
      <c r="Q14" s="265"/>
      <c r="R14" s="265"/>
      <c r="S14" s="265"/>
      <c r="T14" s="265"/>
      <c r="V14" s="29"/>
      <c r="X14"/>
      <c r="Y14" s="5" t="s">
        <v>355</v>
      </c>
      <c r="Z14" s="5">
        <v>46459</v>
      </c>
      <c r="AA14" s="5">
        <f>VLOOKUP(Y:Y,[5]Sheet2!$B$3:$C$12,2,0)</f>
        <v>17280</v>
      </c>
      <c r="AB14" s="5">
        <f t="shared" si="5"/>
        <v>29179</v>
      </c>
      <c r="AC14" s="2">
        <v>29179</v>
      </c>
      <c r="AD14" s="2">
        <f t="shared" si="6"/>
        <v>0</v>
      </c>
      <c r="AE14" s="2"/>
      <c r="AF14" s="6"/>
      <c r="AG14" s="6"/>
    </row>
    <row r="15" ht="19.5" customHeight="1" spans="1:33">
      <c r="A15" s="256">
        <v>1</v>
      </c>
      <c r="B15" s="256" t="s">
        <v>505</v>
      </c>
      <c r="C15" s="256"/>
      <c r="D15" s="256"/>
      <c r="E15" s="279">
        <v>0</v>
      </c>
      <c r="F15" s="257">
        <v>0</v>
      </c>
      <c r="G15" s="257">
        <v>0</v>
      </c>
      <c r="H15" s="258">
        <f t="shared" ref="H15:H34" si="8">SUM(E15:G15)</f>
        <v>0</v>
      </c>
      <c r="I15" s="257"/>
      <c r="J15" s="257"/>
      <c r="K15" s="257"/>
      <c r="L15" s="258">
        <f t="shared" ref="L15:L34" si="9">SUM(I15:K15)</f>
        <v>0</v>
      </c>
      <c r="M15" s="257"/>
      <c r="N15" s="257"/>
      <c r="O15" s="257"/>
      <c r="P15" s="258">
        <f t="shared" ref="P15:P34" si="10">SUM(M15:O15)</f>
        <v>0</v>
      </c>
      <c r="Q15" s="257"/>
      <c r="R15" s="257"/>
      <c r="S15" s="257"/>
      <c r="T15" s="258">
        <f t="shared" ref="T15:T34" si="11">SUM(Q15:S15)</f>
        <v>0</v>
      </c>
      <c r="V15" s="29">
        <f t="shared" ref="V15:V17" si="12">S15+R15+Q15+O15+N15+M15+K15+J15+I15+G15+F15+E15</f>
        <v>0</v>
      </c>
      <c r="X15"/>
      <c r="Y15" s="5" t="s">
        <v>323</v>
      </c>
      <c r="Z15" s="5">
        <v>100000</v>
      </c>
      <c r="AA15" s="5"/>
      <c r="AB15" s="5">
        <f t="shared" si="5"/>
        <v>100000</v>
      </c>
      <c r="AC15" s="2">
        <v>100000</v>
      </c>
      <c r="AD15" s="2">
        <f t="shared" si="6"/>
        <v>0</v>
      </c>
      <c r="AE15" s="2"/>
      <c r="AF15" s="6"/>
      <c r="AG15" s="6"/>
    </row>
    <row r="16" ht="19.5" customHeight="1" spans="1:33">
      <c r="A16" s="256">
        <v>2</v>
      </c>
      <c r="B16" s="256" t="s">
        <v>313</v>
      </c>
      <c r="C16" s="256" t="s">
        <v>305</v>
      </c>
      <c r="D16" s="256" t="s">
        <v>314</v>
      </c>
      <c r="E16" s="279">
        <v>6229.31</v>
      </c>
      <c r="F16" s="257">
        <v>0</v>
      </c>
      <c r="G16" s="257">
        <v>0</v>
      </c>
      <c r="H16" s="258">
        <f t="shared" si="8"/>
        <v>6229.31</v>
      </c>
      <c r="I16" s="257"/>
      <c r="J16" s="257"/>
      <c r="K16" s="257"/>
      <c r="L16" s="258">
        <f t="shared" si="9"/>
        <v>0</v>
      </c>
      <c r="M16" s="257"/>
      <c r="N16" s="257"/>
      <c r="O16" s="257"/>
      <c r="P16" s="258">
        <f t="shared" si="10"/>
        <v>0</v>
      </c>
      <c r="Q16" s="257"/>
      <c r="R16" s="257"/>
      <c r="S16" s="257"/>
      <c r="T16" s="258">
        <f t="shared" si="11"/>
        <v>0</v>
      </c>
      <c r="V16" s="29">
        <f t="shared" si="12"/>
        <v>6229.31</v>
      </c>
      <c r="X16"/>
      <c r="Y16" s="5" t="s">
        <v>350</v>
      </c>
      <c r="Z16" s="5">
        <v>97229</v>
      </c>
      <c r="AA16" s="5">
        <f>VLOOKUP(Y:Y,[5]Sheet2!$B$3:$C$12,2,0)</f>
        <v>12778</v>
      </c>
      <c r="AB16" s="5">
        <f t="shared" si="5"/>
        <v>84451</v>
      </c>
      <c r="AC16" s="2">
        <v>84451</v>
      </c>
      <c r="AD16" s="2">
        <f t="shared" si="6"/>
        <v>0</v>
      </c>
      <c r="AE16" s="2"/>
      <c r="AF16" s="6"/>
      <c r="AG16" s="6"/>
    </row>
    <row r="17" ht="19.5" customHeight="1" spans="1:33">
      <c r="A17" s="256"/>
      <c r="B17" s="289" t="s">
        <v>11</v>
      </c>
      <c r="C17" s="289"/>
      <c r="D17" s="289"/>
      <c r="E17" s="276">
        <f t="shared" ref="E17:T17" si="13">SUM(E15:E16)</f>
        <v>6229.31</v>
      </c>
      <c r="F17" s="276">
        <f t="shared" si="13"/>
        <v>0</v>
      </c>
      <c r="G17" s="276">
        <f t="shared" si="13"/>
        <v>0</v>
      </c>
      <c r="H17" s="276">
        <f t="shared" si="13"/>
        <v>6229.31</v>
      </c>
      <c r="I17" s="276">
        <f t="shared" si="13"/>
        <v>0</v>
      </c>
      <c r="J17" s="276">
        <f t="shared" si="13"/>
        <v>0</v>
      </c>
      <c r="K17" s="276">
        <f t="shared" si="13"/>
        <v>0</v>
      </c>
      <c r="L17" s="276">
        <f t="shared" si="13"/>
        <v>0</v>
      </c>
      <c r="M17" s="276">
        <f t="shared" si="13"/>
        <v>0</v>
      </c>
      <c r="N17" s="276">
        <f t="shared" si="13"/>
        <v>0</v>
      </c>
      <c r="O17" s="276">
        <f t="shared" si="13"/>
        <v>0</v>
      </c>
      <c r="P17" s="276">
        <f t="shared" si="13"/>
        <v>0</v>
      </c>
      <c r="Q17" s="276">
        <f t="shared" si="13"/>
        <v>0</v>
      </c>
      <c r="R17" s="276">
        <f t="shared" si="13"/>
        <v>0</v>
      </c>
      <c r="S17" s="276">
        <f t="shared" si="13"/>
        <v>0</v>
      </c>
      <c r="T17" s="276">
        <f t="shared" si="13"/>
        <v>0</v>
      </c>
      <c r="V17" s="292">
        <f t="shared" si="12"/>
        <v>6229.31</v>
      </c>
      <c r="X17"/>
      <c r="Y17" s="5" t="s">
        <v>550</v>
      </c>
      <c r="Z17" s="5">
        <v>185197.48</v>
      </c>
      <c r="AA17" s="5"/>
      <c r="AB17" s="5">
        <f t="shared" si="5"/>
        <v>185197.48</v>
      </c>
      <c r="AC17" s="2">
        <v>185197.48</v>
      </c>
      <c r="AD17" s="2">
        <f t="shared" si="6"/>
        <v>0</v>
      </c>
      <c r="AE17" s="2"/>
      <c r="AF17" s="6"/>
      <c r="AG17" s="6"/>
    </row>
    <row r="18" ht="19.5" customHeight="1" spans="1:33">
      <c r="A18" s="251" t="s">
        <v>551</v>
      </c>
      <c r="B18" s="251"/>
      <c r="C18" s="251"/>
      <c r="D18" s="251"/>
      <c r="E18" s="288"/>
      <c r="F18" s="265"/>
      <c r="G18" s="265"/>
      <c r="H18" s="265"/>
      <c r="I18" s="265"/>
      <c r="J18" s="265"/>
      <c r="K18" s="265"/>
      <c r="L18" s="265"/>
      <c r="M18" s="265"/>
      <c r="N18" s="265"/>
      <c r="O18" s="265"/>
      <c r="P18" s="265"/>
      <c r="Q18" s="265"/>
      <c r="R18" s="265"/>
      <c r="S18" s="265"/>
      <c r="T18" s="265"/>
      <c r="V18" s="29"/>
      <c r="X18"/>
      <c r="Y18" s="5" t="s">
        <v>511</v>
      </c>
      <c r="Z18" s="5">
        <v>9319.8</v>
      </c>
      <c r="AA18" s="5"/>
      <c r="AB18" s="5">
        <f t="shared" si="5"/>
        <v>9319.8</v>
      </c>
      <c r="AC18" s="2" t="e">
        <v>#N/A</v>
      </c>
      <c r="AD18" s="2" t="e">
        <f t="shared" si="6"/>
        <v>#N/A</v>
      </c>
      <c r="AE18" s="2"/>
      <c r="AF18" s="6"/>
      <c r="AG18" s="6"/>
    </row>
    <row r="19" ht="19.5" customHeight="1" spans="1:33">
      <c r="A19" s="256">
        <v>1</v>
      </c>
      <c r="B19" s="266" t="s">
        <v>323</v>
      </c>
      <c r="C19" s="256" t="s">
        <v>305</v>
      </c>
      <c r="D19" s="256" t="s">
        <v>324</v>
      </c>
      <c r="E19" s="279">
        <v>100000</v>
      </c>
      <c r="F19" s="257">
        <v>100000</v>
      </c>
      <c r="G19" s="257">
        <v>200000</v>
      </c>
      <c r="H19" s="258">
        <f t="shared" si="8"/>
        <v>400000</v>
      </c>
      <c r="I19" s="257"/>
      <c r="J19" s="257"/>
      <c r="K19" s="257"/>
      <c r="L19" s="258">
        <f t="shared" si="9"/>
        <v>0</v>
      </c>
      <c r="M19" s="257"/>
      <c r="N19" s="257"/>
      <c r="O19" s="257"/>
      <c r="P19" s="258">
        <f t="shared" si="10"/>
        <v>0</v>
      </c>
      <c r="Q19" s="257"/>
      <c r="R19" s="257"/>
      <c r="S19" s="257"/>
      <c r="T19" s="258">
        <f t="shared" si="11"/>
        <v>0</v>
      </c>
      <c r="V19" s="29">
        <f t="shared" ref="V19:V34" si="14">S19+R19+Q19+O19+N19+M19+K19+J19+I19+G19+F19+E19</f>
        <v>400000</v>
      </c>
      <c r="X19"/>
      <c r="Y19" s="5" t="s">
        <v>336</v>
      </c>
      <c r="Z19" s="5">
        <v>101900</v>
      </c>
      <c r="AA19" s="5"/>
      <c r="AB19" s="5">
        <f t="shared" si="5"/>
        <v>101900</v>
      </c>
      <c r="AC19" s="2">
        <v>101900</v>
      </c>
      <c r="AD19" s="2">
        <f t="shared" si="6"/>
        <v>0</v>
      </c>
      <c r="AE19" s="2"/>
      <c r="AF19" s="6"/>
      <c r="AG19" s="6"/>
    </row>
    <row r="20" ht="19.5" customHeight="1" spans="1:33">
      <c r="A20" s="256">
        <v>2</v>
      </c>
      <c r="B20" s="266" t="s">
        <v>507</v>
      </c>
      <c r="C20" s="256"/>
      <c r="D20" s="256"/>
      <c r="E20" s="279">
        <v>0</v>
      </c>
      <c r="F20" s="257">
        <v>0</v>
      </c>
      <c r="G20" s="257">
        <v>0</v>
      </c>
      <c r="H20" s="258">
        <f t="shared" si="8"/>
        <v>0</v>
      </c>
      <c r="I20" s="257"/>
      <c r="J20" s="257"/>
      <c r="K20" s="257"/>
      <c r="L20" s="258">
        <f t="shared" si="9"/>
        <v>0</v>
      </c>
      <c r="M20" s="257"/>
      <c r="N20" s="257"/>
      <c r="O20" s="257"/>
      <c r="P20" s="258">
        <f t="shared" si="10"/>
        <v>0</v>
      </c>
      <c r="Q20" s="257"/>
      <c r="R20" s="257"/>
      <c r="S20" s="257"/>
      <c r="T20" s="258">
        <f t="shared" si="11"/>
        <v>0</v>
      </c>
      <c r="V20" s="29">
        <f t="shared" si="14"/>
        <v>0</v>
      </c>
      <c r="X20"/>
      <c r="Y20" s="5" t="s">
        <v>513</v>
      </c>
      <c r="Z20" s="5">
        <v>150000</v>
      </c>
      <c r="AA20" s="5"/>
      <c r="AB20" s="5">
        <f t="shared" si="5"/>
        <v>150000</v>
      </c>
      <c r="AC20" s="2">
        <v>150000</v>
      </c>
      <c r="AD20" s="2">
        <f t="shared" si="6"/>
        <v>0</v>
      </c>
      <c r="AE20" s="2"/>
      <c r="AF20" s="6"/>
      <c r="AG20" s="6"/>
    </row>
    <row r="21" ht="19.5" customHeight="1" spans="1:33">
      <c r="A21" s="256">
        <v>3</v>
      </c>
      <c r="B21" s="266" t="s">
        <v>509</v>
      </c>
      <c r="C21" s="256"/>
      <c r="D21" s="256"/>
      <c r="E21" s="279">
        <v>0</v>
      </c>
      <c r="F21" s="257">
        <v>0</v>
      </c>
      <c r="G21" s="257">
        <v>0</v>
      </c>
      <c r="H21" s="258">
        <f t="shared" si="8"/>
        <v>0</v>
      </c>
      <c r="I21" s="257"/>
      <c r="J21" s="257"/>
      <c r="K21" s="257"/>
      <c r="L21" s="258">
        <f t="shared" si="9"/>
        <v>0</v>
      </c>
      <c r="M21" s="257"/>
      <c r="N21" s="257"/>
      <c r="O21" s="257"/>
      <c r="P21" s="258">
        <f t="shared" si="10"/>
        <v>0</v>
      </c>
      <c r="Q21" s="257"/>
      <c r="R21" s="257"/>
      <c r="S21" s="257"/>
      <c r="T21" s="258">
        <f t="shared" si="11"/>
        <v>0</v>
      </c>
      <c r="V21" s="29">
        <f t="shared" si="14"/>
        <v>0</v>
      </c>
      <c r="X21"/>
      <c r="Y21" s="5" t="s">
        <v>517</v>
      </c>
      <c r="Z21" s="5">
        <v>100000</v>
      </c>
      <c r="AA21" s="5"/>
      <c r="AB21" s="5">
        <f t="shared" si="5"/>
        <v>100000</v>
      </c>
      <c r="AC21" s="2">
        <v>100000</v>
      </c>
      <c r="AD21" s="2">
        <f t="shared" si="6"/>
        <v>0</v>
      </c>
      <c r="AE21" s="2"/>
      <c r="AF21" s="6"/>
      <c r="AG21" s="6"/>
    </row>
    <row r="22" ht="19.5" customHeight="1" spans="1:33">
      <c r="A22" s="256">
        <v>4</v>
      </c>
      <c r="B22" s="266" t="s">
        <v>325</v>
      </c>
      <c r="C22" s="256" t="s">
        <v>326</v>
      </c>
      <c r="D22" s="256" t="s">
        <v>327</v>
      </c>
      <c r="E22" s="279">
        <v>176000</v>
      </c>
      <c r="F22" s="257">
        <v>156700</v>
      </c>
      <c r="G22" s="257">
        <v>256820</v>
      </c>
      <c r="H22" s="258">
        <f t="shared" si="8"/>
        <v>589520</v>
      </c>
      <c r="I22" s="257"/>
      <c r="J22" s="257"/>
      <c r="K22" s="257"/>
      <c r="L22" s="258">
        <f t="shared" si="9"/>
        <v>0</v>
      </c>
      <c r="M22" s="257"/>
      <c r="N22" s="257"/>
      <c r="O22" s="257"/>
      <c r="P22" s="258">
        <f t="shared" si="10"/>
        <v>0</v>
      </c>
      <c r="Q22" s="257"/>
      <c r="R22" s="257"/>
      <c r="S22" s="257"/>
      <c r="T22" s="258">
        <f t="shared" si="11"/>
        <v>0</v>
      </c>
      <c r="V22" s="29">
        <f t="shared" si="14"/>
        <v>589520</v>
      </c>
      <c r="X22"/>
      <c r="Y22" s="5" t="s">
        <v>307</v>
      </c>
      <c r="Z22" s="5">
        <v>173281.75</v>
      </c>
      <c r="AA22" s="5"/>
      <c r="AB22" s="5">
        <f t="shared" si="5"/>
        <v>173281.75</v>
      </c>
      <c r="AC22" s="2">
        <v>173281.75</v>
      </c>
      <c r="AD22" s="2">
        <f t="shared" si="6"/>
        <v>0</v>
      </c>
      <c r="AE22" s="2"/>
      <c r="AF22" s="6"/>
      <c r="AG22" s="6"/>
    </row>
    <row r="23" ht="19.5" customHeight="1" spans="1:33">
      <c r="A23" s="256">
        <v>5</v>
      </c>
      <c r="B23" s="266" t="s">
        <v>512</v>
      </c>
      <c r="C23" s="256"/>
      <c r="D23" s="256"/>
      <c r="E23" s="279">
        <v>0</v>
      </c>
      <c r="F23" s="257">
        <v>0</v>
      </c>
      <c r="G23" s="257">
        <v>0</v>
      </c>
      <c r="H23" s="258">
        <f t="shared" si="8"/>
        <v>0</v>
      </c>
      <c r="I23" s="257"/>
      <c r="J23" s="257"/>
      <c r="K23" s="257"/>
      <c r="L23" s="258">
        <f t="shared" si="9"/>
        <v>0</v>
      </c>
      <c r="M23" s="257"/>
      <c r="N23" s="257"/>
      <c r="O23" s="257"/>
      <c r="P23" s="258">
        <f t="shared" si="10"/>
        <v>0</v>
      </c>
      <c r="Q23" s="257"/>
      <c r="R23" s="257"/>
      <c r="S23" s="257"/>
      <c r="T23" s="258">
        <f t="shared" si="11"/>
        <v>0</v>
      </c>
      <c r="V23" s="29">
        <f t="shared" si="14"/>
        <v>0</v>
      </c>
      <c r="X23"/>
      <c r="Y23" s="5" t="s">
        <v>313</v>
      </c>
      <c r="Z23" s="5">
        <v>6229.31</v>
      </c>
      <c r="AA23" s="5"/>
      <c r="AB23" s="5">
        <f t="shared" si="5"/>
        <v>6229.31</v>
      </c>
      <c r="AC23" s="2">
        <v>6229.31</v>
      </c>
      <c r="AD23" s="2">
        <f t="shared" si="6"/>
        <v>0</v>
      </c>
      <c r="AE23" s="2"/>
      <c r="AF23" s="6"/>
      <c r="AG23" s="6"/>
    </row>
    <row r="24" ht="19.5" customHeight="1" spans="1:33">
      <c r="A24" s="256">
        <v>6</v>
      </c>
      <c r="B24" s="266" t="s">
        <v>328</v>
      </c>
      <c r="C24" s="256" t="s">
        <v>305</v>
      </c>
      <c r="D24" s="256" t="s">
        <v>324</v>
      </c>
      <c r="E24" s="279">
        <v>0</v>
      </c>
      <c r="F24" s="257">
        <v>0</v>
      </c>
      <c r="G24" s="257">
        <v>0</v>
      </c>
      <c r="H24" s="258">
        <f t="shared" si="8"/>
        <v>0</v>
      </c>
      <c r="I24" s="257"/>
      <c r="J24" s="257"/>
      <c r="K24" s="257"/>
      <c r="L24" s="258">
        <f t="shared" si="9"/>
        <v>0</v>
      </c>
      <c r="M24" s="257"/>
      <c r="N24" s="257"/>
      <c r="O24" s="257"/>
      <c r="P24" s="258">
        <f t="shared" si="10"/>
        <v>0</v>
      </c>
      <c r="Q24" s="257"/>
      <c r="R24" s="257"/>
      <c r="S24" s="257"/>
      <c r="T24" s="258">
        <f t="shared" si="11"/>
        <v>0</v>
      </c>
      <c r="V24" s="29">
        <f t="shared" si="14"/>
        <v>0</v>
      </c>
      <c r="X24"/>
      <c r="Y24" s="295" t="s">
        <v>329</v>
      </c>
      <c r="Z24" s="295">
        <v>790</v>
      </c>
      <c r="AA24" s="295"/>
      <c r="AB24" s="295">
        <f t="shared" si="5"/>
        <v>790</v>
      </c>
      <c r="AC24" s="2">
        <v>790</v>
      </c>
      <c r="AD24" s="2">
        <f t="shared" si="6"/>
        <v>0</v>
      </c>
      <c r="AE24" s="2"/>
      <c r="AF24" s="6"/>
      <c r="AG24" s="6"/>
    </row>
    <row r="25" ht="19.5" customHeight="1" spans="1:33">
      <c r="A25" s="256">
        <v>7</v>
      </c>
      <c r="B25" s="266" t="s">
        <v>514</v>
      </c>
      <c r="C25" s="256"/>
      <c r="D25" s="256"/>
      <c r="E25" s="279">
        <v>0</v>
      </c>
      <c r="F25" s="257">
        <v>0</v>
      </c>
      <c r="G25" s="257">
        <v>0</v>
      </c>
      <c r="H25" s="258">
        <f t="shared" si="8"/>
        <v>0</v>
      </c>
      <c r="I25" s="257"/>
      <c r="J25" s="257"/>
      <c r="K25" s="257"/>
      <c r="L25" s="258">
        <f t="shared" si="9"/>
        <v>0</v>
      </c>
      <c r="M25" s="257"/>
      <c r="N25" s="257"/>
      <c r="O25" s="257"/>
      <c r="P25" s="258">
        <f t="shared" si="10"/>
        <v>0</v>
      </c>
      <c r="Q25" s="257"/>
      <c r="R25" s="257"/>
      <c r="S25" s="257"/>
      <c r="T25" s="258">
        <f t="shared" si="11"/>
        <v>0</v>
      </c>
      <c r="V25" s="29">
        <f t="shared" si="14"/>
        <v>0</v>
      </c>
      <c r="X25"/>
      <c r="Y25" s="16"/>
      <c r="Z25" s="16"/>
      <c r="AA25" s="285"/>
      <c r="AB25" s="16"/>
      <c r="AC25" s="6"/>
      <c r="AD25" s="6"/>
      <c r="AE25" s="2"/>
      <c r="AF25" s="6"/>
      <c r="AG25" s="6"/>
    </row>
    <row r="26" ht="19.5" customHeight="1" spans="1:33">
      <c r="A26" s="256">
        <v>8</v>
      </c>
      <c r="B26" s="266" t="s">
        <v>516</v>
      </c>
      <c r="C26" s="256" t="s">
        <v>305</v>
      </c>
      <c r="D26" s="256" t="s">
        <v>324</v>
      </c>
      <c r="E26" s="279">
        <v>0</v>
      </c>
      <c r="F26" s="257">
        <v>0</v>
      </c>
      <c r="G26" s="257">
        <v>0</v>
      </c>
      <c r="H26" s="258">
        <f t="shared" si="8"/>
        <v>0</v>
      </c>
      <c r="I26" s="257"/>
      <c r="J26" s="257"/>
      <c r="K26" s="257"/>
      <c r="L26" s="258">
        <f t="shared" si="9"/>
        <v>0</v>
      </c>
      <c r="M26" s="257"/>
      <c r="N26" s="257"/>
      <c r="O26" s="257"/>
      <c r="P26" s="258">
        <f t="shared" si="10"/>
        <v>0</v>
      </c>
      <c r="Q26" s="257"/>
      <c r="R26" s="257"/>
      <c r="S26" s="257"/>
      <c r="T26" s="258">
        <f t="shared" si="11"/>
        <v>0</v>
      </c>
      <c r="V26" s="29">
        <f t="shared" si="14"/>
        <v>0</v>
      </c>
      <c r="X26"/>
      <c r="Y26" s="2"/>
      <c r="AC26" s="6"/>
      <c r="AD26" s="6"/>
      <c r="AE26" s="2"/>
      <c r="AF26" s="6"/>
      <c r="AG26" s="6"/>
    </row>
    <row r="27" ht="19.5" customHeight="1" spans="1:33">
      <c r="A27" s="256">
        <v>9</v>
      </c>
      <c r="B27" s="290" t="s">
        <v>329</v>
      </c>
      <c r="C27" s="256" t="s">
        <v>305</v>
      </c>
      <c r="D27" s="256" t="s">
        <v>324</v>
      </c>
      <c r="E27" s="279">
        <v>790</v>
      </c>
      <c r="F27" s="257">
        <v>0</v>
      </c>
      <c r="G27" s="257">
        <v>0</v>
      </c>
      <c r="H27" s="258">
        <f t="shared" si="8"/>
        <v>790</v>
      </c>
      <c r="I27" s="257"/>
      <c r="J27" s="257"/>
      <c r="K27" s="257"/>
      <c r="L27" s="258">
        <f t="shared" si="9"/>
        <v>0</v>
      </c>
      <c r="M27" s="257"/>
      <c r="N27" s="257"/>
      <c r="O27" s="257"/>
      <c r="P27" s="258">
        <f t="shared" si="10"/>
        <v>0</v>
      </c>
      <c r="Q27" s="257"/>
      <c r="R27" s="257"/>
      <c r="S27" s="257"/>
      <c r="T27" s="258">
        <f t="shared" si="11"/>
        <v>0</v>
      </c>
      <c r="V27" s="29">
        <f t="shared" si="14"/>
        <v>790</v>
      </c>
      <c r="X27" s="29"/>
      <c r="Y27" s="2"/>
      <c r="Z27" s="2"/>
      <c r="AA27" s="2"/>
      <c r="AB27" s="2"/>
      <c r="AC27" s="2"/>
      <c r="AD27" s="2"/>
      <c r="AE27" s="6"/>
      <c r="AF27" s="6"/>
      <c r="AG27" s="6"/>
    </row>
    <row r="28" ht="19.5" customHeight="1" spans="1:33">
      <c r="A28" s="256">
        <v>10</v>
      </c>
      <c r="B28" s="266" t="s">
        <v>519</v>
      </c>
      <c r="C28" s="256"/>
      <c r="D28" s="256"/>
      <c r="E28" s="279">
        <v>0</v>
      </c>
      <c r="F28" s="257">
        <v>0</v>
      </c>
      <c r="G28" s="257">
        <v>0</v>
      </c>
      <c r="H28" s="258">
        <f t="shared" si="8"/>
        <v>0</v>
      </c>
      <c r="I28" s="257"/>
      <c r="J28" s="257"/>
      <c r="K28" s="257"/>
      <c r="L28" s="258">
        <f t="shared" si="9"/>
        <v>0</v>
      </c>
      <c r="M28" s="257"/>
      <c r="N28" s="257"/>
      <c r="O28" s="257"/>
      <c r="P28" s="258">
        <f t="shared" si="10"/>
        <v>0</v>
      </c>
      <c r="Q28" s="257"/>
      <c r="R28" s="257"/>
      <c r="S28" s="257"/>
      <c r="T28" s="258">
        <f t="shared" si="11"/>
        <v>0</v>
      </c>
      <c r="V28" s="29">
        <f t="shared" si="14"/>
        <v>0</v>
      </c>
      <c r="X28" s="29"/>
      <c r="Y28" s="2"/>
      <c r="Z28" s="2"/>
      <c r="AA28" s="2"/>
      <c r="AB28" s="2"/>
      <c r="AC28" s="2"/>
      <c r="AD28" s="2"/>
      <c r="AE28" s="6"/>
      <c r="AF28" s="6"/>
      <c r="AG28" s="6"/>
    </row>
    <row r="29" ht="19.5" customHeight="1" spans="1:33">
      <c r="A29" s="256">
        <v>11</v>
      </c>
      <c r="B29" s="256" t="s">
        <v>520</v>
      </c>
      <c r="C29" s="256" t="s">
        <v>305</v>
      </c>
      <c r="D29" s="256" t="s">
        <v>324</v>
      </c>
      <c r="E29" s="279">
        <v>0</v>
      </c>
      <c r="F29" s="257">
        <v>0</v>
      </c>
      <c r="G29" s="257">
        <v>0</v>
      </c>
      <c r="H29" s="258">
        <f t="shared" si="8"/>
        <v>0</v>
      </c>
      <c r="I29" s="257"/>
      <c r="J29" s="257"/>
      <c r="K29" s="257"/>
      <c r="L29" s="258">
        <f t="shared" si="9"/>
        <v>0</v>
      </c>
      <c r="M29" s="257"/>
      <c r="N29" s="257"/>
      <c r="O29" s="257"/>
      <c r="P29" s="258">
        <f t="shared" si="10"/>
        <v>0</v>
      </c>
      <c r="Q29" s="257"/>
      <c r="R29" s="257"/>
      <c r="S29" s="257"/>
      <c r="T29" s="258">
        <f t="shared" si="11"/>
        <v>0</v>
      </c>
      <c r="V29" s="29">
        <f t="shared" si="14"/>
        <v>0</v>
      </c>
      <c r="X29" s="29"/>
      <c r="Y29" s="16"/>
      <c r="Z29" s="2"/>
      <c r="AA29" s="2"/>
      <c r="AB29" s="2"/>
      <c r="AC29" s="2"/>
      <c r="AD29" s="2"/>
      <c r="AE29" s="6"/>
      <c r="AF29" s="6"/>
      <c r="AG29" s="6"/>
    </row>
    <row r="30" ht="19.5" customHeight="1" spans="1:33">
      <c r="A30" s="256">
        <v>12</v>
      </c>
      <c r="B30" s="256" t="s">
        <v>521</v>
      </c>
      <c r="C30" s="256"/>
      <c r="D30" s="256"/>
      <c r="E30" s="279">
        <v>0</v>
      </c>
      <c r="F30" s="257">
        <v>0</v>
      </c>
      <c r="G30" s="257">
        <v>0</v>
      </c>
      <c r="H30" s="258">
        <f t="shared" si="8"/>
        <v>0</v>
      </c>
      <c r="I30" s="257"/>
      <c r="J30" s="257"/>
      <c r="K30" s="257"/>
      <c r="L30" s="258">
        <f t="shared" si="9"/>
        <v>0</v>
      </c>
      <c r="M30" s="257"/>
      <c r="N30" s="257"/>
      <c r="O30" s="257"/>
      <c r="P30" s="258">
        <f t="shared" si="10"/>
        <v>0</v>
      </c>
      <c r="Q30" s="257"/>
      <c r="R30" s="257"/>
      <c r="S30" s="257"/>
      <c r="T30" s="258">
        <f t="shared" si="11"/>
        <v>0</v>
      </c>
      <c r="V30" s="29">
        <f t="shared" si="14"/>
        <v>0</v>
      </c>
      <c r="X30" s="29"/>
      <c r="Z30" s="2"/>
      <c r="AA30" s="2"/>
      <c r="AB30" s="2"/>
      <c r="AC30" s="2"/>
      <c r="AD30" s="2"/>
      <c r="AE30" s="6"/>
      <c r="AF30" s="6"/>
      <c r="AG30" s="6"/>
    </row>
    <row r="31" ht="19.5" customHeight="1" spans="1:31">
      <c r="A31" s="256">
        <v>13</v>
      </c>
      <c r="B31" s="260" t="s">
        <v>522</v>
      </c>
      <c r="C31" s="256"/>
      <c r="D31" s="256"/>
      <c r="E31" s="279">
        <v>0</v>
      </c>
      <c r="F31" s="257">
        <v>0</v>
      </c>
      <c r="G31" s="257">
        <v>0</v>
      </c>
      <c r="H31" s="258">
        <f t="shared" si="8"/>
        <v>0</v>
      </c>
      <c r="I31" s="257"/>
      <c r="J31" s="257"/>
      <c r="K31" s="257"/>
      <c r="L31" s="258">
        <f t="shared" si="9"/>
        <v>0</v>
      </c>
      <c r="M31" s="257"/>
      <c r="N31" s="257"/>
      <c r="O31" s="257"/>
      <c r="P31" s="258">
        <f t="shared" si="10"/>
        <v>0</v>
      </c>
      <c r="Q31" s="257"/>
      <c r="R31" s="257"/>
      <c r="S31" s="257"/>
      <c r="T31" s="258">
        <f t="shared" si="11"/>
        <v>0</v>
      </c>
      <c r="V31" s="29">
        <f t="shared" si="14"/>
        <v>0</v>
      </c>
      <c r="X31" s="29" t="s">
        <v>115</v>
      </c>
      <c r="Y31" s="5" t="s">
        <v>353</v>
      </c>
      <c r="Z31" s="5">
        <v>118150.4</v>
      </c>
      <c r="AA31" s="5">
        <f>VLOOKUP(Y:Y,[6]Sheet2!$B$1:$C$10,2,0)</f>
        <v>8000</v>
      </c>
      <c r="AB31" s="5">
        <f t="shared" ref="AB31:AB34" si="15">Z31-AA31</f>
        <v>110150.4</v>
      </c>
      <c r="AC31" s="20">
        <v>110150.4</v>
      </c>
      <c r="AD31" s="2">
        <f t="shared" ref="AD31:AD34" si="16">AB31-AC31</f>
        <v>0</v>
      </c>
      <c r="AE31" s="6"/>
    </row>
    <row r="32" ht="19.5" customHeight="1" spans="1:31">
      <c r="A32" s="256">
        <v>14</v>
      </c>
      <c r="B32" s="256" t="s">
        <v>523</v>
      </c>
      <c r="C32" s="256" t="s">
        <v>305</v>
      </c>
      <c r="D32" s="256" t="s">
        <v>331</v>
      </c>
      <c r="E32" s="279">
        <v>0</v>
      </c>
      <c r="F32" s="257">
        <v>0</v>
      </c>
      <c r="G32" s="257">
        <v>0</v>
      </c>
      <c r="H32" s="258">
        <f t="shared" si="8"/>
        <v>0</v>
      </c>
      <c r="I32" s="257"/>
      <c r="J32" s="257"/>
      <c r="K32" s="257"/>
      <c r="L32" s="258">
        <f t="shared" si="9"/>
        <v>0</v>
      </c>
      <c r="M32" s="257"/>
      <c r="N32" s="257"/>
      <c r="O32" s="257"/>
      <c r="P32" s="258">
        <f t="shared" si="10"/>
        <v>0</v>
      </c>
      <c r="Q32" s="257"/>
      <c r="R32" s="257"/>
      <c r="S32" s="257"/>
      <c r="T32" s="258">
        <f t="shared" si="11"/>
        <v>0</v>
      </c>
      <c r="V32" s="29">
        <f t="shared" si="14"/>
        <v>0</v>
      </c>
      <c r="X32" s="29"/>
      <c r="Y32" s="5" t="s">
        <v>347</v>
      </c>
      <c r="Z32" s="5">
        <v>569962</v>
      </c>
      <c r="AA32" s="5">
        <f>VLOOKUP(Y:Y,[6]Sheet2!$B$1:$C$10,2,0)</f>
        <v>14881</v>
      </c>
      <c r="AB32" s="5">
        <f t="shared" si="15"/>
        <v>555081</v>
      </c>
      <c r="AC32" s="20">
        <v>555081</v>
      </c>
      <c r="AD32" s="2">
        <f t="shared" si="16"/>
        <v>0</v>
      </c>
      <c r="AE32" s="6"/>
    </row>
    <row r="33" ht="19.5" customHeight="1" spans="1:30">
      <c r="A33" s="256">
        <v>15</v>
      </c>
      <c r="B33" s="256" t="s">
        <v>525</v>
      </c>
      <c r="C33" s="256"/>
      <c r="D33" s="256"/>
      <c r="E33" s="279">
        <v>0</v>
      </c>
      <c r="F33" s="257">
        <v>0</v>
      </c>
      <c r="G33" s="257">
        <v>0</v>
      </c>
      <c r="H33" s="258">
        <f t="shared" si="8"/>
        <v>0</v>
      </c>
      <c r="I33" s="257"/>
      <c r="J33" s="257"/>
      <c r="K33" s="257"/>
      <c r="L33" s="258">
        <f t="shared" si="9"/>
        <v>0</v>
      </c>
      <c r="M33" s="257"/>
      <c r="N33" s="257"/>
      <c r="O33" s="257"/>
      <c r="P33" s="258">
        <f t="shared" si="10"/>
        <v>0</v>
      </c>
      <c r="Q33" s="257"/>
      <c r="R33" s="257"/>
      <c r="S33" s="257"/>
      <c r="T33" s="258">
        <f t="shared" si="11"/>
        <v>0</v>
      </c>
      <c r="V33" s="29">
        <f t="shared" si="14"/>
        <v>0</v>
      </c>
      <c r="X33" s="29"/>
      <c r="Y33" s="5" t="s">
        <v>340</v>
      </c>
      <c r="Z33" s="5">
        <v>40938</v>
      </c>
      <c r="AA33" s="5"/>
      <c r="AB33" s="5">
        <f t="shared" si="15"/>
        <v>40938</v>
      </c>
      <c r="AC33" s="20">
        <v>40938</v>
      </c>
      <c r="AD33" s="2">
        <f t="shared" si="16"/>
        <v>0</v>
      </c>
    </row>
    <row r="34" ht="19.5" customHeight="1" spans="1:30">
      <c r="A34" s="256">
        <v>16</v>
      </c>
      <c r="B34" s="256" t="s">
        <v>526</v>
      </c>
      <c r="C34" s="256"/>
      <c r="D34" s="256"/>
      <c r="E34" s="279">
        <v>0</v>
      </c>
      <c r="F34" s="257">
        <v>0</v>
      </c>
      <c r="G34" s="257">
        <v>0</v>
      </c>
      <c r="H34" s="258">
        <f t="shared" si="8"/>
        <v>0</v>
      </c>
      <c r="I34" s="257"/>
      <c r="J34" s="257"/>
      <c r="K34" s="257"/>
      <c r="L34" s="258">
        <f t="shared" si="9"/>
        <v>0</v>
      </c>
      <c r="M34" s="257"/>
      <c r="N34" s="257"/>
      <c r="O34" s="257"/>
      <c r="P34" s="258">
        <f t="shared" si="10"/>
        <v>0</v>
      </c>
      <c r="Q34" s="257"/>
      <c r="R34" s="257"/>
      <c r="S34" s="257"/>
      <c r="T34" s="258">
        <f t="shared" si="11"/>
        <v>0</v>
      </c>
      <c r="V34" s="29">
        <f t="shared" si="14"/>
        <v>0</v>
      </c>
      <c r="X34" s="29"/>
      <c r="Y34" s="5" t="s">
        <v>357</v>
      </c>
      <c r="Z34" s="5">
        <v>138466</v>
      </c>
      <c r="AA34" s="5"/>
      <c r="AB34" s="5">
        <f t="shared" si="15"/>
        <v>138466</v>
      </c>
      <c r="AC34" s="20">
        <v>138466</v>
      </c>
      <c r="AD34" s="2">
        <f t="shared" si="16"/>
        <v>0</v>
      </c>
    </row>
    <row r="35" ht="19.5" customHeight="1" spans="1:30">
      <c r="A35" s="256">
        <v>17</v>
      </c>
      <c r="B35" s="256" t="s">
        <v>333</v>
      </c>
      <c r="C35" s="256" t="s">
        <v>310</v>
      </c>
      <c r="D35" s="256" t="s">
        <v>324</v>
      </c>
      <c r="E35" s="279"/>
      <c r="F35" s="257"/>
      <c r="G35" s="257"/>
      <c r="H35" s="258"/>
      <c r="I35" s="257"/>
      <c r="J35" s="257"/>
      <c r="K35" s="257"/>
      <c r="L35" s="258"/>
      <c r="M35" s="257"/>
      <c r="N35" s="257"/>
      <c r="O35" s="257"/>
      <c r="P35" s="258"/>
      <c r="Q35" s="257"/>
      <c r="R35" s="257"/>
      <c r="S35" s="257"/>
      <c r="T35" s="258"/>
      <c r="V35" s="29"/>
      <c r="X35" s="29"/>
      <c r="Y35" s="5"/>
      <c r="Z35" s="5"/>
      <c r="AA35" s="5"/>
      <c r="AB35" s="5"/>
      <c r="AD35" s="2"/>
    </row>
    <row r="36" ht="19.5" customHeight="1" spans="1:30">
      <c r="A36" s="256">
        <v>18</v>
      </c>
      <c r="B36" s="266" t="s">
        <v>528</v>
      </c>
      <c r="C36" s="256"/>
      <c r="D36" s="256"/>
      <c r="E36" s="279">
        <v>0</v>
      </c>
      <c r="F36" s="257">
        <v>0</v>
      </c>
      <c r="G36" s="257">
        <v>0</v>
      </c>
      <c r="H36" s="258">
        <f t="shared" ref="H36:H51" si="17">SUM(E36:G36)</f>
        <v>0</v>
      </c>
      <c r="I36" s="257"/>
      <c r="J36" s="257"/>
      <c r="K36" s="257"/>
      <c r="L36" s="258">
        <f t="shared" ref="L36:L51" si="18">SUM(I36:K36)</f>
        <v>0</v>
      </c>
      <c r="M36" s="257"/>
      <c r="N36" s="257"/>
      <c r="O36" s="257"/>
      <c r="P36" s="258">
        <f t="shared" ref="P36:P51" si="19">SUM(M36:O36)</f>
        <v>0</v>
      </c>
      <c r="Q36" s="257"/>
      <c r="R36" s="257"/>
      <c r="S36" s="257"/>
      <c r="T36" s="258">
        <f t="shared" ref="T36:T51" si="20">SUM(Q36:S36)</f>
        <v>0</v>
      </c>
      <c r="V36" s="29">
        <f t="shared" ref="V36:V51" si="21">S36+R36+Q36+O36+N36+M36+K36+J36+I36+G36+F36+E36</f>
        <v>0</v>
      </c>
      <c r="X36" s="29"/>
      <c r="Y36" s="5" t="s">
        <v>351</v>
      </c>
      <c r="Z36" s="5">
        <v>110516.9</v>
      </c>
      <c r="AA36" s="5"/>
      <c r="AB36" s="5">
        <f t="shared" ref="AB36:AB51" si="22">Z36-AA36</f>
        <v>110516.9</v>
      </c>
      <c r="AC36" s="20">
        <v>110516.9</v>
      </c>
      <c r="AD36" s="2">
        <f t="shared" ref="AD36:AD51" si="23">AB36-AC36</f>
        <v>0</v>
      </c>
    </row>
    <row r="37" ht="19.5" customHeight="1" spans="1:30">
      <c r="A37" s="256"/>
      <c r="B37" s="289" t="s">
        <v>11</v>
      </c>
      <c r="C37" s="289"/>
      <c r="D37" s="289"/>
      <c r="E37" s="276">
        <f t="shared" ref="E37:T37" si="24">SUM(E19:E36)</f>
        <v>276790</v>
      </c>
      <c r="F37" s="276">
        <f t="shared" si="24"/>
        <v>256700</v>
      </c>
      <c r="G37" s="276">
        <f t="shared" si="24"/>
        <v>456820</v>
      </c>
      <c r="H37" s="276">
        <f t="shared" si="24"/>
        <v>990310</v>
      </c>
      <c r="I37" s="276">
        <f t="shared" si="24"/>
        <v>0</v>
      </c>
      <c r="J37" s="276">
        <f t="shared" si="24"/>
        <v>0</v>
      </c>
      <c r="K37" s="276">
        <f t="shared" si="24"/>
        <v>0</v>
      </c>
      <c r="L37" s="276">
        <f t="shared" si="24"/>
        <v>0</v>
      </c>
      <c r="M37" s="276">
        <f t="shared" si="24"/>
        <v>0</v>
      </c>
      <c r="N37" s="276">
        <f t="shared" si="24"/>
        <v>0</v>
      </c>
      <c r="O37" s="276">
        <f t="shared" si="24"/>
        <v>0</v>
      </c>
      <c r="P37" s="276">
        <f t="shared" si="24"/>
        <v>0</v>
      </c>
      <c r="Q37" s="276">
        <f t="shared" si="24"/>
        <v>0</v>
      </c>
      <c r="R37" s="276">
        <f t="shared" si="24"/>
        <v>0</v>
      </c>
      <c r="S37" s="276">
        <f t="shared" si="24"/>
        <v>0</v>
      </c>
      <c r="T37" s="276">
        <f t="shared" si="24"/>
        <v>0</v>
      </c>
      <c r="V37" s="292">
        <f t="shared" si="21"/>
        <v>990310</v>
      </c>
      <c r="X37" s="29"/>
      <c r="Y37" s="5" t="s">
        <v>342</v>
      </c>
      <c r="Z37" s="5">
        <v>285400</v>
      </c>
      <c r="AA37" s="5"/>
      <c r="AB37" s="5">
        <f t="shared" si="22"/>
        <v>285400</v>
      </c>
      <c r="AC37" s="20">
        <v>285400</v>
      </c>
      <c r="AD37" s="2">
        <f t="shared" si="23"/>
        <v>0</v>
      </c>
    </row>
    <row r="38" ht="19.5" customHeight="1" spans="1:30">
      <c r="A38" s="251" t="s">
        <v>529</v>
      </c>
      <c r="B38" s="251"/>
      <c r="C38" s="251"/>
      <c r="D38" s="251"/>
      <c r="E38" s="288"/>
      <c r="F38" s="265"/>
      <c r="G38" s="265"/>
      <c r="H38" s="265"/>
      <c r="I38" s="265"/>
      <c r="J38" s="265"/>
      <c r="K38" s="265"/>
      <c r="L38" s="265"/>
      <c r="M38" s="265"/>
      <c r="N38" s="265"/>
      <c r="O38" s="265"/>
      <c r="P38" s="265"/>
      <c r="Q38" s="265"/>
      <c r="R38" s="265"/>
      <c r="S38" s="265"/>
      <c r="T38" s="265"/>
      <c r="V38" s="29"/>
      <c r="X38" s="29"/>
      <c r="Y38" s="5" t="s">
        <v>333</v>
      </c>
      <c r="Z38" s="5">
        <v>22000</v>
      </c>
      <c r="AA38" s="5"/>
      <c r="AB38" s="5">
        <f t="shared" si="22"/>
        <v>22000</v>
      </c>
      <c r="AC38" s="20">
        <v>22000</v>
      </c>
      <c r="AD38" s="2">
        <f t="shared" si="23"/>
        <v>0</v>
      </c>
    </row>
    <row r="39" ht="19.5" customHeight="1" spans="1:30">
      <c r="A39" s="256">
        <v>1</v>
      </c>
      <c r="B39" s="266" t="s">
        <v>336</v>
      </c>
      <c r="C39" s="256" t="s">
        <v>326</v>
      </c>
      <c r="D39" s="256" t="s">
        <v>337</v>
      </c>
      <c r="E39" s="279">
        <v>101900</v>
      </c>
      <c r="F39" s="257">
        <v>160000</v>
      </c>
      <c r="G39" s="257">
        <v>281000</v>
      </c>
      <c r="H39" s="258">
        <f t="shared" si="17"/>
        <v>542900</v>
      </c>
      <c r="I39" s="257"/>
      <c r="J39" s="257"/>
      <c r="K39" s="257"/>
      <c r="L39" s="258">
        <f t="shared" si="18"/>
        <v>0</v>
      </c>
      <c r="M39" s="257"/>
      <c r="N39" s="257"/>
      <c r="O39" s="257"/>
      <c r="P39" s="258">
        <f t="shared" si="19"/>
        <v>0</v>
      </c>
      <c r="Q39" s="257"/>
      <c r="R39" s="257"/>
      <c r="S39" s="257"/>
      <c r="T39" s="258">
        <f t="shared" si="20"/>
        <v>0</v>
      </c>
      <c r="V39" s="29">
        <f t="shared" si="21"/>
        <v>542900</v>
      </c>
      <c r="X39" s="29"/>
      <c r="Y39" s="5" t="s">
        <v>338</v>
      </c>
      <c r="Z39" s="5">
        <v>20000</v>
      </c>
      <c r="AA39" s="5"/>
      <c r="AB39" s="5">
        <f t="shared" si="22"/>
        <v>20000</v>
      </c>
      <c r="AC39" s="20">
        <v>20000</v>
      </c>
      <c r="AD39" s="2">
        <f t="shared" si="23"/>
        <v>0</v>
      </c>
    </row>
    <row r="40" ht="19.5" customHeight="1" spans="1:30">
      <c r="A40" s="256">
        <v>2</v>
      </c>
      <c r="B40" s="266" t="s">
        <v>338</v>
      </c>
      <c r="C40" s="256" t="s">
        <v>326</v>
      </c>
      <c r="D40" s="256" t="s">
        <v>339</v>
      </c>
      <c r="E40" s="279">
        <v>10000</v>
      </c>
      <c r="F40" s="257">
        <v>20000</v>
      </c>
      <c r="G40" s="257">
        <v>10000</v>
      </c>
      <c r="H40" s="258">
        <f t="shared" si="17"/>
        <v>40000</v>
      </c>
      <c r="I40" s="257"/>
      <c r="J40" s="257"/>
      <c r="K40" s="257"/>
      <c r="L40" s="258">
        <f t="shared" si="18"/>
        <v>0</v>
      </c>
      <c r="M40" s="257"/>
      <c r="N40" s="257"/>
      <c r="O40" s="257"/>
      <c r="P40" s="258">
        <f t="shared" si="19"/>
        <v>0</v>
      </c>
      <c r="Q40" s="257"/>
      <c r="R40" s="257"/>
      <c r="S40" s="257"/>
      <c r="T40" s="258">
        <f t="shared" si="20"/>
        <v>0</v>
      </c>
      <c r="V40" s="29">
        <f t="shared" si="21"/>
        <v>40000</v>
      </c>
      <c r="X40" s="29"/>
      <c r="Y40" s="5" t="s">
        <v>373</v>
      </c>
      <c r="Z40" s="5">
        <f>160439+55924.9+14040+180+250</f>
        <v>230833.9</v>
      </c>
      <c r="AA40" s="5">
        <f>VLOOKUP(Y:Y,[6]Sheet2!$B$1:$C$10,2,0)</f>
        <v>1249.9</v>
      </c>
      <c r="AB40" s="5">
        <f t="shared" si="22"/>
        <v>229584</v>
      </c>
      <c r="AC40" s="20">
        <v>229584</v>
      </c>
      <c r="AD40" s="2">
        <f t="shared" si="23"/>
        <v>0</v>
      </c>
    </row>
    <row r="41" ht="19.5" customHeight="1" spans="1:30">
      <c r="A41" s="256">
        <v>3</v>
      </c>
      <c r="B41" s="266" t="s">
        <v>340</v>
      </c>
      <c r="C41" s="256" t="s">
        <v>326</v>
      </c>
      <c r="D41" s="256" t="s">
        <v>341</v>
      </c>
      <c r="E41" s="279">
        <v>0</v>
      </c>
      <c r="F41" s="257">
        <v>40938</v>
      </c>
      <c r="G41" s="257">
        <v>17009</v>
      </c>
      <c r="H41" s="258">
        <f t="shared" si="17"/>
        <v>57947</v>
      </c>
      <c r="I41" s="257"/>
      <c r="J41" s="257"/>
      <c r="K41" s="257"/>
      <c r="L41" s="258">
        <f t="shared" si="18"/>
        <v>0</v>
      </c>
      <c r="M41" s="257"/>
      <c r="N41" s="257"/>
      <c r="O41" s="257"/>
      <c r="P41" s="258">
        <f t="shared" si="19"/>
        <v>0</v>
      </c>
      <c r="Q41" s="257"/>
      <c r="R41" s="257"/>
      <c r="S41" s="257"/>
      <c r="T41" s="258">
        <f t="shared" si="20"/>
        <v>0</v>
      </c>
      <c r="V41" s="29">
        <f t="shared" si="21"/>
        <v>57947</v>
      </c>
      <c r="X41" s="29"/>
      <c r="Y41" s="5" t="s">
        <v>325</v>
      </c>
      <c r="Z41" s="5">
        <v>156700</v>
      </c>
      <c r="AA41" s="5"/>
      <c r="AB41" s="5">
        <f t="shared" si="22"/>
        <v>156700</v>
      </c>
      <c r="AC41" s="20">
        <v>156700</v>
      </c>
      <c r="AD41" s="2">
        <f t="shared" si="23"/>
        <v>0</v>
      </c>
    </row>
    <row r="42" ht="19.5" customHeight="1" spans="1:30">
      <c r="A42" s="256">
        <v>4</v>
      </c>
      <c r="B42" s="266" t="s">
        <v>530</v>
      </c>
      <c r="C42" s="256" t="s">
        <v>305</v>
      </c>
      <c r="D42" s="256" t="s">
        <v>341</v>
      </c>
      <c r="E42" s="279">
        <v>0</v>
      </c>
      <c r="F42" s="257">
        <v>0</v>
      </c>
      <c r="G42" s="257">
        <v>0</v>
      </c>
      <c r="H42" s="258">
        <f t="shared" si="17"/>
        <v>0</v>
      </c>
      <c r="I42" s="257"/>
      <c r="J42" s="257"/>
      <c r="K42" s="257"/>
      <c r="L42" s="258">
        <f t="shared" si="18"/>
        <v>0</v>
      </c>
      <c r="M42" s="257"/>
      <c r="N42" s="257"/>
      <c r="O42" s="257"/>
      <c r="P42" s="258">
        <f t="shared" si="19"/>
        <v>0</v>
      </c>
      <c r="Q42" s="257"/>
      <c r="R42" s="257"/>
      <c r="S42" s="257"/>
      <c r="T42" s="258">
        <f t="shared" si="20"/>
        <v>0</v>
      </c>
      <c r="V42" s="29">
        <f t="shared" si="21"/>
        <v>0</v>
      </c>
      <c r="X42" s="29"/>
      <c r="Y42" s="5" t="s">
        <v>355</v>
      </c>
      <c r="Z42" s="5">
        <v>123964</v>
      </c>
      <c r="AA42" s="5">
        <f>VLOOKUP(Y:Y,[6]Sheet2!$B$1:$C$10,2,0)</f>
        <v>12627</v>
      </c>
      <c r="AB42" s="5">
        <f t="shared" si="22"/>
        <v>111337</v>
      </c>
      <c r="AC42" s="20">
        <v>111337</v>
      </c>
      <c r="AD42" s="2">
        <f t="shared" si="23"/>
        <v>0</v>
      </c>
    </row>
    <row r="43" ht="19.5" customHeight="1" spans="1:30">
      <c r="A43" s="256">
        <v>5</v>
      </c>
      <c r="B43" s="266" t="s">
        <v>531</v>
      </c>
      <c r="C43" s="256"/>
      <c r="D43" s="256"/>
      <c r="E43" s="279">
        <v>0</v>
      </c>
      <c r="F43" s="257">
        <v>0</v>
      </c>
      <c r="G43" s="257">
        <v>0</v>
      </c>
      <c r="H43" s="258">
        <f t="shared" si="17"/>
        <v>0</v>
      </c>
      <c r="I43" s="257"/>
      <c r="J43" s="257"/>
      <c r="K43" s="257"/>
      <c r="L43" s="258">
        <f t="shared" si="18"/>
        <v>0</v>
      </c>
      <c r="M43" s="257"/>
      <c r="N43" s="257"/>
      <c r="O43" s="257"/>
      <c r="P43" s="258">
        <f t="shared" si="19"/>
        <v>0</v>
      </c>
      <c r="Q43" s="257"/>
      <c r="R43" s="257"/>
      <c r="S43" s="257"/>
      <c r="T43" s="258">
        <f t="shared" si="20"/>
        <v>0</v>
      </c>
      <c r="V43" s="29">
        <f t="shared" si="21"/>
        <v>0</v>
      </c>
      <c r="X43" s="29"/>
      <c r="Y43" s="5" t="s">
        <v>315</v>
      </c>
      <c r="Z43" s="5">
        <v>10000</v>
      </c>
      <c r="AA43" s="5"/>
      <c r="AB43" s="5">
        <f t="shared" si="22"/>
        <v>10000</v>
      </c>
      <c r="AC43" s="20">
        <v>10000</v>
      </c>
      <c r="AD43" s="2">
        <f t="shared" si="23"/>
        <v>0</v>
      </c>
    </row>
    <row r="44" ht="19.5" customHeight="1" spans="1:30">
      <c r="A44" s="256">
        <v>6</v>
      </c>
      <c r="B44" s="266" t="s">
        <v>532</v>
      </c>
      <c r="C44" s="256" t="s">
        <v>305</v>
      </c>
      <c r="D44" s="256" t="s">
        <v>343</v>
      </c>
      <c r="E44" s="279">
        <v>0</v>
      </c>
      <c r="F44" s="257">
        <v>0</v>
      </c>
      <c r="G44" s="257">
        <v>0</v>
      </c>
      <c r="H44" s="258">
        <f t="shared" si="17"/>
        <v>0</v>
      </c>
      <c r="I44" s="257"/>
      <c r="J44" s="257"/>
      <c r="K44" s="257"/>
      <c r="L44" s="258">
        <f t="shared" si="18"/>
        <v>0</v>
      </c>
      <c r="M44" s="257"/>
      <c r="N44" s="257"/>
      <c r="O44" s="257"/>
      <c r="P44" s="258">
        <f t="shared" si="19"/>
        <v>0</v>
      </c>
      <c r="Q44" s="257"/>
      <c r="R44" s="257"/>
      <c r="S44" s="257"/>
      <c r="T44" s="258">
        <f t="shared" si="20"/>
        <v>0</v>
      </c>
      <c r="V44" s="29">
        <f t="shared" si="21"/>
        <v>0</v>
      </c>
      <c r="X44" s="29"/>
      <c r="Y44" s="5" t="s">
        <v>323</v>
      </c>
      <c r="Z44" s="5">
        <v>100000</v>
      </c>
      <c r="AA44" s="5"/>
      <c r="AB44" s="5">
        <f t="shared" si="22"/>
        <v>100000</v>
      </c>
      <c r="AC44" s="20">
        <v>100000</v>
      </c>
      <c r="AD44" s="2">
        <f t="shared" si="23"/>
        <v>0</v>
      </c>
    </row>
    <row r="45" ht="19.5" customHeight="1" spans="1:30">
      <c r="A45" s="256">
        <v>7</v>
      </c>
      <c r="B45" s="266" t="s">
        <v>342</v>
      </c>
      <c r="C45" s="256" t="s">
        <v>326</v>
      </c>
      <c r="D45" s="256" t="s">
        <v>343</v>
      </c>
      <c r="E45" s="279">
        <v>149000</v>
      </c>
      <c r="F45" s="257">
        <v>285400</v>
      </c>
      <c r="G45" s="257">
        <v>227000</v>
      </c>
      <c r="H45" s="258">
        <f t="shared" si="17"/>
        <v>661400</v>
      </c>
      <c r="I45" s="257"/>
      <c r="J45" s="257"/>
      <c r="K45" s="257"/>
      <c r="L45" s="258">
        <f t="shared" si="18"/>
        <v>0</v>
      </c>
      <c r="M45" s="257"/>
      <c r="N45" s="257"/>
      <c r="O45" s="257"/>
      <c r="P45" s="258">
        <f t="shared" si="19"/>
        <v>0</v>
      </c>
      <c r="Q45" s="257"/>
      <c r="R45" s="257"/>
      <c r="S45" s="257"/>
      <c r="T45" s="258">
        <f t="shared" si="20"/>
        <v>0</v>
      </c>
      <c r="V45" s="29">
        <f t="shared" si="21"/>
        <v>661400</v>
      </c>
      <c r="X45" s="29"/>
      <c r="Y45" s="5" t="s">
        <v>350</v>
      </c>
      <c r="Z45" s="5">
        <v>180873.1</v>
      </c>
      <c r="AA45" s="5">
        <f>VLOOKUP(Y:Y,[6]Sheet2!$B$1:$C$10,2,0)</f>
        <v>5901</v>
      </c>
      <c r="AB45" s="5">
        <f t="shared" si="22"/>
        <v>174972.1</v>
      </c>
      <c r="AC45" s="20">
        <v>174972.1</v>
      </c>
      <c r="AD45" s="2">
        <f t="shared" si="23"/>
        <v>0</v>
      </c>
    </row>
    <row r="46" ht="19.5" customHeight="1" spans="1:30">
      <c r="A46" s="256">
        <v>8</v>
      </c>
      <c r="B46" s="266" t="s">
        <v>533</v>
      </c>
      <c r="C46" s="256"/>
      <c r="D46" s="256"/>
      <c r="E46" s="279">
        <v>0</v>
      </c>
      <c r="F46" s="257">
        <v>0</v>
      </c>
      <c r="G46" s="257">
        <v>0</v>
      </c>
      <c r="H46" s="258">
        <f t="shared" si="17"/>
        <v>0</v>
      </c>
      <c r="I46" s="257"/>
      <c r="J46" s="257"/>
      <c r="K46" s="257"/>
      <c r="L46" s="258">
        <f t="shared" si="18"/>
        <v>0</v>
      </c>
      <c r="M46" s="257"/>
      <c r="N46" s="257"/>
      <c r="O46" s="257"/>
      <c r="P46" s="258">
        <f t="shared" si="19"/>
        <v>0</v>
      </c>
      <c r="Q46" s="257"/>
      <c r="R46" s="257"/>
      <c r="S46" s="257"/>
      <c r="T46" s="258">
        <f t="shared" si="20"/>
        <v>0</v>
      </c>
      <c r="V46" s="29">
        <f t="shared" si="21"/>
        <v>0</v>
      </c>
      <c r="X46" s="29"/>
      <c r="Y46" s="5" t="s">
        <v>364</v>
      </c>
      <c r="Z46" s="5">
        <v>15877.35</v>
      </c>
      <c r="AA46" s="5"/>
      <c r="AB46" s="5">
        <f t="shared" si="22"/>
        <v>15877.35</v>
      </c>
      <c r="AC46" s="20">
        <v>15877.35</v>
      </c>
      <c r="AD46" s="2">
        <f t="shared" si="23"/>
        <v>0</v>
      </c>
    </row>
    <row r="47" ht="19.5" customHeight="1" spans="1:30">
      <c r="A47" s="256">
        <v>9</v>
      </c>
      <c r="B47" s="266" t="s">
        <v>534</v>
      </c>
      <c r="C47" s="256"/>
      <c r="D47" s="256"/>
      <c r="E47" s="279">
        <v>0</v>
      </c>
      <c r="F47" s="257">
        <v>0</v>
      </c>
      <c r="G47" s="257">
        <v>0</v>
      </c>
      <c r="H47" s="258">
        <f t="shared" si="17"/>
        <v>0</v>
      </c>
      <c r="I47" s="257"/>
      <c r="J47" s="257"/>
      <c r="K47" s="257"/>
      <c r="L47" s="258">
        <f t="shared" si="18"/>
        <v>0</v>
      </c>
      <c r="M47" s="257"/>
      <c r="N47" s="257"/>
      <c r="O47" s="257"/>
      <c r="P47" s="258">
        <f t="shared" si="19"/>
        <v>0</v>
      </c>
      <c r="Q47" s="257"/>
      <c r="R47" s="257"/>
      <c r="S47" s="257"/>
      <c r="T47" s="258">
        <f t="shared" si="20"/>
        <v>0</v>
      </c>
      <c r="V47" s="29">
        <f t="shared" si="21"/>
        <v>0</v>
      </c>
      <c r="X47" s="29"/>
      <c r="Y47" s="5" t="s">
        <v>550</v>
      </c>
      <c r="Z47" s="5">
        <v>198062.94</v>
      </c>
      <c r="AA47" s="5"/>
      <c r="AB47" s="5">
        <f t="shared" si="22"/>
        <v>198062.94</v>
      </c>
      <c r="AC47" s="20">
        <v>198062.94</v>
      </c>
      <c r="AD47" s="2">
        <f t="shared" si="23"/>
        <v>0</v>
      </c>
    </row>
    <row r="48" ht="19.5" customHeight="1" spans="1:30">
      <c r="A48" s="256">
        <v>10</v>
      </c>
      <c r="B48" s="266" t="s">
        <v>535</v>
      </c>
      <c r="C48" s="256"/>
      <c r="D48" s="256"/>
      <c r="E48" s="279">
        <v>0</v>
      </c>
      <c r="F48" s="257">
        <v>0</v>
      </c>
      <c r="G48" s="257">
        <v>0</v>
      </c>
      <c r="H48" s="258">
        <f t="shared" si="17"/>
        <v>0</v>
      </c>
      <c r="I48" s="257"/>
      <c r="J48" s="257"/>
      <c r="K48" s="257"/>
      <c r="L48" s="258">
        <f t="shared" si="18"/>
        <v>0</v>
      </c>
      <c r="M48" s="257"/>
      <c r="N48" s="257"/>
      <c r="O48" s="257"/>
      <c r="P48" s="258">
        <f t="shared" si="19"/>
        <v>0</v>
      </c>
      <c r="Q48" s="257"/>
      <c r="R48" s="257"/>
      <c r="S48" s="257"/>
      <c r="T48" s="258">
        <f t="shared" si="20"/>
        <v>0</v>
      </c>
      <c r="V48" s="29">
        <f t="shared" si="21"/>
        <v>0</v>
      </c>
      <c r="X48" s="29"/>
      <c r="Y48" s="293" t="s">
        <v>511</v>
      </c>
      <c r="Z48" s="293">
        <v>8948.8</v>
      </c>
      <c r="AA48" s="293"/>
      <c r="AB48" s="293">
        <f t="shared" si="22"/>
        <v>8948.8</v>
      </c>
      <c r="AC48" s="296" t="e">
        <v>#N/A</v>
      </c>
      <c r="AD48" s="294" t="e">
        <f t="shared" si="23"/>
        <v>#N/A</v>
      </c>
    </row>
    <row r="49" ht="19.5" customHeight="1" spans="1:30">
      <c r="A49" s="256">
        <v>11</v>
      </c>
      <c r="B49" s="266" t="s">
        <v>536</v>
      </c>
      <c r="C49" s="256"/>
      <c r="D49" s="256"/>
      <c r="E49" s="279">
        <v>0</v>
      </c>
      <c r="F49" s="257">
        <v>0</v>
      </c>
      <c r="G49" s="257">
        <v>0</v>
      </c>
      <c r="H49" s="258">
        <f t="shared" si="17"/>
        <v>0</v>
      </c>
      <c r="I49" s="257"/>
      <c r="J49" s="257"/>
      <c r="K49" s="257"/>
      <c r="L49" s="258">
        <f t="shared" si="18"/>
        <v>0</v>
      </c>
      <c r="M49" s="257"/>
      <c r="N49" s="257"/>
      <c r="O49" s="257"/>
      <c r="P49" s="258">
        <f t="shared" si="19"/>
        <v>0</v>
      </c>
      <c r="Q49" s="257"/>
      <c r="R49" s="257"/>
      <c r="S49" s="257"/>
      <c r="T49" s="258">
        <f t="shared" si="20"/>
        <v>0</v>
      </c>
      <c r="V49" s="29">
        <f t="shared" si="21"/>
        <v>0</v>
      </c>
      <c r="X49" s="29"/>
      <c r="Y49" s="5" t="s">
        <v>336</v>
      </c>
      <c r="Z49" s="5">
        <v>160000</v>
      </c>
      <c r="AA49" s="5"/>
      <c r="AB49" s="5">
        <f t="shared" si="22"/>
        <v>160000</v>
      </c>
      <c r="AC49" s="20">
        <v>160000</v>
      </c>
      <c r="AD49" s="2">
        <f t="shared" si="23"/>
        <v>0</v>
      </c>
    </row>
    <row r="50" ht="19.5" customHeight="1" spans="1:30">
      <c r="A50" s="256">
        <v>12</v>
      </c>
      <c r="B50" s="266" t="s">
        <v>537</v>
      </c>
      <c r="C50" s="256"/>
      <c r="D50" s="256"/>
      <c r="E50" s="279">
        <v>0</v>
      </c>
      <c r="F50" s="257">
        <v>0</v>
      </c>
      <c r="G50" s="257">
        <v>0</v>
      </c>
      <c r="H50" s="258">
        <f t="shared" si="17"/>
        <v>0</v>
      </c>
      <c r="I50" s="257"/>
      <c r="J50" s="257"/>
      <c r="K50" s="257"/>
      <c r="L50" s="258">
        <f t="shared" si="18"/>
        <v>0</v>
      </c>
      <c r="M50" s="257"/>
      <c r="N50" s="257"/>
      <c r="O50" s="257"/>
      <c r="P50" s="258">
        <f t="shared" si="19"/>
        <v>0</v>
      </c>
      <c r="Q50" s="257"/>
      <c r="R50" s="257"/>
      <c r="S50" s="257"/>
      <c r="T50" s="258">
        <f t="shared" si="20"/>
        <v>0</v>
      </c>
      <c r="V50" s="29">
        <f t="shared" si="21"/>
        <v>0</v>
      </c>
      <c r="X50" s="29"/>
      <c r="Y50" s="5" t="s">
        <v>552</v>
      </c>
      <c r="Z50" s="5">
        <v>4849.5</v>
      </c>
      <c r="AA50" s="5"/>
      <c r="AB50" s="5">
        <f t="shared" si="22"/>
        <v>4849.5</v>
      </c>
      <c r="AC50" s="20" t="e">
        <v>#N/A</v>
      </c>
      <c r="AD50" s="2" t="e">
        <f t="shared" si="23"/>
        <v>#N/A</v>
      </c>
    </row>
    <row r="51" ht="19.5" customHeight="1" spans="1:30">
      <c r="A51" s="256">
        <v>13</v>
      </c>
      <c r="B51" s="266" t="s">
        <v>538</v>
      </c>
      <c r="C51" s="256"/>
      <c r="D51" s="256"/>
      <c r="E51" s="279">
        <v>0</v>
      </c>
      <c r="F51" s="257">
        <v>0</v>
      </c>
      <c r="G51" s="257">
        <v>0</v>
      </c>
      <c r="H51" s="258">
        <f t="shared" si="17"/>
        <v>0</v>
      </c>
      <c r="I51" s="257"/>
      <c r="J51" s="257"/>
      <c r="K51" s="257"/>
      <c r="L51" s="258">
        <f t="shared" si="18"/>
        <v>0</v>
      </c>
      <c r="M51" s="257"/>
      <c r="N51" s="257"/>
      <c r="O51" s="257"/>
      <c r="P51" s="258">
        <f t="shared" si="19"/>
        <v>0</v>
      </c>
      <c r="Q51" s="257"/>
      <c r="R51" s="257"/>
      <c r="S51" s="257"/>
      <c r="T51" s="258">
        <f t="shared" si="20"/>
        <v>0</v>
      </c>
      <c r="V51" s="29">
        <f t="shared" si="21"/>
        <v>0</v>
      </c>
      <c r="X51" s="29"/>
      <c r="Y51" s="5" t="s">
        <v>517</v>
      </c>
      <c r="Z51" s="5">
        <v>50000</v>
      </c>
      <c r="AA51" s="5"/>
      <c r="AB51" s="5">
        <f t="shared" si="22"/>
        <v>50000</v>
      </c>
      <c r="AC51" s="20">
        <v>50000</v>
      </c>
      <c r="AD51" s="2">
        <f t="shared" si="23"/>
        <v>0</v>
      </c>
    </row>
    <row r="52" ht="19.5" customHeight="1" spans="1:30">
      <c r="A52" s="256">
        <v>14</v>
      </c>
      <c r="B52" s="266" t="s">
        <v>527</v>
      </c>
      <c r="C52" s="256" t="s">
        <v>310</v>
      </c>
      <c r="D52" s="256" t="s">
        <v>327</v>
      </c>
      <c r="E52" s="279"/>
      <c r="F52" s="257"/>
      <c r="G52" s="257"/>
      <c r="H52" s="258"/>
      <c r="I52" s="257"/>
      <c r="J52" s="257"/>
      <c r="K52" s="257"/>
      <c r="L52" s="258"/>
      <c r="M52" s="257"/>
      <c r="N52" s="257"/>
      <c r="O52" s="257"/>
      <c r="P52" s="258"/>
      <c r="Q52" s="257"/>
      <c r="R52" s="257"/>
      <c r="S52" s="257"/>
      <c r="T52" s="258"/>
      <c r="V52" s="29"/>
      <c r="X52" s="29"/>
      <c r="Y52" s="5"/>
      <c r="Z52" s="5"/>
      <c r="AA52" s="5"/>
      <c r="AB52" s="5"/>
      <c r="AD52" s="2"/>
    </row>
    <row r="53" ht="19.5" customHeight="1" spans="1:30">
      <c r="A53" s="256">
        <v>15</v>
      </c>
      <c r="B53" s="266" t="s">
        <v>539</v>
      </c>
      <c r="C53" s="256"/>
      <c r="D53" s="256"/>
      <c r="E53" s="279">
        <v>0</v>
      </c>
      <c r="F53" s="257">
        <v>0</v>
      </c>
      <c r="G53" s="257">
        <v>0</v>
      </c>
      <c r="H53" s="258">
        <f>SUM(E53:G53)</f>
        <v>0</v>
      </c>
      <c r="I53" s="257"/>
      <c r="J53" s="257"/>
      <c r="K53" s="257"/>
      <c r="L53" s="258">
        <f>SUM(I53:K53)</f>
        <v>0</v>
      </c>
      <c r="M53" s="257"/>
      <c r="N53" s="257"/>
      <c r="O53" s="257"/>
      <c r="P53" s="258">
        <f>SUM(M53:O53)</f>
        <v>0</v>
      </c>
      <c r="Q53" s="257"/>
      <c r="R53" s="257"/>
      <c r="S53" s="257"/>
      <c r="T53" s="258">
        <f>SUM(Q53:S53)</f>
        <v>0</v>
      </c>
      <c r="V53" s="29">
        <f t="shared" ref="V53:V57" si="25">S53+R53+Q53+O53+N53+M53+K53+J53+I53+G53+F53+E53</f>
        <v>0</v>
      </c>
      <c r="X53" s="29"/>
      <c r="Y53" s="5" t="s">
        <v>518</v>
      </c>
      <c r="Z53" s="5">
        <v>50000</v>
      </c>
      <c r="AA53" s="5"/>
      <c r="AB53" s="5">
        <f t="shared" ref="AB53:AB56" si="26">Z53-AA53</f>
        <v>50000</v>
      </c>
      <c r="AC53" s="20">
        <v>50000</v>
      </c>
      <c r="AD53" s="2">
        <f t="shared" ref="AD53:AD56" si="27">AB53-AC53</f>
        <v>0</v>
      </c>
    </row>
    <row r="54" ht="19.5" customHeight="1" spans="1:30">
      <c r="A54" s="256"/>
      <c r="B54" s="289" t="s">
        <v>11</v>
      </c>
      <c r="C54" s="289"/>
      <c r="D54" s="289"/>
      <c r="E54" s="276">
        <f t="shared" ref="E54:T54" si="28">SUM(E39:E53)</f>
        <v>260900</v>
      </c>
      <c r="F54" s="276">
        <f t="shared" si="28"/>
        <v>506338</v>
      </c>
      <c r="G54" s="276">
        <f t="shared" si="28"/>
        <v>535009</v>
      </c>
      <c r="H54" s="276">
        <f t="shared" si="28"/>
        <v>1302247</v>
      </c>
      <c r="I54" s="276">
        <f t="shared" si="28"/>
        <v>0</v>
      </c>
      <c r="J54" s="276">
        <f t="shared" si="28"/>
        <v>0</v>
      </c>
      <c r="K54" s="276">
        <f t="shared" si="28"/>
        <v>0</v>
      </c>
      <c r="L54" s="276">
        <f t="shared" si="28"/>
        <v>0</v>
      </c>
      <c r="M54" s="276">
        <f t="shared" si="28"/>
        <v>0</v>
      </c>
      <c r="N54" s="276">
        <f t="shared" si="28"/>
        <v>0</v>
      </c>
      <c r="O54" s="276">
        <f t="shared" si="28"/>
        <v>0</v>
      </c>
      <c r="P54" s="276">
        <f t="shared" si="28"/>
        <v>0</v>
      </c>
      <c r="Q54" s="276">
        <f t="shared" si="28"/>
        <v>0</v>
      </c>
      <c r="R54" s="276">
        <f t="shared" si="28"/>
        <v>0</v>
      </c>
      <c r="S54" s="276">
        <f t="shared" si="28"/>
        <v>0</v>
      </c>
      <c r="T54" s="276">
        <f t="shared" si="28"/>
        <v>0</v>
      </c>
      <c r="V54" s="292">
        <f t="shared" si="25"/>
        <v>1302247</v>
      </c>
      <c r="X54" s="29"/>
      <c r="Y54" s="5" t="s">
        <v>553</v>
      </c>
      <c r="Z54" s="5">
        <v>30000</v>
      </c>
      <c r="AA54" s="5"/>
      <c r="AB54" s="5">
        <f t="shared" si="26"/>
        <v>30000</v>
      </c>
      <c r="AC54" s="20">
        <v>30000</v>
      </c>
      <c r="AD54" s="2">
        <f t="shared" si="27"/>
        <v>0</v>
      </c>
    </row>
    <row r="55" ht="19.5" customHeight="1" spans="1:30">
      <c r="A55" s="251" t="s">
        <v>540</v>
      </c>
      <c r="B55" s="251"/>
      <c r="C55" s="251"/>
      <c r="D55" s="251"/>
      <c r="E55" s="288"/>
      <c r="F55" s="265"/>
      <c r="G55" s="265"/>
      <c r="H55" s="265"/>
      <c r="I55" s="265"/>
      <c r="J55" s="265"/>
      <c r="K55" s="265"/>
      <c r="L55" s="265"/>
      <c r="M55" s="265"/>
      <c r="N55" s="265"/>
      <c r="O55" s="265"/>
      <c r="P55" s="265"/>
      <c r="Q55" s="265"/>
      <c r="R55" s="265"/>
      <c r="S55" s="265"/>
      <c r="T55" s="265"/>
      <c r="V55" s="29"/>
      <c r="X55" s="29"/>
      <c r="Y55" s="5" t="s">
        <v>354</v>
      </c>
      <c r="Z55" s="5">
        <v>15042</v>
      </c>
      <c r="AA55" s="5">
        <f>VLOOKUP(Y:Y,[6]Sheet2!$B$1:$C$10,2,0)</f>
        <v>828</v>
      </c>
      <c r="AB55" s="5">
        <f t="shared" si="26"/>
        <v>14214</v>
      </c>
      <c r="AC55" s="20">
        <v>14214</v>
      </c>
      <c r="AD55" s="2">
        <f t="shared" si="27"/>
        <v>0</v>
      </c>
    </row>
    <row r="56" ht="19.5" customHeight="1" spans="1:30">
      <c r="A56" s="256">
        <v>1</v>
      </c>
      <c r="B56" s="266" t="s">
        <v>541</v>
      </c>
      <c r="C56" s="256" t="s">
        <v>541</v>
      </c>
      <c r="D56" s="256" t="s">
        <v>318</v>
      </c>
      <c r="E56" s="279">
        <v>0</v>
      </c>
      <c r="F56" s="257">
        <v>0</v>
      </c>
      <c r="G56" s="257">
        <v>0</v>
      </c>
      <c r="H56" s="258">
        <f t="shared" ref="H56:H62" si="29">SUM(E56:G56)</f>
        <v>0</v>
      </c>
      <c r="I56" s="259"/>
      <c r="J56" s="257"/>
      <c r="K56" s="259"/>
      <c r="L56" s="258">
        <f t="shared" ref="L56:L62" si="30">SUM(I56:K56)</f>
        <v>0</v>
      </c>
      <c r="M56" s="257"/>
      <c r="N56" s="257"/>
      <c r="O56" s="291"/>
      <c r="P56" s="258">
        <f t="shared" ref="P56:P62" si="31">SUM(M56:O56)</f>
        <v>0</v>
      </c>
      <c r="Q56" s="257"/>
      <c r="R56" s="257"/>
      <c r="S56" s="257"/>
      <c r="T56" s="258">
        <f t="shared" ref="T56:T62" si="32">SUM(Q56:S56)</f>
        <v>0</v>
      </c>
      <c r="V56" s="29">
        <f t="shared" si="25"/>
        <v>0</v>
      </c>
      <c r="X56" s="29"/>
      <c r="Y56" s="5" t="s">
        <v>362</v>
      </c>
      <c r="Z56" s="5">
        <v>15347</v>
      </c>
      <c r="AA56" s="5"/>
      <c r="AB56" s="5">
        <f t="shared" si="26"/>
        <v>15347</v>
      </c>
      <c r="AC56" s="20">
        <v>15347</v>
      </c>
      <c r="AD56" s="2">
        <f t="shared" si="27"/>
        <v>0</v>
      </c>
    </row>
    <row r="57" ht="19.5" customHeight="1" spans="2:28">
      <c r="B57" s="287" t="s">
        <v>11</v>
      </c>
      <c r="C57" s="287"/>
      <c r="D57" s="287"/>
      <c r="E57" s="276">
        <f t="shared" ref="E57:T57" si="33">SUM(E56)</f>
        <v>0</v>
      </c>
      <c r="F57" s="276">
        <f t="shared" si="33"/>
        <v>0</v>
      </c>
      <c r="G57" s="276">
        <f t="shared" si="33"/>
        <v>0</v>
      </c>
      <c r="H57" s="276">
        <f t="shared" si="33"/>
        <v>0</v>
      </c>
      <c r="I57" s="276">
        <f t="shared" si="33"/>
        <v>0</v>
      </c>
      <c r="J57" s="276">
        <f t="shared" si="33"/>
        <v>0</v>
      </c>
      <c r="K57" s="276">
        <f t="shared" si="33"/>
        <v>0</v>
      </c>
      <c r="L57" s="276">
        <f t="shared" si="33"/>
        <v>0</v>
      </c>
      <c r="M57" s="276">
        <f t="shared" si="33"/>
        <v>0</v>
      </c>
      <c r="N57" s="276">
        <f t="shared" si="33"/>
        <v>0</v>
      </c>
      <c r="O57" s="276">
        <f t="shared" si="33"/>
        <v>0</v>
      </c>
      <c r="P57" s="276">
        <f t="shared" si="33"/>
        <v>0</v>
      </c>
      <c r="Q57" s="276">
        <f t="shared" si="33"/>
        <v>0</v>
      </c>
      <c r="R57" s="276">
        <f t="shared" si="33"/>
        <v>0</v>
      </c>
      <c r="S57" s="276">
        <f t="shared" si="33"/>
        <v>0</v>
      </c>
      <c r="T57" s="276">
        <f t="shared" si="33"/>
        <v>0</v>
      </c>
      <c r="V57" s="292">
        <f t="shared" si="25"/>
        <v>0</v>
      </c>
      <c r="X57" s="29"/>
      <c r="Y57" s="297"/>
      <c r="Z57" s="297"/>
      <c r="AA57" s="297"/>
      <c r="AB57" s="297"/>
    </row>
    <row r="58" ht="19.5" customHeight="1" spans="1:30">
      <c r="A58" s="251" t="s">
        <v>542</v>
      </c>
      <c r="B58" s="251"/>
      <c r="C58" s="251"/>
      <c r="D58" s="251"/>
      <c r="E58" s="288"/>
      <c r="F58" s="265"/>
      <c r="G58" s="265"/>
      <c r="H58" s="288"/>
      <c r="I58" s="288"/>
      <c r="J58" s="288"/>
      <c r="K58" s="288"/>
      <c r="L58" s="288"/>
      <c r="M58" s="288"/>
      <c r="N58" s="288"/>
      <c r="O58" s="257"/>
      <c r="P58" s="288"/>
      <c r="Q58" s="288"/>
      <c r="R58" s="288"/>
      <c r="S58" s="288"/>
      <c r="T58" s="288"/>
      <c r="V58" s="29"/>
      <c r="X58" s="29"/>
      <c r="AC58" s="31"/>
      <c r="AD58" s="31"/>
    </row>
    <row r="59" ht="19.5" customHeight="1" spans="1:24">
      <c r="A59" s="256">
        <v>1</v>
      </c>
      <c r="B59" s="256" t="s">
        <v>271</v>
      </c>
      <c r="C59" s="256" t="s">
        <v>271</v>
      </c>
      <c r="D59" s="256" t="s">
        <v>318</v>
      </c>
      <c r="E59" s="279">
        <v>185197.48</v>
      </c>
      <c r="F59" s="257">
        <v>198062.94</v>
      </c>
      <c r="G59" s="257">
        <v>550590.57</v>
      </c>
      <c r="H59" s="258">
        <f t="shared" si="29"/>
        <v>933850.99</v>
      </c>
      <c r="I59" s="259"/>
      <c r="J59" s="257"/>
      <c r="K59" s="257"/>
      <c r="L59" s="258">
        <f t="shared" si="30"/>
        <v>0</v>
      </c>
      <c r="M59" s="257"/>
      <c r="N59" s="257"/>
      <c r="O59" s="257"/>
      <c r="P59" s="258">
        <f t="shared" si="31"/>
        <v>0</v>
      </c>
      <c r="Q59" s="257"/>
      <c r="R59" s="257"/>
      <c r="S59" s="257"/>
      <c r="T59" s="258">
        <f t="shared" si="32"/>
        <v>0</v>
      </c>
      <c r="V59" s="29">
        <f t="shared" ref="V59:V63" si="34">S59+R59+Q59+O59+N59+M59+K59+J59+I59+G59+F59+E59</f>
        <v>933850.99</v>
      </c>
      <c r="X59" s="29"/>
    </row>
    <row r="60" s="31" customFormat="1" ht="19.5" customHeight="1" spans="1:30">
      <c r="A60" s="260">
        <v>2</v>
      </c>
      <c r="B60" s="260" t="s">
        <v>386</v>
      </c>
      <c r="C60" s="256"/>
      <c r="D60" s="256"/>
      <c r="E60" s="279">
        <v>0</v>
      </c>
      <c r="F60" s="257">
        <v>0</v>
      </c>
      <c r="G60" s="257">
        <v>0</v>
      </c>
      <c r="H60" s="268">
        <f t="shared" si="29"/>
        <v>0</v>
      </c>
      <c r="I60" s="257"/>
      <c r="J60" s="257"/>
      <c r="K60" s="257"/>
      <c r="L60" s="268">
        <f t="shared" si="30"/>
        <v>0</v>
      </c>
      <c r="M60" s="257"/>
      <c r="N60" s="257"/>
      <c r="O60" s="257"/>
      <c r="P60" s="268">
        <f t="shared" si="31"/>
        <v>0</v>
      </c>
      <c r="Q60" s="257"/>
      <c r="R60" s="257"/>
      <c r="S60" s="257"/>
      <c r="T60" s="268">
        <f t="shared" si="32"/>
        <v>0</v>
      </c>
      <c r="V60" s="281">
        <f t="shared" si="34"/>
        <v>0</v>
      </c>
      <c r="X60" s="281" t="s">
        <v>116</v>
      </c>
      <c r="Y60" s="5" t="s">
        <v>353</v>
      </c>
      <c r="Z60" s="5">
        <v>161180.8</v>
      </c>
      <c r="AA60" s="5">
        <v>9500</v>
      </c>
      <c r="AB60" s="5">
        <v>151680.8</v>
      </c>
      <c r="AC60" s="20">
        <v>151680.8</v>
      </c>
      <c r="AD60" s="2">
        <f t="shared" ref="AD60:AD74" si="35">AB60-AC60</f>
        <v>0</v>
      </c>
    </row>
    <row r="61" ht="19.5" customHeight="1" spans="1:30">
      <c r="A61" s="256">
        <v>3</v>
      </c>
      <c r="B61" s="256" t="s">
        <v>315</v>
      </c>
      <c r="C61" s="256" t="s">
        <v>305</v>
      </c>
      <c r="D61" s="256" t="s">
        <v>306</v>
      </c>
      <c r="E61" s="279">
        <v>0</v>
      </c>
      <c r="F61" s="257">
        <v>10000</v>
      </c>
      <c r="G61" s="257">
        <v>0</v>
      </c>
      <c r="H61" s="258">
        <f t="shared" si="29"/>
        <v>10000</v>
      </c>
      <c r="I61" s="257"/>
      <c r="J61" s="257"/>
      <c r="K61" s="257"/>
      <c r="L61" s="258">
        <f t="shared" si="30"/>
        <v>0</v>
      </c>
      <c r="M61" s="257"/>
      <c r="N61" s="257"/>
      <c r="O61" s="257"/>
      <c r="P61" s="258">
        <f t="shared" si="31"/>
        <v>0</v>
      </c>
      <c r="Q61" s="257"/>
      <c r="R61" s="257"/>
      <c r="S61" s="257"/>
      <c r="T61" s="258">
        <f t="shared" si="32"/>
        <v>0</v>
      </c>
      <c r="V61" s="29">
        <f t="shared" si="34"/>
        <v>10000</v>
      </c>
      <c r="X61" s="29"/>
      <c r="Y61" s="5" t="s">
        <v>347</v>
      </c>
      <c r="Z61" s="5">
        <v>638967</v>
      </c>
      <c r="AA61" s="5">
        <v>37030</v>
      </c>
      <c r="AB61" s="5">
        <v>601937</v>
      </c>
      <c r="AC61" s="20">
        <v>601937</v>
      </c>
      <c r="AD61" s="2">
        <f t="shared" si="35"/>
        <v>0</v>
      </c>
    </row>
    <row r="62" ht="19.5" customHeight="1" spans="1:30">
      <c r="A62" s="256">
        <v>4</v>
      </c>
      <c r="B62" s="266" t="s">
        <v>543</v>
      </c>
      <c r="C62" s="256"/>
      <c r="D62" s="256"/>
      <c r="E62" s="279">
        <v>0</v>
      </c>
      <c r="F62" s="257">
        <v>0</v>
      </c>
      <c r="G62" s="257">
        <v>0</v>
      </c>
      <c r="H62" s="258">
        <f t="shared" si="29"/>
        <v>0</v>
      </c>
      <c r="I62" s="257"/>
      <c r="J62" s="257"/>
      <c r="K62" s="257"/>
      <c r="L62" s="258">
        <f t="shared" si="30"/>
        <v>0</v>
      </c>
      <c r="M62" s="257"/>
      <c r="N62" s="257"/>
      <c r="O62" s="257"/>
      <c r="P62" s="258">
        <f t="shared" si="31"/>
        <v>0</v>
      </c>
      <c r="Q62" s="257"/>
      <c r="R62" s="257"/>
      <c r="S62" s="257"/>
      <c r="T62" s="258">
        <f t="shared" si="32"/>
        <v>0</v>
      </c>
      <c r="V62" s="29">
        <f t="shared" si="34"/>
        <v>0</v>
      </c>
      <c r="X62" s="29"/>
      <c r="Y62" s="293" t="s">
        <v>499</v>
      </c>
      <c r="Z62" s="293">
        <v>469090.28</v>
      </c>
      <c r="AA62" s="293"/>
      <c r="AB62" s="293">
        <v>469090.28</v>
      </c>
      <c r="AC62" s="296" t="e">
        <v>#N/A</v>
      </c>
      <c r="AD62" s="294" t="e">
        <f t="shared" si="35"/>
        <v>#N/A</v>
      </c>
    </row>
    <row r="63" ht="19.5" customHeight="1" spans="1:30">
      <c r="A63" s="256"/>
      <c r="B63" s="289" t="s">
        <v>11</v>
      </c>
      <c r="C63" s="289"/>
      <c r="D63" s="289"/>
      <c r="E63" s="276">
        <f t="shared" ref="E63:T63" si="36">SUM(E59:E62)</f>
        <v>185197.48</v>
      </c>
      <c r="F63" s="276">
        <f t="shared" si="36"/>
        <v>208062.94</v>
      </c>
      <c r="G63" s="276">
        <f t="shared" si="36"/>
        <v>550590.57</v>
      </c>
      <c r="H63" s="276">
        <f t="shared" si="36"/>
        <v>943850.99</v>
      </c>
      <c r="I63" s="276">
        <f t="shared" si="36"/>
        <v>0</v>
      </c>
      <c r="J63" s="276">
        <f t="shared" si="36"/>
        <v>0</v>
      </c>
      <c r="K63" s="276">
        <f t="shared" si="36"/>
        <v>0</v>
      </c>
      <c r="L63" s="276">
        <f t="shared" si="36"/>
        <v>0</v>
      </c>
      <c r="M63" s="276">
        <f t="shared" si="36"/>
        <v>0</v>
      </c>
      <c r="N63" s="276">
        <f t="shared" si="36"/>
        <v>0</v>
      </c>
      <c r="O63" s="276">
        <f t="shared" si="36"/>
        <v>0</v>
      </c>
      <c r="P63" s="276">
        <f t="shared" si="36"/>
        <v>0</v>
      </c>
      <c r="Q63" s="276">
        <f t="shared" si="36"/>
        <v>0</v>
      </c>
      <c r="R63" s="276">
        <f t="shared" si="36"/>
        <v>0</v>
      </c>
      <c r="S63" s="276">
        <f t="shared" si="36"/>
        <v>0</v>
      </c>
      <c r="T63" s="276">
        <f t="shared" si="36"/>
        <v>0</v>
      </c>
      <c r="V63" s="292">
        <f t="shared" si="34"/>
        <v>943850.99</v>
      </c>
      <c r="X63" s="29"/>
      <c r="Y63" s="5" t="s">
        <v>340</v>
      </c>
      <c r="Z63" s="5">
        <v>17009</v>
      </c>
      <c r="AA63" s="5"/>
      <c r="AB63" s="5">
        <v>17009</v>
      </c>
      <c r="AC63" s="20">
        <v>17009</v>
      </c>
      <c r="AD63" s="2">
        <f t="shared" si="35"/>
        <v>0</v>
      </c>
    </row>
    <row r="64" ht="19.5" customHeight="1" spans="1:30">
      <c r="A64" s="251"/>
      <c r="B64" s="251"/>
      <c r="C64" s="251"/>
      <c r="D64" s="251"/>
      <c r="E64"/>
      <c r="F64" s="265"/>
      <c r="G64"/>
      <c r="I64" s="265"/>
      <c r="J64" s="265"/>
      <c r="K64" s="265"/>
      <c r="M64" s="265"/>
      <c r="N64" s="265"/>
      <c r="O64" s="265"/>
      <c r="Q64" s="265"/>
      <c r="R64" s="265"/>
      <c r="S64" s="265"/>
      <c r="T64" s="265"/>
      <c r="V64" s="29"/>
      <c r="X64" s="29"/>
      <c r="Y64" s="5" t="s">
        <v>357</v>
      </c>
      <c r="Z64" s="5">
        <v>247705.4</v>
      </c>
      <c r="AA64" s="5"/>
      <c r="AB64" s="5">
        <v>247705.4</v>
      </c>
      <c r="AC64" s="20">
        <v>247705.4</v>
      </c>
      <c r="AD64" s="2">
        <f t="shared" si="35"/>
        <v>0</v>
      </c>
    </row>
    <row r="65" ht="24" customHeight="1" spans="1:30">
      <c r="A65" s="253">
        <v>1</v>
      </c>
      <c r="B65" s="298" t="s">
        <v>373</v>
      </c>
      <c r="C65" s="256" t="s">
        <v>374</v>
      </c>
      <c r="D65" s="256" t="s">
        <v>318</v>
      </c>
      <c r="E65" s="279">
        <v>82929</v>
      </c>
      <c r="F65" s="257">
        <v>229584</v>
      </c>
      <c r="G65" s="257">
        <v>145499</v>
      </c>
      <c r="H65" s="258">
        <f t="shared" ref="H65:H74" si="37">SUM(E65:G65)</f>
        <v>458012</v>
      </c>
      <c r="I65" s="257"/>
      <c r="J65" s="257"/>
      <c r="K65" s="257"/>
      <c r="L65" s="258">
        <f t="shared" ref="L65:L74" si="38">SUM(I65:K65)</f>
        <v>0</v>
      </c>
      <c r="M65" s="257"/>
      <c r="N65" s="257"/>
      <c r="O65" s="291"/>
      <c r="P65" s="258">
        <f t="shared" ref="P65:P74" si="39">SUM(M65:O65)</f>
        <v>0</v>
      </c>
      <c r="Q65" s="257"/>
      <c r="R65" s="257"/>
      <c r="S65" s="257"/>
      <c r="T65" s="258">
        <f t="shared" ref="T65:T74" si="40">SUM(Q65:S65)</f>
        <v>0</v>
      </c>
      <c r="V65" s="29">
        <f>S100+R100+Q100+O100+N100+M100+K100+J100+I100+G100+F100+E100</f>
        <v>10879</v>
      </c>
      <c r="X65" s="29"/>
      <c r="Y65" s="5" t="s">
        <v>351</v>
      </c>
      <c r="Z65" s="5">
        <v>154827.88</v>
      </c>
      <c r="AA65" s="5">
        <v>11173</v>
      </c>
      <c r="AB65" s="5">
        <v>143654.88</v>
      </c>
      <c r="AC65" s="20">
        <v>143654.88</v>
      </c>
      <c r="AD65" s="2">
        <f t="shared" si="35"/>
        <v>0</v>
      </c>
    </row>
    <row r="66" ht="24" customHeight="1" spans="1:30">
      <c r="A66" s="256">
        <v>2</v>
      </c>
      <c r="B66" s="266" t="s">
        <v>375</v>
      </c>
      <c r="C66" s="256" t="s">
        <v>310</v>
      </c>
      <c r="D66" s="256" t="s">
        <v>349</v>
      </c>
      <c r="E66" s="279">
        <v>0</v>
      </c>
      <c r="F66" s="257">
        <v>9395</v>
      </c>
      <c r="G66" s="257">
        <v>1580</v>
      </c>
      <c r="H66" s="258">
        <f t="shared" si="37"/>
        <v>10975</v>
      </c>
      <c r="I66" s="257"/>
      <c r="J66" s="257"/>
      <c r="K66" s="257"/>
      <c r="L66" s="258">
        <f t="shared" si="38"/>
        <v>0</v>
      </c>
      <c r="M66" s="257"/>
      <c r="N66" s="257"/>
      <c r="O66" s="257"/>
      <c r="P66" s="258">
        <f t="shared" si="39"/>
        <v>0</v>
      </c>
      <c r="Q66" s="257"/>
      <c r="R66" s="257"/>
      <c r="S66" s="257"/>
      <c r="T66" s="258">
        <f t="shared" si="40"/>
        <v>0</v>
      </c>
      <c r="V66" s="292">
        <f>S103+R103+Q103+O103+N103+M103+K103+J103+I103+G103+F103+E103</f>
        <v>77796.39</v>
      </c>
      <c r="X66" s="29"/>
      <c r="Y66" s="5" t="s">
        <v>342</v>
      </c>
      <c r="Z66" s="5">
        <v>227000</v>
      </c>
      <c r="AA66" s="5"/>
      <c r="AB66" s="5">
        <v>227000</v>
      </c>
      <c r="AC66" s="20">
        <v>227000</v>
      </c>
      <c r="AD66" s="2">
        <f t="shared" si="35"/>
        <v>0</v>
      </c>
    </row>
    <row r="67" ht="24" customHeight="1" spans="1:30">
      <c r="A67" s="253">
        <v>3</v>
      </c>
      <c r="B67" s="266" t="s">
        <v>376</v>
      </c>
      <c r="C67" s="256" t="s">
        <v>305</v>
      </c>
      <c r="D67" s="256" t="s">
        <v>314</v>
      </c>
      <c r="E67" s="279">
        <v>0</v>
      </c>
      <c r="F67" s="257">
        <v>8351</v>
      </c>
      <c r="G67" s="257">
        <v>0</v>
      </c>
      <c r="H67" s="258">
        <f t="shared" si="37"/>
        <v>8351</v>
      </c>
      <c r="I67" s="257"/>
      <c r="J67" s="257"/>
      <c r="K67" s="257"/>
      <c r="L67" s="258">
        <f t="shared" si="38"/>
        <v>0</v>
      </c>
      <c r="M67" s="257"/>
      <c r="N67" s="257"/>
      <c r="O67" s="257"/>
      <c r="P67" s="258">
        <f t="shared" si="39"/>
        <v>0</v>
      </c>
      <c r="Q67" s="257"/>
      <c r="R67" s="257"/>
      <c r="S67" s="257"/>
      <c r="T67" s="258">
        <f t="shared" si="40"/>
        <v>0</v>
      </c>
      <c r="V67" s="29"/>
      <c r="X67" s="29"/>
      <c r="Y67" s="5" t="s">
        <v>338</v>
      </c>
      <c r="Z67" s="5">
        <v>10000</v>
      </c>
      <c r="AA67" s="5"/>
      <c r="AB67" s="5">
        <v>10000</v>
      </c>
      <c r="AC67" s="20">
        <v>10000</v>
      </c>
      <c r="AD67" s="2">
        <f t="shared" si="35"/>
        <v>0</v>
      </c>
    </row>
    <row r="68" ht="24" customHeight="1" spans="1:34">
      <c r="A68" s="256">
        <v>4</v>
      </c>
      <c r="B68" s="266" t="s">
        <v>377</v>
      </c>
      <c r="C68" s="256" t="s">
        <v>305</v>
      </c>
      <c r="D68" s="256" t="s">
        <v>306</v>
      </c>
      <c r="E68" s="279">
        <v>0</v>
      </c>
      <c r="F68" s="257">
        <v>0</v>
      </c>
      <c r="G68" s="257">
        <v>0</v>
      </c>
      <c r="H68" s="258">
        <f t="shared" si="37"/>
        <v>0</v>
      </c>
      <c r="I68" s="257"/>
      <c r="J68" s="257"/>
      <c r="K68" s="257"/>
      <c r="L68" s="258">
        <f t="shared" si="38"/>
        <v>0</v>
      </c>
      <c r="M68" s="257"/>
      <c r="N68" s="257"/>
      <c r="O68" s="257"/>
      <c r="P68" s="258">
        <f t="shared" si="39"/>
        <v>0</v>
      </c>
      <c r="Q68" s="257"/>
      <c r="R68" s="257"/>
      <c r="S68" s="257"/>
      <c r="T68" s="258">
        <f t="shared" si="40"/>
        <v>0</v>
      </c>
      <c r="V68" s="309">
        <f t="shared" ref="V68:V74" si="41">S65+R65+Q65+O65+N65+M65+K65+J65+I65+G65+F65+E65</f>
        <v>458012</v>
      </c>
      <c r="X68" s="29"/>
      <c r="Y68" s="5" t="s">
        <v>373</v>
      </c>
      <c r="Z68" s="5">
        <f>109270+83258+31190</f>
        <v>223718</v>
      </c>
      <c r="AA68" s="5">
        <v>6299</v>
      </c>
      <c r="AB68" s="5">
        <f>Z68-AA68</f>
        <v>217419</v>
      </c>
      <c r="AC68" s="20">
        <v>145499</v>
      </c>
      <c r="AD68" s="2">
        <f t="shared" si="35"/>
        <v>71920</v>
      </c>
      <c r="AE68" s="312" t="s">
        <v>554</v>
      </c>
      <c r="AF68" s="312"/>
      <c r="AG68" s="312"/>
      <c r="AH68" s="312"/>
    </row>
    <row r="69" ht="24" customHeight="1" spans="1:30">
      <c r="A69" s="253">
        <v>5</v>
      </c>
      <c r="B69" s="266" t="s">
        <v>378</v>
      </c>
      <c r="C69" s="256"/>
      <c r="D69" s="256"/>
      <c r="E69" s="279">
        <v>0</v>
      </c>
      <c r="F69" s="257">
        <v>0</v>
      </c>
      <c r="G69" s="257">
        <v>0</v>
      </c>
      <c r="H69" s="258">
        <f t="shared" si="37"/>
        <v>0</v>
      </c>
      <c r="I69" s="257"/>
      <c r="J69" s="257"/>
      <c r="K69" s="257"/>
      <c r="L69" s="258">
        <f t="shared" si="38"/>
        <v>0</v>
      </c>
      <c r="M69" s="257"/>
      <c r="N69" s="257"/>
      <c r="O69" s="257"/>
      <c r="P69" s="258">
        <f t="shared" si="39"/>
        <v>0</v>
      </c>
      <c r="Q69" s="257"/>
      <c r="R69" s="257"/>
      <c r="S69" s="257"/>
      <c r="T69" s="258">
        <f t="shared" si="40"/>
        <v>0</v>
      </c>
      <c r="V69" s="29">
        <f t="shared" si="41"/>
        <v>10975</v>
      </c>
      <c r="X69" s="29"/>
      <c r="Y69" s="5" t="s">
        <v>325</v>
      </c>
      <c r="Z69" s="5">
        <v>256820</v>
      </c>
      <c r="AA69" s="5"/>
      <c r="AB69" s="5">
        <v>256820</v>
      </c>
      <c r="AC69" s="20">
        <v>256820</v>
      </c>
      <c r="AD69" s="2">
        <f t="shared" si="35"/>
        <v>0</v>
      </c>
    </row>
    <row r="70" ht="24" customHeight="1" spans="1:30">
      <c r="A70" s="256">
        <v>6</v>
      </c>
      <c r="B70" s="266" t="s">
        <v>379</v>
      </c>
      <c r="C70" s="256"/>
      <c r="D70" s="256"/>
      <c r="E70" s="279">
        <v>0</v>
      </c>
      <c r="F70" s="257">
        <v>0</v>
      </c>
      <c r="G70" s="257">
        <v>0</v>
      </c>
      <c r="H70" s="258">
        <f t="shared" si="37"/>
        <v>0</v>
      </c>
      <c r="I70" s="257"/>
      <c r="J70" s="257"/>
      <c r="K70" s="257"/>
      <c r="L70" s="258">
        <f t="shared" si="38"/>
        <v>0</v>
      </c>
      <c r="M70" s="257"/>
      <c r="N70" s="257"/>
      <c r="O70" s="257"/>
      <c r="P70" s="258">
        <f t="shared" si="39"/>
        <v>0</v>
      </c>
      <c r="Q70" s="257"/>
      <c r="R70" s="257"/>
      <c r="S70" s="257"/>
      <c r="T70" s="258">
        <f t="shared" si="40"/>
        <v>0</v>
      </c>
      <c r="V70" s="29">
        <f t="shared" si="41"/>
        <v>8351</v>
      </c>
      <c r="X70" s="29"/>
      <c r="Y70" s="5" t="s">
        <v>355</v>
      </c>
      <c r="Z70" s="5">
        <v>77446</v>
      </c>
      <c r="AA70" s="5">
        <v>2881</v>
      </c>
      <c r="AB70" s="5">
        <v>74565</v>
      </c>
      <c r="AC70" s="20">
        <v>74565</v>
      </c>
      <c r="AD70" s="2">
        <f t="shared" si="35"/>
        <v>0</v>
      </c>
    </row>
    <row r="71" ht="24" customHeight="1" spans="1:30">
      <c r="A71" s="253">
        <v>7</v>
      </c>
      <c r="B71" s="266" t="s">
        <v>380</v>
      </c>
      <c r="C71" s="256"/>
      <c r="D71" s="256"/>
      <c r="E71" s="279">
        <v>0</v>
      </c>
      <c r="F71" s="257">
        <v>0</v>
      </c>
      <c r="G71" s="257">
        <v>0</v>
      </c>
      <c r="H71" s="258">
        <f t="shared" si="37"/>
        <v>0</v>
      </c>
      <c r="I71" s="257"/>
      <c r="J71" s="257"/>
      <c r="K71" s="257"/>
      <c r="L71" s="258">
        <f t="shared" si="38"/>
        <v>0</v>
      </c>
      <c r="M71" s="257"/>
      <c r="N71" s="257"/>
      <c r="O71" s="257"/>
      <c r="P71" s="258">
        <f t="shared" si="39"/>
        <v>0</v>
      </c>
      <c r="Q71" s="257"/>
      <c r="R71" s="257"/>
      <c r="S71" s="257"/>
      <c r="T71" s="258">
        <f t="shared" si="40"/>
        <v>0</v>
      </c>
      <c r="V71" s="29">
        <f t="shared" si="41"/>
        <v>0</v>
      </c>
      <c r="X71" s="29"/>
      <c r="Y71" s="5" t="s">
        <v>363</v>
      </c>
      <c r="Z71" s="5">
        <v>10879</v>
      </c>
      <c r="AA71" s="5"/>
      <c r="AB71" s="5">
        <v>10879</v>
      </c>
      <c r="AC71" s="20">
        <v>10879</v>
      </c>
      <c r="AD71" s="2">
        <f t="shared" si="35"/>
        <v>0</v>
      </c>
    </row>
    <row r="72" ht="24" customHeight="1" spans="1:30">
      <c r="A72" s="256">
        <v>8</v>
      </c>
      <c r="B72" s="266" t="s">
        <v>381</v>
      </c>
      <c r="C72" s="256"/>
      <c r="D72" s="256"/>
      <c r="E72" s="279">
        <v>0</v>
      </c>
      <c r="F72" s="257">
        <v>0</v>
      </c>
      <c r="G72" s="257">
        <v>0</v>
      </c>
      <c r="H72" s="258">
        <f t="shared" si="37"/>
        <v>0</v>
      </c>
      <c r="I72" s="257"/>
      <c r="J72" s="257"/>
      <c r="K72" s="257"/>
      <c r="L72" s="258">
        <f t="shared" si="38"/>
        <v>0</v>
      </c>
      <c r="M72" s="257"/>
      <c r="N72" s="257"/>
      <c r="O72" s="257"/>
      <c r="P72" s="258">
        <f t="shared" si="39"/>
        <v>0</v>
      </c>
      <c r="Q72" s="257"/>
      <c r="R72" s="257"/>
      <c r="S72" s="257"/>
      <c r="T72" s="258">
        <f t="shared" si="40"/>
        <v>0</v>
      </c>
      <c r="V72" s="29">
        <f t="shared" si="41"/>
        <v>0</v>
      </c>
      <c r="X72" s="29"/>
      <c r="Y72" s="5" t="s">
        <v>323</v>
      </c>
      <c r="Z72" s="5">
        <v>200000</v>
      </c>
      <c r="AA72" s="5"/>
      <c r="AB72" s="5">
        <v>200000</v>
      </c>
      <c r="AC72" s="20">
        <v>200000</v>
      </c>
      <c r="AD72" s="2">
        <f t="shared" si="35"/>
        <v>0</v>
      </c>
    </row>
    <row r="73" ht="24" customHeight="1" spans="1:30">
      <c r="A73" s="253">
        <v>9</v>
      </c>
      <c r="B73" s="266" t="s">
        <v>382</v>
      </c>
      <c r="C73" s="256" t="s">
        <v>305</v>
      </c>
      <c r="D73" s="256" t="s">
        <v>334</v>
      </c>
      <c r="E73" s="279">
        <v>0</v>
      </c>
      <c r="F73" s="257">
        <v>0</v>
      </c>
      <c r="G73" s="257">
        <v>0</v>
      </c>
      <c r="H73" s="258">
        <f t="shared" si="37"/>
        <v>0</v>
      </c>
      <c r="I73" s="257"/>
      <c r="J73" s="257"/>
      <c r="K73" s="257"/>
      <c r="L73" s="258">
        <f t="shared" si="38"/>
        <v>0</v>
      </c>
      <c r="M73" s="257"/>
      <c r="N73" s="257"/>
      <c r="O73" s="257"/>
      <c r="P73" s="258">
        <f t="shared" si="39"/>
        <v>0</v>
      </c>
      <c r="Q73" s="257"/>
      <c r="R73" s="257"/>
      <c r="S73" s="257"/>
      <c r="T73" s="258">
        <f t="shared" si="40"/>
        <v>0</v>
      </c>
      <c r="V73" s="29">
        <f t="shared" si="41"/>
        <v>0</v>
      </c>
      <c r="X73" s="29"/>
      <c r="Y73" s="5" t="s">
        <v>350</v>
      </c>
      <c r="Z73" s="5">
        <v>155737</v>
      </c>
      <c r="AA73" s="5">
        <v>4785</v>
      </c>
      <c r="AB73" s="5">
        <v>150952</v>
      </c>
      <c r="AC73" s="20">
        <v>150952</v>
      </c>
      <c r="AD73" s="2">
        <f t="shared" si="35"/>
        <v>0</v>
      </c>
    </row>
    <row r="74" ht="24" customHeight="1" spans="1:30">
      <c r="A74" s="256">
        <v>10</v>
      </c>
      <c r="B74" s="266" t="s">
        <v>383</v>
      </c>
      <c r="C74" s="256"/>
      <c r="D74" s="256"/>
      <c r="E74" s="279">
        <v>0</v>
      </c>
      <c r="F74" s="257">
        <v>0</v>
      </c>
      <c r="G74" s="257">
        <v>0</v>
      </c>
      <c r="H74" s="258">
        <f t="shared" si="37"/>
        <v>0</v>
      </c>
      <c r="I74" s="257"/>
      <c r="J74" s="257"/>
      <c r="K74" s="257"/>
      <c r="L74" s="258">
        <f t="shared" si="38"/>
        <v>0</v>
      </c>
      <c r="M74" s="257"/>
      <c r="N74" s="257"/>
      <c r="O74" s="257"/>
      <c r="P74" s="258">
        <f t="shared" si="39"/>
        <v>0</v>
      </c>
      <c r="Q74" s="257"/>
      <c r="R74" s="257"/>
      <c r="S74" s="257"/>
      <c r="T74" s="258">
        <f t="shared" si="40"/>
        <v>0</v>
      </c>
      <c r="V74" s="29">
        <f t="shared" si="41"/>
        <v>0</v>
      </c>
      <c r="X74" s="29"/>
      <c r="Y74" s="5" t="s">
        <v>364</v>
      </c>
      <c r="Z74" s="5">
        <v>35693.04</v>
      </c>
      <c r="AA74" s="5"/>
      <c r="AB74" s="5">
        <v>35693.04</v>
      </c>
      <c r="AC74" s="20">
        <v>35693.04</v>
      </c>
      <c r="AD74" s="2">
        <f t="shared" si="35"/>
        <v>0</v>
      </c>
    </row>
    <row r="75" ht="24" customHeight="1" spans="1:30">
      <c r="A75" s="253">
        <v>11</v>
      </c>
      <c r="B75" s="266" t="s">
        <v>384</v>
      </c>
      <c r="C75" s="256" t="s">
        <v>310</v>
      </c>
      <c r="D75" s="256" t="s">
        <v>314</v>
      </c>
      <c r="E75" s="279"/>
      <c r="F75" s="257"/>
      <c r="G75" s="257"/>
      <c r="H75" s="258"/>
      <c r="I75" s="257"/>
      <c r="J75" s="257"/>
      <c r="K75" s="257"/>
      <c r="L75" s="258"/>
      <c r="M75" s="257"/>
      <c r="N75" s="257"/>
      <c r="O75" s="257"/>
      <c r="P75" s="258"/>
      <c r="Q75" s="257"/>
      <c r="R75" s="257"/>
      <c r="S75" s="257"/>
      <c r="T75" s="258"/>
      <c r="V75" s="29"/>
      <c r="X75" s="29"/>
      <c r="Y75" s="5"/>
      <c r="Z75" s="5"/>
      <c r="AA75" s="5"/>
      <c r="AB75" s="5"/>
      <c r="AD75" s="2"/>
    </row>
    <row r="76" ht="24" customHeight="1" spans="1:30">
      <c r="A76" s="256">
        <v>12</v>
      </c>
      <c r="B76" s="290" t="s">
        <v>385</v>
      </c>
      <c r="C76" s="256"/>
      <c r="D76" s="256"/>
      <c r="E76" s="279">
        <v>0</v>
      </c>
      <c r="F76" s="257">
        <v>0</v>
      </c>
      <c r="G76" s="257">
        <v>0</v>
      </c>
      <c r="H76" s="268">
        <f t="shared" ref="H76:H86" si="42">SUM(E76:G76)</f>
        <v>0</v>
      </c>
      <c r="I76" s="257"/>
      <c r="J76" s="257"/>
      <c r="K76" s="257"/>
      <c r="L76" s="268">
        <f t="shared" ref="L76:L86" si="43">SUM(I76:K76)</f>
        <v>0</v>
      </c>
      <c r="M76" s="257"/>
      <c r="N76" s="257"/>
      <c r="O76" s="257"/>
      <c r="P76" s="268">
        <f t="shared" ref="P76:P86" si="44">SUM(M76:O76)</f>
        <v>0</v>
      </c>
      <c r="Q76" s="257"/>
      <c r="R76" s="257"/>
      <c r="S76" s="257"/>
      <c r="T76" s="268">
        <f t="shared" ref="T76:T86" si="45">SUM(Q76:S76)</f>
        <v>0</v>
      </c>
      <c r="V76" s="29">
        <f t="shared" ref="V76:V78" si="46">S72+R72+Q72+O72+N72+M72+K72+J72+I72+G72+F72+E72</f>
        <v>0</v>
      </c>
      <c r="X76" s="29"/>
      <c r="Y76" s="5" t="s">
        <v>550</v>
      </c>
      <c r="Z76" s="5">
        <v>550590.57</v>
      </c>
      <c r="AA76" s="5"/>
      <c r="AB76" s="5">
        <v>550590.57</v>
      </c>
      <c r="AC76" s="20">
        <v>550590.57</v>
      </c>
      <c r="AD76" s="2">
        <f t="shared" ref="AD76:AD81" si="47">AB76-AC76</f>
        <v>0</v>
      </c>
    </row>
    <row r="77" ht="19.5" customHeight="1" spans="1:30">
      <c r="A77" s="256"/>
      <c r="B77" s="299" t="s">
        <v>544</v>
      </c>
      <c r="C77" s="299"/>
      <c r="D77" s="299"/>
      <c r="E77" s="276">
        <f t="shared" ref="E77:T77" si="48">E74+E73+E72+E71+E70+E69+E68+E67+E66+E65+E17+E63+E57+E54+E37+E13+E103</f>
        <v>1253096.54</v>
      </c>
      <c r="F77" s="276">
        <f t="shared" si="48"/>
        <v>1379655.29</v>
      </c>
      <c r="G77" s="276">
        <f t="shared" si="48"/>
        <v>2166781.81</v>
      </c>
      <c r="H77" s="276">
        <f t="shared" si="48"/>
        <v>4799533.64</v>
      </c>
      <c r="I77" s="276">
        <f t="shared" si="48"/>
        <v>0</v>
      </c>
      <c r="J77" s="276">
        <f t="shared" si="48"/>
        <v>0</v>
      </c>
      <c r="K77" s="276">
        <f t="shared" si="48"/>
        <v>0</v>
      </c>
      <c r="L77" s="276">
        <f t="shared" si="48"/>
        <v>0</v>
      </c>
      <c r="M77" s="276">
        <f t="shared" si="48"/>
        <v>0</v>
      </c>
      <c r="N77" s="276">
        <f t="shared" si="48"/>
        <v>0</v>
      </c>
      <c r="O77" s="276">
        <f t="shared" si="48"/>
        <v>0</v>
      </c>
      <c r="P77" s="276">
        <f t="shared" si="48"/>
        <v>0</v>
      </c>
      <c r="Q77" s="276">
        <f t="shared" si="48"/>
        <v>0</v>
      </c>
      <c r="R77" s="276">
        <f t="shared" si="48"/>
        <v>0</v>
      </c>
      <c r="S77" s="276">
        <f t="shared" si="48"/>
        <v>0</v>
      </c>
      <c r="T77" s="276">
        <f t="shared" si="48"/>
        <v>0</v>
      </c>
      <c r="V77" s="29">
        <f t="shared" si="46"/>
        <v>0</v>
      </c>
      <c r="X77" s="29"/>
      <c r="Y77" s="5" t="s">
        <v>336</v>
      </c>
      <c r="Z77" s="5">
        <v>281000</v>
      </c>
      <c r="AA77" s="5"/>
      <c r="AB77" s="5">
        <v>281000</v>
      </c>
      <c r="AC77" s="20">
        <v>281000</v>
      </c>
      <c r="AD77" s="2">
        <f t="shared" si="47"/>
        <v>0</v>
      </c>
    </row>
    <row r="78" s="251" customFormat="1" ht="19.5" customHeight="1" spans="1:30">
      <c r="A78" s="251" t="s">
        <v>555</v>
      </c>
      <c r="E78" s="300"/>
      <c r="F78" s="271"/>
      <c r="G78" s="271"/>
      <c r="H78" s="271"/>
      <c r="I78" s="271"/>
      <c r="J78" s="271"/>
      <c r="K78" s="271"/>
      <c r="L78" s="271"/>
      <c r="M78" s="271"/>
      <c r="N78" s="271"/>
      <c r="O78" s="271"/>
      <c r="P78" s="271"/>
      <c r="Q78" s="271"/>
      <c r="R78" s="271"/>
      <c r="S78" s="271"/>
      <c r="T78" s="271"/>
      <c r="V78" s="283">
        <f t="shared" si="46"/>
        <v>0</v>
      </c>
      <c r="X78" s="283"/>
      <c r="Y78" s="313" t="s">
        <v>552</v>
      </c>
      <c r="Z78" s="313">
        <v>19.8</v>
      </c>
      <c r="AA78" s="313"/>
      <c r="AB78" s="313">
        <v>19.8</v>
      </c>
      <c r="AC78" s="251" t="e">
        <v>#N/A</v>
      </c>
      <c r="AD78" s="314" t="e">
        <f t="shared" si="47"/>
        <v>#N/A</v>
      </c>
    </row>
    <row r="79" s="31" customFormat="1" ht="19.5" customHeight="1" spans="1:30">
      <c r="A79" s="254" t="s">
        <v>3</v>
      </c>
      <c r="B79" s="254" t="s">
        <v>286</v>
      </c>
      <c r="C79" s="256" t="s">
        <v>287</v>
      </c>
      <c r="D79" s="256" t="s">
        <v>346</v>
      </c>
      <c r="E79" s="301" t="s">
        <v>288</v>
      </c>
      <c r="F79" s="302" t="s">
        <v>289</v>
      </c>
      <c r="G79" s="302" t="s">
        <v>290</v>
      </c>
      <c r="H79" s="303" t="s">
        <v>291</v>
      </c>
      <c r="I79" s="302" t="s">
        <v>292</v>
      </c>
      <c r="J79" s="302" t="s">
        <v>293</v>
      </c>
      <c r="K79" s="302" t="s">
        <v>294</v>
      </c>
      <c r="L79" s="303" t="s">
        <v>295</v>
      </c>
      <c r="M79" s="302" t="s">
        <v>296</v>
      </c>
      <c r="N79" s="302" t="s">
        <v>297</v>
      </c>
      <c r="O79" s="302" t="s">
        <v>298</v>
      </c>
      <c r="P79" s="303" t="s">
        <v>299</v>
      </c>
      <c r="Q79" s="302" t="s">
        <v>300</v>
      </c>
      <c r="R79" s="302" t="s">
        <v>301</v>
      </c>
      <c r="S79" s="302" t="s">
        <v>302</v>
      </c>
      <c r="T79" s="303" t="s">
        <v>303</v>
      </c>
      <c r="V79" s="281">
        <f t="shared" ref="V79:V90" si="49">S76+R76+Q76+O76+N76+M76+K76+J76+I76+G76+F76+E76</f>
        <v>0</v>
      </c>
      <c r="X79" s="281"/>
      <c r="Y79" s="5" t="s">
        <v>513</v>
      </c>
      <c r="Z79" s="5">
        <v>100000</v>
      </c>
      <c r="AA79" s="5"/>
      <c r="AB79" s="5">
        <v>100000</v>
      </c>
      <c r="AC79" s="20">
        <v>100000</v>
      </c>
      <c r="AD79" s="2">
        <f t="shared" si="47"/>
        <v>0</v>
      </c>
    </row>
    <row r="80" ht="19.5" customHeight="1" spans="1:30">
      <c r="A80" s="256">
        <v>1</v>
      </c>
      <c r="B80" s="256" t="s">
        <v>347</v>
      </c>
      <c r="C80" s="256" t="s">
        <v>348</v>
      </c>
      <c r="D80" s="256" t="s">
        <v>349</v>
      </c>
      <c r="E80" s="279">
        <v>431498</v>
      </c>
      <c r="F80" s="257">
        <v>555081</v>
      </c>
      <c r="G80" s="257">
        <v>601937</v>
      </c>
      <c r="H80" s="258">
        <f t="shared" si="42"/>
        <v>1588516</v>
      </c>
      <c r="I80" s="257"/>
      <c r="J80" s="257"/>
      <c r="K80" s="257"/>
      <c r="L80" s="258">
        <f t="shared" si="43"/>
        <v>0</v>
      </c>
      <c r="M80" s="257"/>
      <c r="N80" s="257"/>
      <c r="O80" s="257"/>
      <c r="P80" s="258">
        <f t="shared" si="44"/>
        <v>0</v>
      </c>
      <c r="Q80" s="257"/>
      <c r="R80" s="257"/>
      <c r="S80" s="257"/>
      <c r="T80" s="258">
        <f t="shared" si="45"/>
        <v>0</v>
      </c>
      <c r="V80" s="280">
        <f t="shared" si="49"/>
        <v>4799533.64</v>
      </c>
      <c r="X80" s="29"/>
      <c r="Y80" s="5" t="s">
        <v>307</v>
      </c>
      <c r="Z80" s="5">
        <v>330711.2</v>
      </c>
      <c r="AA80" s="5"/>
      <c r="AB80" s="5">
        <v>330711.2</v>
      </c>
      <c r="AC80" s="20">
        <v>330711.2</v>
      </c>
      <c r="AD80" s="2">
        <f t="shared" si="47"/>
        <v>0</v>
      </c>
    </row>
    <row r="81" ht="19.5" customHeight="1" spans="1:30">
      <c r="A81" s="256">
        <v>2</v>
      </c>
      <c r="B81" s="256" t="s">
        <v>350</v>
      </c>
      <c r="C81" s="256" t="s">
        <v>348</v>
      </c>
      <c r="D81" s="256" t="s">
        <v>334</v>
      </c>
      <c r="E81" s="279">
        <v>84451</v>
      </c>
      <c r="F81" s="257">
        <v>174972.1</v>
      </c>
      <c r="G81" s="257">
        <v>150952</v>
      </c>
      <c r="H81" s="258">
        <f t="shared" si="42"/>
        <v>410375.1</v>
      </c>
      <c r="I81" s="257"/>
      <c r="J81" s="257"/>
      <c r="K81" s="257"/>
      <c r="L81" s="258">
        <f t="shared" si="43"/>
        <v>0</v>
      </c>
      <c r="M81" s="257"/>
      <c r="N81" s="257"/>
      <c r="O81" s="257"/>
      <c r="P81" s="258">
        <f t="shared" si="44"/>
        <v>0</v>
      </c>
      <c r="Q81" s="257"/>
      <c r="R81" s="257"/>
      <c r="S81" s="257"/>
      <c r="T81" s="258">
        <f t="shared" si="45"/>
        <v>0</v>
      </c>
      <c r="V81" s="29"/>
      <c r="X81" s="29"/>
      <c r="Y81" s="5" t="s">
        <v>354</v>
      </c>
      <c r="Z81" s="5">
        <v>26766</v>
      </c>
      <c r="AA81" s="5"/>
      <c r="AB81" s="5">
        <v>26766</v>
      </c>
      <c r="AC81" s="20">
        <v>26766</v>
      </c>
      <c r="AD81" s="2">
        <f t="shared" si="47"/>
        <v>0</v>
      </c>
    </row>
    <row r="82" s="30" customFormat="1" ht="19.5" customHeight="1" spans="1:30">
      <c r="A82" s="256">
        <v>3</v>
      </c>
      <c r="B82" s="256" t="s">
        <v>351</v>
      </c>
      <c r="C82" s="256" t="s">
        <v>348</v>
      </c>
      <c r="D82" s="256" t="s">
        <v>352</v>
      </c>
      <c r="E82" s="279">
        <v>24422</v>
      </c>
      <c r="F82" s="257">
        <v>110516.9</v>
      </c>
      <c r="G82" s="257">
        <v>143654.88</v>
      </c>
      <c r="H82" s="258">
        <f t="shared" si="42"/>
        <v>278593.78</v>
      </c>
      <c r="I82" s="257"/>
      <c r="J82" s="257"/>
      <c r="K82" s="257"/>
      <c r="L82" s="258">
        <f t="shared" si="43"/>
        <v>0</v>
      </c>
      <c r="M82" s="257"/>
      <c r="N82" s="257"/>
      <c r="O82" s="257"/>
      <c r="P82" s="258">
        <f t="shared" si="44"/>
        <v>0</v>
      </c>
      <c r="Q82" s="257"/>
      <c r="R82" s="257"/>
      <c r="S82" s="257"/>
      <c r="T82" s="258">
        <f t="shared" si="45"/>
        <v>0</v>
      </c>
      <c r="V82" s="29"/>
      <c r="X82" s="29"/>
      <c r="Y82" s="6"/>
      <c r="Z82" s="6"/>
      <c r="AA82" s="6"/>
      <c r="AB82" s="6"/>
      <c r="AC82" s="20"/>
      <c r="AD82" s="20"/>
    </row>
    <row r="83" ht="19.5" customHeight="1" spans="1:24">
      <c r="A83" s="256">
        <v>4</v>
      </c>
      <c r="B83" s="256" t="s">
        <v>353</v>
      </c>
      <c r="C83" s="256" t="s">
        <v>348</v>
      </c>
      <c r="D83" s="256" t="s">
        <v>314</v>
      </c>
      <c r="E83" s="279">
        <v>55888</v>
      </c>
      <c r="F83" s="257">
        <v>110150.4</v>
      </c>
      <c r="G83" s="257">
        <v>151680.8</v>
      </c>
      <c r="H83" s="258">
        <f t="shared" si="42"/>
        <v>317719.2</v>
      </c>
      <c r="I83" s="257"/>
      <c r="J83" s="257"/>
      <c r="K83" s="257"/>
      <c r="L83" s="258">
        <f t="shared" si="43"/>
        <v>0</v>
      </c>
      <c r="M83" s="257"/>
      <c r="N83" s="257"/>
      <c r="O83" s="257"/>
      <c r="P83" s="258">
        <f t="shared" si="44"/>
        <v>0</v>
      </c>
      <c r="Q83" s="257"/>
      <c r="R83" s="257"/>
      <c r="S83" s="257"/>
      <c r="T83" s="258">
        <f t="shared" si="45"/>
        <v>0</v>
      </c>
      <c r="V83" s="29">
        <f t="shared" si="49"/>
        <v>1588516</v>
      </c>
      <c r="X83" s="29"/>
    </row>
    <row r="84" ht="19.5" customHeight="1" spans="1:24">
      <c r="A84" s="256">
        <v>5</v>
      </c>
      <c r="B84" s="256" t="s">
        <v>354</v>
      </c>
      <c r="C84" s="256" t="s">
        <v>348</v>
      </c>
      <c r="D84" s="256" t="s">
        <v>306</v>
      </c>
      <c r="E84" s="279">
        <v>0</v>
      </c>
      <c r="F84" s="257">
        <v>14214</v>
      </c>
      <c r="G84" s="257">
        <v>26766</v>
      </c>
      <c r="H84" s="258">
        <f t="shared" si="42"/>
        <v>40980</v>
      </c>
      <c r="I84" s="257"/>
      <c r="J84" s="257"/>
      <c r="K84" s="257"/>
      <c r="L84" s="258">
        <f t="shared" si="43"/>
        <v>0</v>
      </c>
      <c r="M84" s="257"/>
      <c r="N84" s="257"/>
      <c r="O84" s="257"/>
      <c r="P84" s="258">
        <f t="shared" si="44"/>
        <v>0</v>
      </c>
      <c r="Q84" s="257"/>
      <c r="R84" s="257"/>
      <c r="S84" s="257"/>
      <c r="T84" s="258">
        <f t="shared" si="45"/>
        <v>0</v>
      </c>
      <c r="V84" s="29">
        <f t="shared" si="49"/>
        <v>410375.1</v>
      </c>
      <c r="X84" s="29"/>
    </row>
    <row r="85" ht="19.5" customHeight="1" spans="1:24">
      <c r="A85" s="256">
        <v>6</v>
      </c>
      <c r="B85" s="256" t="s">
        <v>355</v>
      </c>
      <c r="C85" s="256" t="s">
        <v>348</v>
      </c>
      <c r="D85" s="256" t="s">
        <v>352</v>
      </c>
      <c r="E85" s="279">
        <v>29179</v>
      </c>
      <c r="F85" s="257">
        <v>111337</v>
      </c>
      <c r="G85" s="257">
        <v>74565</v>
      </c>
      <c r="H85" s="258">
        <f t="shared" si="42"/>
        <v>215081</v>
      </c>
      <c r="I85" s="257"/>
      <c r="J85" s="257"/>
      <c r="K85" s="257"/>
      <c r="L85" s="258">
        <f t="shared" si="43"/>
        <v>0</v>
      </c>
      <c r="M85" s="257"/>
      <c r="N85" s="257"/>
      <c r="O85" s="257"/>
      <c r="P85" s="258">
        <f t="shared" si="44"/>
        <v>0</v>
      </c>
      <c r="Q85" s="257"/>
      <c r="R85" s="257"/>
      <c r="S85" s="257"/>
      <c r="T85" s="258">
        <f t="shared" si="45"/>
        <v>0</v>
      </c>
      <c r="V85" s="29">
        <f t="shared" si="49"/>
        <v>278593.78</v>
      </c>
      <c r="X85" s="29"/>
    </row>
    <row r="86" ht="19.5" customHeight="1" spans="1:24">
      <c r="A86" s="256">
        <v>7</v>
      </c>
      <c r="B86" s="256" t="s">
        <v>357</v>
      </c>
      <c r="C86" s="256" t="s">
        <v>326</v>
      </c>
      <c r="D86" s="256" t="s">
        <v>334</v>
      </c>
      <c r="E86" s="279">
        <v>153577</v>
      </c>
      <c r="F86" s="257">
        <v>138466</v>
      </c>
      <c r="G86" s="257">
        <v>247705.4</v>
      </c>
      <c r="H86" s="258">
        <f t="shared" si="42"/>
        <v>539748.4</v>
      </c>
      <c r="I86" s="257"/>
      <c r="J86" s="257"/>
      <c r="K86" s="257"/>
      <c r="L86" s="258">
        <f t="shared" si="43"/>
        <v>0</v>
      </c>
      <c r="M86" s="257"/>
      <c r="N86" s="257"/>
      <c r="O86" s="257"/>
      <c r="P86" s="258">
        <f t="shared" si="44"/>
        <v>0</v>
      </c>
      <c r="Q86" s="257"/>
      <c r="R86" s="257"/>
      <c r="S86" s="257"/>
      <c r="T86" s="258">
        <f t="shared" si="45"/>
        <v>0</v>
      </c>
      <c r="V86" s="29">
        <f t="shared" si="49"/>
        <v>317719.2</v>
      </c>
      <c r="X86" s="29"/>
    </row>
    <row r="87" ht="19.5" customHeight="1" spans="2:24">
      <c r="B87" s="287" t="s">
        <v>360</v>
      </c>
      <c r="C87" s="287"/>
      <c r="D87" s="287"/>
      <c r="E87" s="276">
        <f t="shared" ref="E87:T87" si="50">SUM(E80:E86)</f>
        <v>779015</v>
      </c>
      <c r="F87" s="276">
        <f t="shared" si="50"/>
        <v>1214737.4</v>
      </c>
      <c r="G87" s="276">
        <f t="shared" si="50"/>
        <v>1397261.08</v>
      </c>
      <c r="H87" s="276">
        <f t="shared" si="50"/>
        <v>3391013.48</v>
      </c>
      <c r="I87" s="276">
        <f t="shared" si="50"/>
        <v>0</v>
      </c>
      <c r="J87" s="276">
        <f t="shared" si="50"/>
        <v>0</v>
      </c>
      <c r="K87" s="276">
        <f t="shared" si="50"/>
        <v>0</v>
      </c>
      <c r="L87" s="276">
        <f t="shared" si="50"/>
        <v>0</v>
      </c>
      <c r="M87" s="276">
        <f t="shared" si="50"/>
        <v>0</v>
      </c>
      <c r="N87" s="276">
        <f t="shared" si="50"/>
        <v>0</v>
      </c>
      <c r="O87" s="276">
        <f t="shared" si="50"/>
        <v>0</v>
      </c>
      <c r="P87" s="276">
        <f t="shared" si="50"/>
        <v>0</v>
      </c>
      <c r="Q87" s="276">
        <f t="shared" si="50"/>
        <v>0</v>
      </c>
      <c r="R87" s="276">
        <f t="shared" si="50"/>
        <v>0</v>
      </c>
      <c r="S87" s="276">
        <f t="shared" si="50"/>
        <v>0</v>
      </c>
      <c r="T87" s="276">
        <f t="shared" si="50"/>
        <v>0</v>
      </c>
      <c r="V87" s="29">
        <f t="shared" si="49"/>
        <v>40980</v>
      </c>
      <c r="X87" s="29"/>
    </row>
    <row r="88" ht="19.5" customHeight="1" spans="1:24">
      <c r="A88" s="251"/>
      <c r="B88" s="251"/>
      <c r="C88" s="251"/>
      <c r="D88" s="251"/>
      <c r="E88" s="288"/>
      <c r="F88" s="265"/>
      <c r="G88" s="265"/>
      <c r="H88" s="265"/>
      <c r="I88" s="265"/>
      <c r="J88" s="265"/>
      <c r="K88" s="265"/>
      <c r="L88" s="265"/>
      <c r="M88" s="265"/>
      <c r="N88" s="265"/>
      <c r="O88" s="265"/>
      <c r="P88" s="265"/>
      <c r="Q88" s="265"/>
      <c r="R88" s="265"/>
      <c r="S88" s="265"/>
      <c r="T88" s="265"/>
      <c r="V88" s="29">
        <f t="shared" si="49"/>
        <v>215081</v>
      </c>
      <c r="X88" s="29"/>
    </row>
    <row r="89" ht="19.5" customHeight="1" spans="1:24">
      <c r="A89" s="304" t="s">
        <v>390</v>
      </c>
      <c r="B89" s="304"/>
      <c r="C89" s="304"/>
      <c r="D89" s="304"/>
      <c r="E89" s="276">
        <f t="shared" ref="E89:T89" si="51">E87+E77</f>
        <v>2032111.54</v>
      </c>
      <c r="F89" s="276">
        <f t="shared" si="51"/>
        <v>2594392.69</v>
      </c>
      <c r="G89" s="276">
        <f t="shared" si="51"/>
        <v>3564042.89</v>
      </c>
      <c r="H89" s="276">
        <f t="shared" si="51"/>
        <v>8190547.12</v>
      </c>
      <c r="I89" s="276">
        <f t="shared" si="51"/>
        <v>0</v>
      </c>
      <c r="J89" s="276">
        <f t="shared" si="51"/>
        <v>0</v>
      </c>
      <c r="K89" s="276">
        <f t="shared" si="51"/>
        <v>0</v>
      </c>
      <c r="L89" s="276">
        <f t="shared" si="51"/>
        <v>0</v>
      </c>
      <c r="M89" s="276">
        <f t="shared" si="51"/>
        <v>0</v>
      </c>
      <c r="N89" s="276">
        <f t="shared" si="51"/>
        <v>0</v>
      </c>
      <c r="O89" s="276">
        <f t="shared" si="51"/>
        <v>0</v>
      </c>
      <c r="P89" s="276">
        <f t="shared" si="51"/>
        <v>0</v>
      </c>
      <c r="Q89" s="276">
        <f t="shared" si="51"/>
        <v>0</v>
      </c>
      <c r="R89" s="276">
        <f t="shared" si="51"/>
        <v>0</v>
      </c>
      <c r="S89" s="276">
        <f t="shared" si="51"/>
        <v>0</v>
      </c>
      <c r="T89" s="276">
        <f t="shared" si="51"/>
        <v>0</v>
      </c>
      <c r="V89" s="29">
        <f t="shared" si="49"/>
        <v>539748.4</v>
      </c>
      <c r="X89" s="29"/>
    </row>
    <row r="90" ht="19.5" customHeight="1" spans="1:24">
      <c r="A90" s="251"/>
      <c r="B90" s="251"/>
      <c r="C90" s="251"/>
      <c r="D90" s="251"/>
      <c r="E90" s="288"/>
      <c r="F90" s="265"/>
      <c r="G90" s="265"/>
      <c r="H90" s="265"/>
      <c r="I90" s="265"/>
      <c r="V90" s="310">
        <f t="shared" si="49"/>
        <v>3391013.48</v>
      </c>
      <c r="X90" s="29"/>
    </row>
    <row r="91" ht="19.5" customHeight="1" spans="1:24">
      <c r="A91" s="251"/>
      <c r="B91" s="251" t="s">
        <v>556</v>
      </c>
      <c r="C91" s="251"/>
      <c r="D91" s="251"/>
      <c r="E91" s="288">
        <f t="shared" ref="E91:T91" si="52">E61+E51+E86+E85+E84+E83+E82+E81+E80+E66+E71+E70+E67+E68+E69+E65+E16+E15+E76+E60+E62+E59+E56+E53+E50+E49+E48+E47+E46+E45+E43+E44+E42+E41+E40+E39+E74+E34+E33+E32+E31+E30+E29+E28+E27+E36+E26+E25+E24+E73+E23+E72+E22+E21+E20+E19+E8+E7+E6+E101+E12+E11+E10+E9+E5+E4</f>
        <v>2032111.54</v>
      </c>
      <c r="F91" s="288">
        <f t="shared" si="52"/>
        <v>2578515.34</v>
      </c>
      <c r="G91" s="288">
        <f t="shared" si="52"/>
        <v>3517470.85</v>
      </c>
      <c r="H91" s="288">
        <f t="shared" si="52"/>
        <v>8128097.73</v>
      </c>
      <c r="I91" s="288">
        <f t="shared" si="52"/>
        <v>0</v>
      </c>
      <c r="J91" s="288">
        <f t="shared" si="52"/>
        <v>0</v>
      </c>
      <c r="K91" s="288">
        <f t="shared" si="52"/>
        <v>0</v>
      </c>
      <c r="L91" s="288">
        <f t="shared" si="52"/>
        <v>0</v>
      </c>
      <c r="M91" s="288">
        <f t="shared" si="52"/>
        <v>0</v>
      </c>
      <c r="N91" s="288">
        <f t="shared" si="52"/>
        <v>0</v>
      </c>
      <c r="O91" s="288">
        <f t="shared" si="52"/>
        <v>0</v>
      </c>
      <c r="P91" s="288">
        <f t="shared" si="52"/>
        <v>0</v>
      </c>
      <c r="Q91" s="288">
        <f t="shared" si="52"/>
        <v>0</v>
      </c>
      <c r="R91" s="288">
        <f t="shared" si="52"/>
        <v>0</v>
      </c>
      <c r="S91" s="288">
        <f t="shared" si="52"/>
        <v>0</v>
      </c>
      <c r="T91" s="288">
        <f t="shared" si="52"/>
        <v>0</v>
      </c>
      <c r="V91" s="29"/>
      <c r="X91" s="29"/>
    </row>
    <row r="92" ht="19.5" customHeight="1" spans="1:24">
      <c r="A92" s="251"/>
      <c r="B92" s="251"/>
      <c r="C92" s="251"/>
      <c r="D92" s="251"/>
      <c r="E92" s="288"/>
      <c r="F92" s="288"/>
      <c r="G92" s="288"/>
      <c r="H92" s="288"/>
      <c r="I92" s="288"/>
      <c r="J92" s="288"/>
      <c r="K92" s="288"/>
      <c r="L92" s="288"/>
      <c r="M92" s="288"/>
      <c r="N92" s="288"/>
      <c r="O92" s="288"/>
      <c r="P92" s="288"/>
      <c r="Q92" s="288"/>
      <c r="R92" s="288"/>
      <c r="S92" s="288"/>
      <c r="T92" s="288"/>
      <c r="V92" s="311">
        <f>S89+R89+Q89+O89+N89+M89+K89+J89+I89+G89+F89+E89</f>
        <v>8190547.12</v>
      </c>
      <c r="X92" s="29"/>
    </row>
    <row r="93" ht="32.1" customHeight="1" spans="2:20">
      <c r="B93" s="305" t="s">
        <v>557</v>
      </c>
      <c r="C93" s="306"/>
      <c r="D93" s="306"/>
      <c r="E93" s="288">
        <f t="shared" ref="E93:T93" si="53">E86+E74+E73+E72+E71+E70+E69+E68+E67+E66+E65+E63+E57+E54+E37+E17+E13</f>
        <v>1406673.54</v>
      </c>
      <c r="F93" s="288">
        <f t="shared" si="53"/>
        <v>1486896.94</v>
      </c>
      <c r="G93" s="288">
        <f t="shared" si="53"/>
        <v>2367915.17</v>
      </c>
      <c r="H93" s="288">
        <f t="shared" si="53"/>
        <v>5261485.65</v>
      </c>
      <c r="I93" s="288">
        <f t="shared" si="53"/>
        <v>0</v>
      </c>
      <c r="J93" s="288">
        <f t="shared" si="53"/>
        <v>0</v>
      </c>
      <c r="K93" s="288">
        <f t="shared" si="53"/>
        <v>0</v>
      </c>
      <c r="L93" s="288">
        <f t="shared" si="53"/>
        <v>0</v>
      </c>
      <c r="M93" s="288">
        <f t="shared" si="53"/>
        <v>0</v>
      </c>
      <c r="N93" s="288">
        <f t="shared" si="53"/>
        <v>0</v>
      </c>
      <c r="O93" s="288">
        <f t="shared" si="53"/>
        <v>0</v>
      </c>
      <c r="P93" s="288">
        <f t="shared" si="53"/>
        <v>0</v>
      </c>
      <c r="Q93" s="288">
        <f t="shared" si="53"/>
        <v>0</v>
      </c>
      <c r="R93" s="288">
        <f t="shared" si="53"/>
        <v>0</v>
      </c>
      <c r="S93" s="288">
        <f t="shared" si="53"/>
        <v>0</v>
      </c>
      <c r="T93" s="288">
        <f t="shared" si="53"/>
        <v>0</v>
      </c>
    </row>
    <row r="94" ht="19.5" customHeight="1" spans="2:23">
      <c r="B94" s="251" t="s">
        <v>547</v>
      </c>
      <c r="E94" s="288">
        <f t="shared" ref="E94:T94" si="54">E87-E86</f>
        <v>625438</v>
      </c>
      <c r="F94" s="288">
        <f t="shared" si="54"/>
        <v>1076271.4</v>
      </c>
      <c r="G94" s="288">
        <f t="shared" si="54"/>
        <v>1149555.68</v>
      </c>
      <c r="H94" s="288">
        <f t="shared" si="54"/>
        <v>2851265.08</v>
      </c>
      <c r="I94" s="288">
        <f t="shared" si="54"/>
        <v>0</v>
      </c>
      <c r="J94" s="288">
        <f t="shared" si="54"/>
        <v>0</v>
      </c>
      <c r="K94" s="288">
        <f t="shared" si="54"/>
        <v>0</v>
      </c>
      <c r="L94" s="288">
        <f t="shared" si="54"/>
        <v>0</v>
      </c>
      <c r="M94" s="288">
        <f t="shared" si="54"/>
        <v>0</v>
      </c>
      <c r="N94" s="288">
        <f t="shared" si="54"/>
        <v>0</v>
      </c>
      <c r="O94" s="288">
        <f t="shared" si="54"/>
        <v>0</v>
      </c>
      <c r="P94" s="288">
        <f t="shared" si="54"/>
        <v>0</v>
      </c>
      <c r="Q94" s="288">
        <f t="shared" si="54"/>
        <v>0</v>
      </c>
      <c r="R94" s="288">
        <f t="shared" si="54"/>
        <v>0</v>
      </c>
      <c r="S94" s="288">
        <f t="shared" si="54"/>
        <v>0</v>
      </c>
      <c r="T94" s="288">
        <f t="shared" si="54"/>
        <v>0</v>
      </c>
      <c r="U94" s="265"/>
      <c r="V94" s="265"/>
      <c r="W94" s="265"/>
    </row>
    <row r="95" ht="19.5" customHeight="1" spans="5:22">
      <c r="E95" s="288"/>
      <c r="F95" s="265"/>
      <c r="G95" s="265"/>
      <c r="H95" s="265"/>
      <c r="I95" s="265"/>
      <c r="U95" s="265"/>
      <c r="V95" s="265"/>
    </row>
    <row r="96" ht="19.5" customHeight="1" spans="5:9">
      <c r="E96" s="288"/>
      <c r="F96" s="265"/>
      <c r="G96" s="265"/>
      <c r="H96" s="265"/>
      <c r="I96" s="265"/>
    </row>
    <row r="97" ht="19.5" customHeight="1" spans="5:9">
      <c r="E97" s="288"/>
      <c r="F97" s="265"/>
      <c r="G97" s="265"/>
      <c r="H97" s="265"/>
      <c r="I97" s="265"/>
    </row>
    <row r="98" ht="19.5" customHeight="1" spans="1:20">
      <c r="A98" s="254" t="s">
        <v>3</v>
      </c>
      <c r="B98" s="254" t="s">
        <v>286</v>
      </c>
      <c r="C98" s="254" t="s">
        <v>287</v>
      </c>
      <c r="D98" s="254" t="s">
        <v>224</v>
      </c>
      <c r="E98" s="286" t="s">
        <v>288</v>
      </c>
      <c r="F98" s="254" t="s">
        <v>289</v>
      </c>
      <c r="G98" s="254" t="s">
        <v>290</v>
      </c>
      <c r="H98" s="255" t="s">
        <v>291</v>
      </c>
      <c r="I98" s="254" t="s">
        <v>292</v>
      </c>
      <c r="J98" s="254" t="s">
        <v>293</v>
      </c>
      <c r="K98" s="254" t="s">
        <v>294</v>
      </c>
      <c r="L98" s="255" t="s">
        <v>295</v>
      </c>
      <c r="M98" s="254" t="s">
        <v>296</v>
      </c>
      <c r="N98" s="254" t="s">
        <v>297</v>
      </c>
      <c r="O98" s="254" t="s">
        <v>298</v>
      </c>
      <c r="P98" s="255" t="s">
        <v>299</v>
      </c>
      <c r="Q98" s="254" t="s">
        <v>300</v>
      </c>
      <c r="R98" s="254" t="s">
        <v>301</v>
      </c>
      <c r="S98" s="254" t="s">
        <v>302</v>
      </c>
      <c r="T98" s="255" t="s">
        <v>303</v>
      </c>
    </row>
    <row r="99" ht="19.5" customHeight="1" spans="1:20">
      <c r="A99" s="251" t="s">
        <v>274</v>
      </c>
      <c r="B99" s="251"/>
      <c r="C99" s="251"/>
      <c r="D99" s="251"/>
      <c r="E99" s="288"/>
      <c r="F99" s="265"/>
      <c r="G99" s="265"/>
      <c r="H99" s="265"/>
      <c r="I99" s="265"/>
      <c r="J99" s="265"/>
      <c r="K99" s="265"/>
      <c r="L99" s="265"/>
      <c r="M99" s="265"/>
      <c r="N99" s="265"/>
      <c r="O99" s="265"/>
      <c r="P99" s="265"/>
      <c r="Q99" s="265"/>
      <c r="R99" s="265"/>
      <c r="S99" s="265"/>
      <c r="T99" s="265"/>
    </row>
    <row r="100" ht="19.5" customHeight="1" spans="1:20">
      <c r="A100" s="256">
        <v>1</v>
      </c>
      <c r="B100" s="266" t="s">
        <v>363</v>
      </c>
      <c r="C100" s="256" t="s">
        <v>305</v>
      </c>
      <c r="D100" s="256" t="s">
        <v>331</v>
      </c>
      <c r="E100" s="279">
        <v>0</v>
      </c>
      <c r="F100" s="257">
        <v>0</v>
      </c>
      <c r="G100" s="257">
        <v>10879</v>
      </c>
      <c r="H100" s="258">
        <f t="shared" ref="H100:H102" si="55">SUM(E100:G100)</f>
        <v>10879</v>
      </c>
      <c r="I100" s="257"/>
      <c r="J100" s="257"/>
      <c r="K100" s="257"/>
      <c r="L100" s="258">
        <f t="shared" ref="L100:L102" si="56">SUM(I100:K100)</f>
        <v>0</v>
      </c>
      <c r="M100" s="257"/>
      <c r="N100" s="257"/>
      <c r="O100" s="257"/>
      <c r="P100" s="258">
        <f t="shared" ref="P100:P102" si="57">SUM(M100:O100)</f>
        <v>0</v>
      </c>
      <c r="Q100" s="257"/>
      <c r="R100" s="257"/>
      <c r="S100" s="257"/>
      <c r="T100" s="258">
        <f t="shared" ref="T100:T102" si="58">SUM(Q100:S100)</f>
        <v>0</v>
      </c>
    </row>
    <row r="101" ht="19.5" customHeight="1" spans="1:33">
      <c r="A101" s="256">
        <v>2</v>
      </c>
      <c r="B101" s="266" t="s">
        <v>362</v>
      </c>
      <c r="C101" s="256" t="s">
        <v>274</v>
      </c>
      <c r="D101" s="256" t="s">
        <v>306</v>
      </c>
      <c r="E101" s="279">
        <v>0</v>
      </c>
      <c r="F101" s="257">
        <v>15347</v>
      </c>
      <c r="G101" s="257">
        <v>0</v>
      </c>
      <c r="H101" s="258">
        <f t="shared" si="55"/>
        <v>15347</v>
      </c>
      <c r="I101" s="257"/>
      <c r="J101" s="257"/>
      <c r="K101" s="257"/>
      <c r="L101" s="258">
        <f t="shared" si="56"/>
        <v>0</v>
      </c>
      <c r="M101" s="257"/>
      <c r="N101" s="257"/>
      <c r="O101" s="257"/>
      <c r="P101" s="258">
        <f t="shared" si="57"/>
        <v>0</v>
      </c>
      <c r="Q101" s="257"/>
      <c r="R101" s="257"/>
      <c r="S101" s="257"/>
      <c r="T101" s="258">
        <f t="shared" si="58"/>
        <v>0</v>
      </c>
      <c r="V101" s="29">
        <f>S101+R101+Q101+O101+N101+M101+K101+J101+I101+G101+F101+E101</f>
        <v>15347</v>
      </c>
      <c r="X101"/>
      <c r="Y101" s="5" t="s">
        <v>373</v>
      </c>
      <c r="Z101" s="5">
        <f>60784+179141+7199+5000</f>
        <v>252124</v>
      </c>
      <c r="AA101" s="5">
        <f>VLOOKUP(Y:Y,[5]Sheet2!$B$3:$C$12,2,0)</f>
        <v>6795</v>
      </c>
      <c r="AB101" s="5">
        <f>Z101-AA101</f>
        <v>245329</v>
      </c>
      <c r="AC101" s="2">
        <v>82929</v>
      </c>
      <c r="AD101" s="2">
        <f>AB101-AC101</f>
        <v>162400</v>
      </c>
      <c r="AE101" s="2" t="s">
        <v>558</v>
      </c>
      <c r="AF101" s="6"/>
      <c r="AG101" s="6"/>
    </row>
    <row r="102" ht="19.5" customHeight="1" spans="1:20">
      <c r="A102" s="256">
        <v>3</v>
      </c>
      <c r="B102" s="266" t="s">
        <v>364</v>
      </c>
      <c r="C102" s="256" t="s">
        <v>274</v>
      </c>
      <c r="D102" s="256" t="s">
        <v>331</v>
      </c>
      <c r="E102" s="279">
        <v>0</v>
      </c>
      <c r="F102" s="257">
        <v>15877.35</v>
      </c>
      <c r="G102" s="257">
        <v>35693.04</v>
      </c>
      <c r="H102" s="258">
        <f t="shared" si="55"/>
        <v>51570.39</v>
      </c>
      <c r="I102" s="257"/>
      <c r="J102" s="257"/>
      <c r="K102" s="257"/>
      <c r="L102" s="258">
        <f t="shared" si="56"/>
        <v>0</v>
      </c>
      <c r="M102" s="257"/>
      <c r="N102" s="257"/>
      <c r="O102" s="257"/>
      <c r="P102" s="258">
        <f t="shared" si="57"/>
        <v>0</v>
      </c>
      <c r="Q102" s="257"/>
      <c r="R102" s="257"/>
      <c r="S102" s="257"/>
      <c r="T102" s="258">
        <f t="shared" si="58"/>
        <v>0</v>
      </c>
    </row>
    <row r="103" ht="19.5" customHeight="1" spans="2:20">
      <c r="B103" s="307" t="s">
        <v>11</v>
      </c>
      <c r="C103" s="307"/>
      <c r="D103" s="307"/>
      <c r="E103" s="308">
        <f t="shared" ref="E103:T103" si="59">SUM(E100:E102)</f>
        <v>0</v>
      </c>
      <c r="F103" s="308">
        <f t="shared" si="59"/>
        <v>31224.35</v>
      </c>
      <c r="G103" s="308">
        <f t="shared" si="59"/>
        <v>46572.04</v>
      </c>
      <c r="H103" s="308">
        <f t="shared" si="59"/>
        <v>77796.39</v>
      </c>
      <c r="I103" s="308">
        <f t="shared" si="59"/>
        <v>0</v>
      </c>
      <c r="J103" s="308">
        <f t="shared" si="59"/>
        <v>0</v>
      </c>
      <c r="K103" s="308">
        <f t="shared" si="59"/>
        <v>0</v>
      </c>
      <c r="L103" s="308">
        <f t="shared" si="59"/>
        <v>0</v>
      </c>
      <c r="M103" s="308">
        <f t="shared" si="59"/>
        <v>0</v>
      </c>
      <c r="N103" s="308">
        <f t="shared" si="59"/>
        <v>0</v>
      </c>
      <c r="O103" s="308">
        <f t="shared" si="59"/>
        <v>0</v>
      </c>
      <c r="P103" s="308">
        <f t="shared" si="59"/>
        <v>0</v>
      </c>
      <c r="Q103" s="308">
        <f t="shared" si="59"/>
        <v>0</v>
      </c>
      <c r="R103" s="308">
        <f t="shared" si="59"/>
        <v>0</v>
      </c>
      <c r="S103" s="308">
        <f t="shared" si="59"/>
        <v>0</v>
      </c>
      <c r="T103" s="308">
        <f t="shared" si="59"/>
        <v>0</v>
      </c>
    </row>
    <row r="104" ht="19.5" customHeight="1" spans="5:19">
      <c r="E104" s="288"/>
      <c r="F104" s="288"/>
      <c r="G104" s="288"/>
      <c r="H104" s="265"/>
      <c r="I104" s="288"/>
      <c r="J104" s="288"/>
      <c r="K104" s="288"/>
      <c r="M104" s="288"/>
      <c r="N104" s="288"/>
      <c r="O104" s="288"/>
      <c r="Q104" s="288"/>
      <c r="R104" s="288"/>
      <c r="S104" s="288"/>
    </row>
    <row r="105" ht="19.5" customHeight="1" spans="5:9">
      <c r="E105" s="288"/>
      <c r="F105" s="265"/>
      <c r="G105" s="265"/>
      <c r="H105" s="265"/>
      <c r="I105" s="265"/>
    </row>
    <row r="106" ht="19.5" customHeight="1" spans="5:9">
      <c r="E106" s="288"/>
      <c r="F106" s="265"/>
      <c r="G106" s="265"/>
      <c r="H106" s="265"/>
      <c r="I106" s="265"/>
    </row>
    <row r="107" ht="19.5" customHeight="1" spans="5:9">
      <c r="E107" s="288"/>
      <c r="F107" s="265"/>
      <c r="G107" s="265"/>
      <c r="H107" s="265"/>
      <c r="I107" s="265"/>
    </row>
    <row r="108" ht="19.5" customHeight="1"/>
    <row r="109" ht="19.5" customHeight="1"/>
    <row r="110" ht="19.5" customHeight="1"/>
    <row r="111" ht="19.5" customHeight="1"/>
    <row r="112" ht="19.5" customHeight="1"/>
    <row r="113" ht="19.5" customHeight="1"/>
    <row r="114" ht="19.5" customHeight="1"/>
    <row r="115" ht="19.5" customHeight="1"/>
    <row r="116" ht="19.5" customHeight="1"/>
    <row r="117" ht="19.5" customHeight="1"/>
    <row r="118" ht="19.5" customHeight="1"/>
    <row r="119" ht="19.5" customHeight="1"/>
    <row r="120" ht="19.5" customHeight="1"/>
    <row r="121" ht="19.5" customHeight="1"/>
    <row r="122" ht="19.5" customHeight="1"/>
  </sheetData>
  <autoFilter xmlns:etc="http://www.wps.cn/officeDocument/2017/etCustomData" ref="A3:AE94" etc:filterBottomFollowUsedRange="0">
    <extLst/>
  </autoFilter>
  <mergeCells count="2">
    <mergeCell ref="AE68:AH68"/>
    <mergeCell ref="A89:B89"/>
  </mergeCells>
  <conditionalFormatting sqref="Y4:Y24 Y101">
    <cfRule type="duplicateValues" dxfId="0" priority="1"/>
  </conditionalFormatting>
  <pageMargins left="0.393055555555556" right="0.275" top="0.354166666666667" bottom="0.275" header="0.313888888888889" footer="0.196527777777778"/>
  <pageSetup paperSize="9" scale="80" orientation="portrait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63"/>
  <sheetViews>
    <sheetView workbookViewId="0">
      <pane xSplit="2" ySplit="3" topLeftCell="C24" activePane="bottomRight" state="frozen"/>
      <selection/>
      <selection pane="topRight"/>
      <selection pane="bottomLeft"/>
      <selection pane="bottomRight" activeCell="C49" sqref="C49"/>
    </sheetView>
  </sheetViews>
  <sheetFormatPr defaultColWidth="9" defaultRowHeight="19.5" customHeight="1"/>
  <cols>
    <col min="1" max="1" width="4" style="20" customWidth="1"/>
    <col min="2" max="2" width="25.7545454545455" style="20" customWidth="1"/>
    <col min="3" max="7" width="11.1272727272727" style="30" customWidth="1"/>
    <col min="8" max="11" width="11.1272727272727" style="20" customWidth="1"/>
    <col min="12" max="14" width="12.2545454545455" style="20" customWidth="1"/>
    <col min="15" max="18" width="12.1272727272727" style="20" customWidth="1"/>
    <col min="19" max="19" width="4.87272727272727" style="20" customWidth="1"/>
    <col min="20" max="20" width="12.2545454545455" style="20" customWidth="1"/>
    <col min="21" max="21" width="10.1272727272727" style="20" customWidth="1"/>
    <col min="22" max="23" width="11.8727272727273" style="20" customWidth="1"/>
    <col min="24" max="24" width="33.7545454545455" style="20" customWidth="1"/>
    <col min="25" max="25" width="11.6272727272727" style="20"/>
    <col min="26" max="26" width="9.37272727272727" style="20"/>
    <col min="27" max="28" width="11.6272727272727" style="20"/>
    <col min="29" max="29" width="10.3727272727273" style="20"/>
    <col min="30" max="30" width="13.2545454545455" style="20" customWidth="1"/>
    <col min="31" max="16384" width="9" style="20"/>
  </cols>
  <sheetData>
    <row r="1" ht="28.5" customHeight="1" spans="1:1">
      <c r="A1" s="251" t="s">
        <v>393</v>
      </c>
    </row>
    <row r="2" customHeight="1" spans="1:7">
      <c r="A2" s="251" t="s">
        <v>559</v>
      </c>
      <c r="B2" s="251"/>
      <c r="C2" s="252"/>
      <c r="D2" s="252"/>
      <c r="E2" s="252"/>
      <c r="F2" s="252"/>
      <c r="G2" s="252"/>
    </row>
    <row r="3" customHeight="1" spans="1:30">
      <c r="A3" s="253" t="s">
        <v>3</v>
      </c>
      <c r="B3" s="253" t="s">
        <v>286</v>
      </c>
      <c r="C3" s="254" t="s">
        <v>288</v>
      </c>
      <c r="D3" s="254" t="s">
        <v>289</v>
      </c>
      <c r="E3" s="254" t="s">
        <v>290</v>
      </c>
      <c r="F3" s="255" t="s">
        <v>291</v>
      </c>
      <c r="G3" s="254" t="s">
        <v>292</v>
      </c>
      <c r="H3" s="254" t="s">
        <v>293</v>
      </c>
      <c r="I3" s="254" t="s">
        <v>294</v>
      </c>
      <c r="J3" s="255" t="s">
        <v>295</v>
      </c>
      <c r="K3" s="254" t="s">
        <v>296</v>
      </c>
      <c r="L3" s="254" t="s">
        <v>297</v>
      </c>
      <c r="M3" s="254" t="s">
        <v>298</v>
      </c>
      <c r="N3" s="255" t="s">
        <v>299</v>
      </c>
      <c r="O3" s="254" t="s">
        <v>300</v>
      </c>
      <c r="P3" s="254" t="s">
        <v>301</v>
      </c>
      <c r="Q3" s="254" t="s">
        <v>302</v>
      </c>
      <c r="R3" s="255" t="s">
        <v>303</v>
      </c>
      <c r="T3" s="252" t="s">
        <v>395</v>
      </c>
      <c r="X3" s="3" t="s">
        <v>492</v>
      </c>
      <c r="Y3" s="3" t="s">
        <v>493</v>
      </c>
      <c r="Z3" s="3" t="s">
        <v>494</v>
      </c>
      <c r="AA3" s="3" t="s">
        <v>495</v>
      </c>
      <c r="AB3" s="3" t="s">
        <v>560</v>
      </c>
      <c r="AC3"/>
      <c r="AD3"/>
    </row>
    <row r="4" customHeight="1" spans="1:32">
      <c r="A4" s="256">
        <v>1</v>
      </c>
      <c r="B4" s="256" t="s">
        <v>541</v>
      </c>
      <c r="C4" s="257">
        <v>0</v>
      </c>
      <c r="D4" s="257">
        <v>0</v>
      </c>
      <c r="E4" s="257">
        <v>0</v>
      </c>
      <c r="F4" s="258">
        <f t="shared" ref="F4:F16" si="0">SUM(C4:E4)</f>
        <v>0</v>
      </c>
      <c r="G4" s="259"/>
      <c r="H4" s="257"/>
      <c r="I4" s="257"/>
      <c r="J4" s="258">
        <f t="shared" ref="J4:J16" si="1">SUM(G4:I4)</f>
        <v>0</v>
      </c>
      <c r="K4" s="278"/>
      <c r="L4" s="257"/>
      <c r="M4" s="279"/>
      <c r="N4" s="258">
        <f t="shared" ref="N4:N16" si="2">SUM(K4:M4)</f>
        <v>0</v>
      </c>
      <c r="O4" s="279"/>
      <c r="P4" s="278"/>
      <c r="Q4" s="278"/>
      <c r="R4" s="258">
        <f t="shared" ref="R4:R16" si="3">SUM(O4:Q4)</f>
        <v>0</v>
      </c>
      <c r="T4" s="26">
        <f t="shared" ref="T4:T17" si="4">Q4+P4+O4+M4+L4+K4+I4+H4+G4+E4+D4+C4</f>
        <v>0</v>
      </c>
      <c r="W4" t="s">
        <v>114</v>
      </c>
      <c r="X4" s="5" t="s">
        <v>406</v>
      </c>
      <c r="Y4" s="5">
        <v>31072</v>
      </c>
      <c r="Z4" s="5"/>
      <c r="AA4" s="5">
        <f t="shared" ref="AA4:AA12" si="5">Y4-Z4</f>
        <v>31072</v>
      </c>
      <c r="AB4">
        <f>VLOOKUP(X:X,[7]金衢!$B$1:$F$32,5,0)</f>
        <v>31072</v>
      </c>
      <c r="AC4">
        <f t="shared" ref="AC4:AC12" si="6">AA4-AB4</f>
        <v>0</v>
      </c>
      <c r="AD4"/>
      <c r="AE4"/>
      <c r="AF4"/>
    </row>
    <row r="5" customHeight="1" spans="1:32">
      <c r="A5" s="256">
        <v>2</v>
      </c>
      <c r="B5" s="256" t="s">
        <v>271</v>
      </c>
      <c r="C5" s="257">
        <v>0</v>
      </c>
      <c r="D5" s="257">
        <v>173256.98</v>
      </c>
      <c r="E5" s="257">
        <v>54981.65</v>
      </c>
      <c r="F5" s="258">
        <f t="shared" si="0"/>
        <v>228238.63</v>
      </c>
      <c r="G5" s="259"/>
      <c r="H5" s="257"/>
      <c r="I5" s="257"/>
      <c r="J5" s="258">
        <f t="shared" si="1"/>
        <v>0</v>
      </c>
      <c r="K5" s="278"/>
      <c r="L5" s="257"/>
      <c r="M5" s="257"/>
      <c r="N5" s="258">
        <f t="shared" si="2"/>
        <v>0</v>
      </c>
      <c r="O5" s="279"/>
      <c r="P5" s="278"/>
      <c r="Q5" s="278"/>
      <c r="R5" s="258">
        <f t="shared" si="3"/>
        <v>0</v>
      </c>
      <c r="T5" s="29">
        <f t="shared" si="4"/>
        <v>228238.63</v>
      </c>
      <c r="W5"/>
      <c r="X5" s="5" t="s">
        <v>453</v>
      </c>
      <c r="Y5" s="5">
        <v>4776</v>
      </c>
      <c r="Z5" s="5"/>
      <c r="AA5" s="5">
        <f t="shared" si="5"/>
        <v>4776</v>
      </c>
      <c r="AB5">
        <f>VLOOKUP(X:X,[7]金衢!$B$1:$F$32,5,0)</f>
        <v>4776</v>
      </c>
      <c r="AC5">
        <f t="shared" si="6"/>
        <v>0</v>
      </c>
      <c r="AD5"/>
      <c r="AE5"/>
      <c r="AF5"/>
    </row>
    <row r="6" customHeight="1" spans="1:32">
      <c r="A6" s="256">
        <v>3</v>
      </c>
      <c r="B6" s="256" t="s">
        <v>398</v>
      </c>
      <c r="C6" s="257">
        <v>0</v>
      </c>
      <c r="D6" s="257">
        <v>0</v>
      </c>
      <c r="E6" s="257">
        <v>0</v>
      </c>
      <c r="F6" s="258">
        <f t="shared" si="0"/>
        <v>0</v>
      </c>
      <c r="G6" s="257"/>
      <c r="H6" s="257"/>
      <c r="I6" s="257"/>
      <c r="J6" s="258">
        <f t="shared" si="1"/>
        <v>0</v>
      </c>
      <c r="K6" s="278"/>
      <c r="L6" s="257"/>
      <c r="M6" s="257"/>
      <c r="N6" s="258">
        <f t="shared" si="2"/>
        <v>0</v>
      </c>
      <c r="O6" s="279"/>
      <c r="P6" s="278"/>
      <c r="Q6" s="278"/>
      <c r="R6" s="258">
        <f t="shared" si="3"/>
        <v>0</v>
      </c>
      <c r="T6" s="29">
        <f t="shared" si="4"/>
        <v>0</v>
      </c>
      <c r="W6"/>
      <c r="X6" s="5" t="s">
        <v>447</v>
      </c>
      <c r="Y6" s="5">
        <v>30000</v>
      </c>
      <c r="Z6" s="5"/>
      <c r="AA6" s="5">
        <f t="shared" si="5"/>
        <v>30000</v>
      </c>
      <c r="AB6">
        <f>VLOOKUP(X:X,[7]金衢!$B$1:$F$32,5,0)</f>
        <v>30000</v>
      </c>
      <c r="AC6">
        <f t="shared" si="6"/>
        <v>0</v>
      </c>
      <c r="AD6"/>
      <c r="AE6"/>
      <c r="AF6"/>
    </row>
    <row r="7" customHeight="1" spans="1:32">
      <c r="A7" s="256">
        <v>4</v>
      </c>
      <c r="B7" s="256" t="s">
        <v>399</v>
      </c>
      <c r="C7" s="257">
        <v>16546</v>
      </c>
      <c r="D7" s="257">
        <v>7154</v>
      </c>
      <c r="E7" s="257">
        <v>0</v>
      </c>
      <c r="F7" s="258">
        <f t="shared" si="0"/>
        <v>23700</v>
      </c>
      <c r="G7" s="257"/>
      <c r="H7" s="257"/>
      <c r="I7" s="257"/>
      <c r="J7" s="258">
        <f t="shared" si="1"/>
        <v>0</v>
      </c>
      <c r="K7" s="278"/>
      <c r="L7" s="257"/>
      <c r="M7" s="257"/>
      <c r="N7" s="258">
        <f t="shared" si="2"/>
        <v>0</v>
      </c>
      <c r="O7" s="279"/>
      <c r="P7" s="278"/>
      <c r="Q7" s="278"/>
      <c r="R7" s="258">
        <f t="shared" si="3"/>
        <v>0</v>
      </c>
      <c r="T7" s="29">
        <f t="shared" si="4"/>
        <v>23700</v>
      </c>
      <c r="W7"/>
      <c r="X7" s="5" t="s">
        <v>399</v>
      </c>
      <c r="Y7" s="5">
        <v>16546</v>
      </c>
      <c r="Z7" s="5"/>
      <c r="AA7" s="5">
        <f t="shared" si="5"/>
        <v>16546</v>
      </c>
      <c r="AB7">
        <f>VLOOKUP(X:X,[7]金衢!$B$1:$F$32,5,0)</f>
        <v>16546</v>
      </c>
      <c r="AC7">
        <f t="shared" si="6"/>
        <v>0</v>
      </c>
      <c r="AD7"/>
      <c r="AE7"/>
      <c r="AF7"/>
    </row>
    <row r="8" customHeight="1" spans="1:32">
      <c r="A8" s="256">
        <v>5</v>
      </c>
      <c r="B8" s="260" t="s">
        <v>400</v>
      </c>
      <c r="C8" s="257">
        <v>0</v>
      </c>
      <c r="D8" s="257">
        <v>0</v>
      </c>
      <c r="E8" s="257">
        <v>0</v>
      </c>
      <c r="F8" s="258">
        <f t="shared" si="0"/>
        <v>0</v>
      </c>
      <c r="G8" s="257"/>
      <c r="H8" s="257"/>
      <c r="I8" s="257"/>
      <c r="J8" s="258">
        <f t="shared" si="1"/>
        <v>0</v>
      </c>
      <c r="K8" s="278"/>
      <c r="L8" s="257"/>
      <c r="M8" s="257"/>
      <c r="N8" s="258">
        <f t="shared" si="2"/>
        <v>0</v>
      </c>
      <c r="O8" s="279"/>
      <c r="P8" s="278"/>
      <c r="Q8" s="278"/>
      <c r="R8" s="258">
        <f t="shared" si="3"/>
        <v>0</v>
      </c>
      <c r="T8" s="29">
        <f t="shared" si="4"/>
        <v>0</v>
      </c>
      <c r="W8"/>
      <c r="X8" s="5" t="s">
        <v>561</v>
      </c>
      <c r="Y8" s="5">
        <v>8727</v>
      </c>
      <c r="Z8" s="5"/>
      <c r="AA8" s="5">
        <f t="shared" si="5"/>
        <v>8727</v>
      </c>
      <c r="AB8">
        <f>VLOOKUP(X:X,[7]金衢!$B$1:$F$32,5,0)</f>
        <v>8727</v>
      </c>
      <c r="AC8">
        <f t="shared" si="6"/>
        <v>0</v>
      </c>
      <c r="AD8"/>
      <c r="AE8"/>
      <c r="AF8"/>
    </row>
    <row r="9" customHeight="1" spans="1:32">
      <c r="A9" s="256">
        <v>6</v>
      </c>
      <c r="B9" s="256" t="s">
        <v>401</v>
      </c>
      <c r="C9" s="257">
        <v>0</v>
      </c>
      <c r="D9" s="257">
        <v>0</v>
      </c>
      <c r="E9" s="257">
        <v>0</v>
      </c>
      <c r="F9" s="258">
        <f t="shared" si="0"/>
        <v>0</v>
      </c>
      <c r="G9" s="257"/>
      <c r="H9" s="257"/>
      <c r="I9" s="257"/>
      <c r="J9" s="258">
        <f t="shared" si="1"/>
        <v>0</v>
      </c>
      <c r="K9" s="278"/>
      <c r="L9" s="257"/>
      <c r="M9" s="257"/>
      <c r="N9" s="258">
        <f t="shared" si="2"/>
        <v>0</v>
      </c>
      <c r="O9" s="279"/>
      <c r="P9" s="278"/>
      <c r="Q9" s="278"/>
      <c r="R9" s="258">
        <f t="shared" si="3"/>
        <v>0</v>
      </c>
      <c r="T9" s="29">
        <f t="shared" si="4"/>
        <v>0</v>
      </c>
      <c r="W9"/>
      <c r="X9" s="5" t="s">
        <v>432</v>
      </c>
      <c r="Y9" s="5">
        <v>21300</v>
      </c>
      <c r="Z9" s="5"/>
      <c r="AA9" s="5">
        <f t="shared" si="5"/>
        <v>21300</v>
      </c>
      <c r="AB9">
        <f>VLOOKUP(X:X,[7]金衢!$B$1:$F$32,5,0)</f>
        <v>21300</v>
      </c>
      <c r="AC9">
        <f t="shared" si="6"/>
        <v>0</v>
      </c>
      <c r="AD9"/>
      <c r="AE9"/>
      <c r="AF9"/>
    </row>
    <row r="10" customHeight="1" spans="1:32">
      <c r="A10" s="256">
        <v>7</v>
      </c>
      <c r="B10" s="256" t="s">
        <v>402</v>
      </c>
      <c r="C10" s="257">
        <v>0</v>
      </c>
      <c r="D10" s="257">
        <v>0</v>
      </c>
      <c r="E10" s="257">
        <v>0</v>
      </c>
      <c r="F10" s="258">
        <f t="shared" si="0"/>
        <v>0</v>
      </c>
      <c r="G10" s="257"/>
      <c r="H10" s="257"/>
      <c r="I10" s="257"/>
      <c r="J10" s="258">
        <f t="shared" si="1"/>
        <v>0</v>
      </c>
      <c r="K10" s="278"/>
      <c r="L10" s="257"/>
      <c r="M10" s="257"/>
      <c r="N10" s="258">
        <f t="shared" si="2"/>
        <v>0</v>
      </c>
      <c r="O10" s="279"/>
      <c r="P10" s="278"/>
      <c r="Q10" s="278"/>
      <c r="R10" s="258">
        <f t="shared" si="3"/>
        <v>0</v>
      </c>
      <c r="T10" s="29">
        <f t="shared" si="4"/>
        <v>0</v>
      </c>
      <c r="W10"/>
      <c r="X10" s="5" t="s">
        <v>562</v>
      </c>
      <c r="Y10" s="5">
        <v>5264</v>
      </c>
      <c r="Z10" s="5"/>
      <c r="AA10" s="5">
        <f t="shared" si="5"/>
        <v>5264</v>
      </c>
      <c r="AB10">
        <f>VLOOKUP(X:X,[7]金衢!$B$1:$F$32,5,0)</f>
        <v>5264</v>
      </c>
      <c r="AC10">
        <f t="shared" si="6"/>
        <v>0</v>
      </c>
      <c r="AD10"/>
      <c r="AE10"/>
      <c r="AF10"/>
    </row>
    <row r="11" customHeight="1" spans="1:32">
      <c r="A11" s="256">
        <v>8</v>
      </c>
      <c r="B11" s="256" t="s">
        <v>403</v>
      </c>
      <c r="C11" s="257">
        <v>0</v>
      </c>
      <c r="D11" s="257">
        <v>0</v>
      </c>
      <c r="E11" s="257">
        <v>0</v>
      </c>
      <c r="F11" s="258">
        <f t="shared" si="0"/>
        <v>0</v>
      </c>
      <c r="G11" s="257"/>
      <c r="H11" s="257"/>
      <c r="I11" s="257"/>
      <c r="J11" s="258">
        <f t="shared" si="1"/>
        <v>0</v>
      </c>
      <c r="K11" s="278"/>
      <c r="L11" s="257"/>
      <c r="M11" s="257"/>
      <c r="N11" s="258">
        <f t="shared" si="2"/>
        <v>0</v>
      </c>
      <c r="O11" s="279"/>
      <c r="P11" s="278"/>
      <c r="Q11" s="278"/>
      <c r="R11" s="258">
        <f t="shared" si="3"/>
        <v>0</v>
      </c>
      <c r="T11" s="29">
        <f t="shared" si="4"/>
        <v>0</v>
      </c>
      <c r="W11"/>
      <c r="X11" s="5" t="s">
        <v>441</v>
      </c>
      <c r="Y11" s="5">
        <v>72000</v>
      </c>
      <c r="Z11" s="5"/>
      <c r="AA11" s="5">
        <f t="shared" si="5"/>
        <v>72000</v>
      </c>
      <c r="AB11">
        <f>VLOOKUP(X:X,[7]金衢!$B$1:$F$32,5,0)</f>
        <v>72000</v>
      </c>
      <c r="AC11">
        <f t="shared" si="6"/>
        <v>0</v>
      </c>
      <c r="AD11"/>
      <c r="AE11"/>
      <c r="AF11"/>
    </row>
    <row r="12" customHeight="1" spans="1:32">
      <c r="A12" s="256">
        <v>9</v>
      </c>
      <c r="B12" s="256" t="s">
        <v>404</v>
      </c>
      <c r="C12" s="257">
        <v>0</v>
      </c>
      <c r="D12" s="257">
        <v>0</v>
      </c>
      <c r="E12" s="257">
        <v>0</v>
      </c>
      <c r="F12" s="258">
        <f t="shared" si="0"/>
        <v>0</v>
      </c>
      <c r="G12" s="257"/>
      <c r="H12" s="257"/>
      <c r="I12" s="257"/>
      <c r="J12" s="258">
        <f t="shared" si="1"/>
        <v>0</v>
      </c>
      <c r="K12" s="278"/>
      <c r="L12" s="257"/>
      <c r="M12" s="257"/>
      <c r="N12" s="258">
        <f t="shared" si="2"/>
        <v>0</v>
      </c>
      <c r="O12" s="279"/>
      <c r="P12" s="278"/>
      <c r="Q12" s="278"/>
      <c r="R12" s="258">
        <f t="shared" si="3"/>
        <v>0</v>
      </c>
      <c r="T12" s="29">
        <f t="shared" si="4"/>
        <v>0</v>
      </c>
      <c r="W12"/>
      <c r="X12" s="5" t="s">
        <v>428</v>
      </c>
      <c r="Y12" s="5">
        <v>171360</v>
      </c>
      <c r="Z12" s="5"/>
      <c r="AA12" s="5">
        <f t="shared" si="5"/>
        <v>171360</v>
      </c>
      <c r="AB12">
        <f>VLOOKUP(X:X,[7]金衢!$B$1:$F$32,5,0)</f>
        <v>171360</v>
      </c>
      <c r="AC12">
        <f t="shared" si="6"/>
        <v>0</v>
      </c>
      <c r="AD12"/>
      <c r="AE12"/>
      <c r="AF12"/>
    </row>
    <row r="13" customHeight="1" spans="1:32">
      <c r="A13" s="256">
        <v>10</v>
      </c>
      <c r="B13" s="261" t="s">
        <v>405</v>
      </c>
      <c r="C13" s="257">
        <v>0</v>
      </c>
      <c r="D13" s="257">
        <v>0</v>
      </c>
      <c r="E13" s="257">
        <v>0</v>
      </c>
      <c r="F13" s="258">
        <f t="shared" si="0"/>
        <v>0</v>
      </c>
      <c r="G13" s="257"/>
      <c r="H13" s="257"/>
      <c r="I13" s="257"/>
      <c r="J13" s="258">
        <f t="shared" si="1"/>
        <v>0</v>
      </c>
      <c r="K13" s="278"/>
      <c r="L13" s="257"/>
      <c r="M13" s="257"/>
      <c r="N13" s="258">
        <f t="shared" si="2"/>
        <v>0</v>
      </c>
      <c r="O13" s="279"/>
      <c r="P13" s="278"/>
      <c r="Q13" s="278"/>
      <c r="R13" s="258">
        <f t="shared" si="3"/>
        <v>0</v>
      </c>
      <c r="T13" s="29">
        <f t="shared" si="4"/>
        <v>0</v>
      </c>
      <c r="W13"/>
      <c r="X13" s="16"/>
      <c r="Y13" s="16"/>
      <c r="Z13" s="285"/>
      <c r="AA13" s="16"/>
      <c r="AB13"/>
      <c r="AC13"/>
      <c r="AD13"/>
      <c r="AE13"/>
      <c r="AF13"/>
    </row>
    <row r="14" customHeight="1" spans="1:30">
      <c r="A14" s="256">
        <v>13</v>
      </c>
      <c r="B14" s="256" t="s">
        <v>561</v>
      </c>
      <c r="C14" s="257">
        <v>8727</v>
      </c>
      <c r="D14" s="257">
        <v>7343</v>
      </c>
      <c r="E14" s="257">
        <v>13804</v>
      </c>
      <c r="F14" s="258">
        <f t="shared" si="0"/>
        <v>29874</v>
      </c>
      <c r="G14" s="257"/>
      <c r="H14" s="257"/>
      <c r="I14" s="257"/>
      <c r="J14" s="258">
        <f t="shared" si="1"/>
        <v>0</v>
      </c>
      <c r="K14" s="278"/>
      <c r="L14" s="257"/>
      <c r="M14" s="257"/>
      <c r="N14" s="258">
        <f t="shared" si="2"/>
        <v>0</v>
      </c>
      <c r="O14" s="279"/>
      <c r="P14" s="278"/>
      <c r="Q14" s="278"/>
      <c r="R14" s="258">
        <f t="shared" si="3"/>
        <v>0</v>
      </c>
      <c r="T14" s="29">
        <f t="shared" si="4"/>
        <v>29874</v>
      </c>
      <c r="W14" s="29"/>
      <c r="X14" s="5" t="s">
        <v>407</v>
      </c>
      <c r="Y14" s="5">
        <v>97018</v>
      </c>
      <c r="Z14" s="5">
        <f>VLOOKUP(X:X,[6]Sheet2!$B$1:$C$10,2,0)</f>
        <v>2800</v>
      </c>
      <c r="AA14" s="5">
        <f>Y14-Z14</f>
        <v>94218</v>
      </c>
      <c r="AB14">
        <f>VLOOKUP(X:X,[7]金衢!$B$1:$I$31,8,0)</f>
        <v>94218</v>
      </c>
      <c r="AC14">
        <f>AA14-AB14</f>
        <v>0</v>
      </c>
      <c r="AD14"/>
    </row>
    <row r="15" customHeight="1" spans="1:32">
      <c r="A15" s="256">
        <v>1</v>
      </c>
      <c r="B15" s="260" t="s">
        <v>410</v>
      </c>
      <c r="C15" s="257">
        <v>0</v>
      </c>
      <c r="D15" s="257">
        <v>0</v>
      </c>
      <c r="E15" s="257">
        <v>0</v>
      </c>
      <c r="F15" s="258">
        <f t="shared" si="0"/>
        <v>0</v>
      </c>
      <c r="G15" s="257"/>
      <c r="H15" s="257"/>
      <c r="I15" s="257"/>
      <c r="J15" s="258">
        <f t="shared" si="1"/>
        <v>0</v>
      </c>
      <c r="K15" s="278"/>
      <c r="L15" s="257"/>
      <c r="M15" s="257"/>
      <c r="N15" s="258">
        <f t="shared" si="2"/>
        <v>0</v>
      </c>
      <c r="O15" s="279"/>
      <c r="P15" s="278"/>
      <c r="Q15" s="278"/>
      <c r="R15" s="258">
        <f t="shared" si="3"/>
        <v>0</v>
      </c>
      <c r="T15" s="29">
        <f t="shared" si="4"/>
        <v>0</v>
      </c>
      <c r="W15"/>
      <c r="X15" s="5" t="s">
        <v>407</v>
      </c>
      <c r="Y15" s="5">
        <v>58869</v>
      </c>
      <c r="Z15" s="5">
        <f>VLOOKUP(X:X,[5]Sheet2!$B$3:$C$12,2,0)</f>
        <v>7428</v>
      </c>
      <c r="AA15" s="5">
        <f>Y15-Z15</f>
        <v>51441</v>
      </c>
      <c r="AB15">
        <f>VLOOKUP(X:X,[7]金衢!$B$1:$F$32,5,0)</f>
        <v>51441</v>
      </c>
      <c r="AC15">
        <f>AA15-AB15</f>
        <v>0</v>
      </c>
      <c r="AD15"/>
      <c r="AE15"/>
      <c r="AF15"/>
    </row>
    <row r="16" customHeight="1" spans="1:32">
      <c r="A16" s="256">
        <v>2</v>
      </c>
      <c r="B16" s="262" t="s">
        <v>411</v>
      </c>
      <c r="C16" s="257">
        <v>0</v>
      </c>
      <c r="D16" s="257">
        <v>0</v>
      </c>
      <c r="E16" s="257">
        <v>0</v>
      </c>
      <c r="F16" s="258">
        <f t="shared" si="0"/>
        <v>0</v>
      </c>
      <c r="G16" s="257"/>
      <c r="H16" s="257"/>
      <c r="I16" s="257"/>
      <c r="J16" s="258">
        <f t="shared" si="1"/>
        <v>0</v>
      </c>
      <c r="K16" s="278"/>
      <c r="L16" s="257"/>
      <c r="M16" s="257"/>
      <c r="N16" s="258">
        <f t="shared" si="2"/>
        <v>0</v>
      </c>
      <c r="O16" s="279"/>
      <c r="P16" s="278"/>
      <c r="Q16" s="278"/>
      <c r="R16" s="258">
        <f t="shared" si="3"/>
        <v>0</v>
      </c>
      <c r="T16" s="29">
        <f t="shared" si="4"/>
        <v>0</v>
      </c>
      <c r="W16" t="s">
        <v>115</v>
      </c>
      <c r="X16" s="5" t="s">
        <v>406</v>
      </c>
      <c r="Y16" s="5">
        <v>42511</v>
      </c>
      <c r="Z16" s="5"/>
      <c r="AA16" s="5">
        <f>Y16-Z16</f>
        <v>42511</v>
      </c>
      <c r="AB16">
        <f>VLOOKUP(X:X,[7]金衢!$B$1:$I$31,8,0)</f>
        <v>42511</v>
      </c>
      <c r="AC16">
        <f>AA16-AB16</f>
        <v>0</v>
      </c>
      <c r="AD16"/>
      <c r="AE16"/>
      <c r="AF16"/>
    </row>
    <row r="17" customHeight="1" spans="1:29">
      <c r="A17" s="256"/>
      <c r="B17" s="263" t="s">
        <v>11</v>
      </c>
      <c r="C17" s="264">
        <f>SUM(C4:C16)</f>
        <v>25273</v>
      </c>
      <c r="D17" s="264">
        <f t="shared" ref="D17:R17" si="7">SUM(D4:D16)</f>
        <v>187753.98</v>
      </c>
      <c r="E17" s="264">
        <f t="shared" si="7"/>
        <v>68785.65</v>
      </c>
      <c r="F17" s="264">
        <f t="shared" si="7"/>
        <v>281812.63</v>
      </c>
      <c r="G17" s="264">
        <f t="shared" si="7"/>
        <v>0</v>
      </c>
      <c r="H17" s="264">
        <f t="shared" si="7"/>
        <v>0</v>
      </c>
      <c r="I17" s="264">
        <f t="shared" si="7"/>
        <v>0</v>
      </c>
      <c r="J17" s="264">
        <f t="shared" si="7"/>
        <v>0</v>
      </c>
      <c r="K17" s="264">
        <f t="shared" si="7"/>
        <v>0</v>
      </c>
      <c r="L17" s="264">
        <f t="shared" si="7"/>
        <v>0</v>
      </c>
      <c r="M17" s="264">
        <f t="shared" si="7"/>
        <v>0</v>
      </c>
      <c r="N17" s="264">
        <f t="shared" si="7"/>
        <v>0</v>
      </c>
      <c r="O17" s="264">
        <f t="shared" si="7"/>
        <v>0</v>
      </c>
      <c r="P17" s="264">
        <f t="shared" si="7"/>
        <v>0</v>
      </c>
      <c r="Q17" s="264">
        <f t="shared" si="7"/>
        <v>0</v>
      </c>
      <c r="R17" s="264">
        <f t="shared" si="7"/>
        <v>0</v>
      </c>
      <c r="T17" s="280">
        <f t="shared" si="4"/>
        <v>281812.63</v>
      </c>
      <c r="W17" s="29"/>
      <c r="X17" s="5" t="s">
        <v>399</v>
      </c>
      <c r="Y17" s="5">
        <v>7154</v>
      </c>
      <c r="Z17" s="5"/>
      <c r="AA17" s="5">
        <f t="shared" ref="AA17:AA23" si="8">Y17-Z17</f>
        <v>7154</v>
      </c>
      <c r="AB17">
        <f>VLOOKUP(X:X,[7]金衢!$B$1:$I$31,8,0)</f>
        <v>7154</v>
      </c>
      <c r="AC17">
        <f t="shared" ref="AC17:AC23" si="9">AA17-AB17</f>
        <v>0</v>
      </c>
    </row>
    <row r="18" customHeight="1" spans="1:29">
      <c r="A18" s="251" t="s">
        <v>563</v>
      </c>
      <c r="B18" s="251"/>
      <c r="C18" s="265"/>
      <c r="D18" s="265"/>
      <c r="E18" s="265"/>
      <c r="F18" s="265"/>
      <c r="G18" s="265"/>
      <c r="H18" s="30"/>
      <c r="I18" s="265"/>
      <c r="J18" s="30"/>
      <c r="K18" s="30"/>
      <c r="L18" s="30"/>
      <c r="M18" s="30"/>
      <c r="N18" s="30"/>
      <c r="O18" s="30"/>
      <c r="P18" s="30"/>
      <c r="Q18" s="30"/>
      <c r="R18" s="30"/>
      <c r="T18" s="29"/>
      <c r="W18" s="29"/>
      <c r="X18" s="5" t="s">
        <v>561</v>
      </c>
      <c r="Y18" s="5">
        <v>7343</v>
      </c>
      <c r="Z18" s="5"/>
      <c r="AA18" s="5">
        <f t="shared" si="8"/>
        <v>7343</v>
      </c>
      <c r="AB18">
        <f>VLOOKUP(X:X,[7]金衢!$B$1:$I$31,8,0)</f>
        <v>7343</v>
      </c>
      <c r="AC18">
        <f t="shared" si="9"/>
        <v>0</v>
      </c>
    </row>
    <row r="19" customHeight="1" spans="1:29">
      <c r="A19" s="256">
        <v>1</v>
      </c>
      <c r="B19" s="256" t="s">
        <v>428</v>
      </c>
      <c r="C19" s="257">
        <v>171360</v>
      </c>
      <c r="D19" s="257">
        <v>70132</v>
      </c>
      <c r="E19" s="257">
        <v>85306</v>
      </c>
      <c r="F19" s="258">
        <f t="shared" ref="F19:F25" si="10">SUM(C19:E19)</f>
        <v>326798</v>
      </c>
      <c r="G19" s="259"/>
      <c r="H19" s="257"/>
      <c r="I19" s="257"/>
      <c r="J19" s="258">
        <f t="shared" ref="J19:J25" si="11">SUM(G19:I19)</f>
        <v>0</v>
      </c>
      <c r="K19" s="278"/>
      <c r="L19" s="257"/>
      <c r="M19" s="257"/>
      <c r="N19" s="258">
        <f t="shared" ref="N19:N25" si="12">SUM(K19:M19)</f>
        <v>0</v>
      </c>
      <c r="O19" s="279"/>
      <c r="P19" s="278"/>
      <c r="Q19" s="278"/>
      <c r="R19" s="258">
        <f t="shared" ref="R19:R25" si="13">SUM(O19:Q19)</f>
        <v>0</v>
      </c>
      <c r="T19" s="29">
        <f t="shared" ref="T19:T26" si="14">Q19+P19+O19+M19+L19+K19+I19+H19+G19+E19+D19+C19</f>
        <v>326798</v>
      </c>
      <c r="W19" s="29"/>
      <c r="X19" s="5" t="s">
        <v>432</v>
      </c>
      <c r="Y19" s="5">
        <v>23900</v>
      </c>
      <c r="Z19" s="5"/>
      <c r="AA19" s="5">
        <f t="shared" si="8"/>
        <v>23900</v>
      </c>
      <c r="AB19">
        <f>VLOOKUP(X:X,[7]金衢!$B$1:$I$31,8,0)</f>
        <v>23900</v>
      </c>
      <c r="AC19">
        <f t="shared" si="9"/>
        <v>0</v>
      </c>
    </row>
    <row r="20" customHeight="1" spans="1:29">
      <c r="A20" s="256">
        <v>2</v>
      </c>
      <c r="B20" s="256" t="s">
        <v>429</v>
      </c>
      <c r="C20" s="257">
        <v>0</v>
      </c>
      <c r="D20" s="257">
        <v>0</v>
      </c>
      <c r="E20" s="257">
        <v>0</v>
      </c>
      <c r="F20" s="258">
        <f t="shared" si="10"/>
        <v>0</v>
      </c>
      <c r="G20" s="257"/>
      <c r="H20" s="257"/>
      <c r="I20" s="257"/>
      <c r="J20" s="258">
        <f t="shared" si="11"/>
        <v>0</v>
      </c>
      <c r="K20" s="278"/>
      <c r="L20" s="257"/>
      <c r="M20" s="257"/>
      <c r="N20" s="258">
        <f t="shared" si="12"/>
        <v>0</v>
      </c>
      <c r="O20" s="279"/>
      <c r="P20" s="278"/>
      <c r="Q20" s="278"/>
      <c r="R20" s="258">
        <f t="shared" si="13"/>
        <v>0</v>
      </c>
      <c r="T20" s="29">
        <f t="shared" si="14"/>
        <v>0</v>
      </c>
      <c r="W20" s="29"/>
      <c r="X20" s="5" t="s">
        <v>562</v>
      </c>
      <c r="Y20" s="5">
        <v>20852</v>
      </c>
      <c r="Z20" s="5"/>
      <c r="AA20" s="5">
        <f t="shared" si="8"/>
        <v>20852</v>
      </c>
      <c r="AB20">
        <f>VLOOKUP(X:X,[7]金衢!$B$1:$I$31,8,0)</f>
        <v>20852</v>
      </c>
      <c r="AC20">
        <f t="shared" si="9"/>
        <v>0</v>
      </c>
    </row>
    <row r="21" customHeight="1" spans="1:29">
      <c r="A21" s="256">
        <v>3</v>
      </c>
      <c r="B21" s="256" t="s">
        <v>430</v>
      </c>
      <c r="C21" s="257">
        <v>0</v>
      </c>
      <c r="D21" s="257">
        <v>0</v>
      </c>
      <c r="E21" s="257">
        <v>0</v>
      </c>
      <c r="F21" s="258">
        <f t="shared" si="10"/>
        <v>0</v>
      </c>
      <c r="G21" s="257"/>
      <c r="H21" s="257"/>
      <c r="I21" s="257"/>
      <c r="J21" s="258">
        <f t="shared" si="11"/>
        <v>0</v>
      </c>
      <c r="K21" s="278"/>
      <c r="L21" s="257"/>
      <c r="M21" s="257"/>
      <c r="N21" s="258">
        <f t="shared" si="12"/>
        <v>0</v>
      </c>
      <c r="O21" s="279"/>
      <c r="P21" s="278"/>
      <c r="Q21" s="278"/>
      <c r="R21" s="258">
        <f t="shared" si="13"/>
        <v>0</v>
      </c>
      <c r="T21" s="29">
        <f t="shared" si="14"/>
        <v>0</v>
      </c>
      <c r="W21" s="29"/>
      <c r="X21" s="5" t="s">
        <v>440</v>
      </c>
      <c r="Y21" s="5">
        <v>9518</v>
      </c>
      <c r="Z21" s="5"/>
      <c r="AA21" s="5">
        <f t="shared" si="8"/>
        <v>9518</v>
      </c>
      <c r="AB21">
        <f>VLOOKUP(X:X,[7]金衢!$B$1:$I$31,8,0)</f>
        <v>9518</v>
      </c>
      <c r="AC21">
        <f t="shared" si="9"/>
        <v>0</v>
      </c>
    </row>
    <row r="22" customHeight="1" spans="1:29">
      <c r="A22" s="256">
        <v>4</v>
      </c>
      <c r="B22" s="266" t="s">
        <v>431</v>
      </c>
      <c r="C22" s="257">
        <v>0</v>
      </c>
      <c r="D22" s="257">
        <v>0</v>
      </c>
      <c r="E22" s="257">
        <v>0</v>
      </c>
      <c r="F22" s="258">
        <f t="shared" si="10"/>
        <v>0</v>
      </c>
      <c r="G22" s="257"/>
      <c r="H22" s="257"/>
      <c r="I22" s="257"/>
      <c r="J22" s="258">
        <f t="shared" si="11"/>
        <v>0</v>
      </c>
      <c r="K22" s="278"/>
      <c r="L22" s="257"/>
      <c r="M22" s="257"/>
      <c r="N22" s="258">
        <f t="shared" si="12"/>
        <v>0</v>
      </c>
      <c r="O22" s="279"/>
      <c r="P22" s="278"/>
      <c r="Q22" s="278"/>
      <c r="R22" s="258">
        <f t="shared" si="13"/>
        <v>0</v>
      </c>
      <c r="T22" s="29">
        <f t="shared" si="14"/>
        <v>0</v>
      </c>
      <c r="W22" s="29"/>
      <c r="X22" s="5" t="s">
        <v>441</v>
      </c>
      <c r="Y22" s="5">
        <v>100500</v>
      </c>
      <c r="Z22" s="5"/>
      <c r="AA22" s="5">
        <f t="shared" si="8"/>
        <v>100500</v>
      </c>
      <c r="AB22">
        <f>VLOOKUP(X:X,[7]金衢!$B$1:$I$31,8,0)</f>
        <v>100500</v>
      </c>
      <c r="AC22">
        <f t="shared" si="9"/>
        <v>0</v>
      </c>
    </row>
    <row r="23" customHeight="1" spans="1:29">
      <c r="A23" s="256">
        <v>5</v>
      </c>
      <c r="B23" s="256" t="s">
        <v>432</v>
      </c>
      <c r="C23" s="257">
        <v>21300</v>
      </c>
      <c r="D23" s="257">
        <v>23900</v>
      </c>
      <c r="E23" s="257">
        <v>80450</v>
      </c>
      <c r="F23" s="258">
        <f t="shared" si="10"/>
        <v>125650</v>
      </c>
      <c r="G23" s="257"/>
      <c r="H23" s="257"/>
      <c r="I23" s="257"/>
      <c r="J23" s="258">
        <f t="shared" si="11"/>
        <v>0</v>
      </c>
      <c r="K23" s="278"/>
      <c r="L23" s="257"/>
      <c r="M23" s="257"/>
      <c r="N23" s="258">
        <f t="shared" si="12"/>
        <v>0</v>
      </c>
      <c r="O23" s="279"/>
      <c r="P23" s="278"/>
      <c r="Q23" s="278"/>
      <c r="R23" s="258">
        <f t="shared" si="13"/>
        <v>0</v>
      </c>
      <c r="T23" s="29">
        <f t="shared" si="14"/>
        <v>125650</v>
      </c>
      <c r="W23" s="29"/>
      <c r="X23" s="5" t="s">
        <v>428</v>
      </c>
      <c r="Y23" s="5">
        <v>70132</v>
      </c>
      <c r="Z23" s="5"/>
      <c r="AA23" s="5">
        <f t="shared" si="8"/>
        <v>70132</v>
      </c>
      <c r="AB23">
        <f>VLOOKUP(X:X,[7]金衢!$B$1:$I$31,8,0)</f>
        <v>70132</v>
      </c>
      <c r="AC23">
        <f t="shared" si="9"/>
        <v>0</v>
      </c>
    </row>
    <row r="24" customHeight="1" spans="1:24">
      <c r="A24" s="256">
        <v>6</v>
      </c>
      <c r="B24" s="262" t="s">
        <v>433</v>
      </c>
      <c r="C24" s="257">
        <v>0</v>
      </c>
      <c r="D24" s="257">
        <v>0</v>
      </c>
      <c r="E24" s="257">
        <v>0</v>
      </c>
      <c r="F24" s="258">
        <f t="shared" si="10"/>
        <v>0</v>
      </c>
      <c r="G24" s="257"/>
      <c r="H24" s="257"/>
      <c r="I24" s="257"/>
      <c r="J24" s="258">
        <f t="shared" si="11"/>
        <v>0</v>
      </c>
      <c r="K24" s="278"/>
      <c r="L24" s="257"/>
      <c r="M24" s="257"/>
      <c r="N24" s="258">
        <f t="shared" si="12"/>
        <v>0</v>
      </c>
      <c r="O24" s="279"/>
      <c r="P24" s="278"/>
      <c r="Q24" s="278"/>
      <c r="R24" s="258">
        <f t="shared" si="13"/>
        <v>0</v>
      </c>
      <c r="T24" s="29">
        <f t="shared" si="14"/>
        <v>0</v>
      </c>
      <c r="W24" s="29"/>
      <c r="X24" s="26"/>
    </row>
    <row r="25" customHeight="1" spans="1:24">
      <c r="A25" s="256">
        <v>7</v>
      </c>
      <c r="B25" s="267" t="s">
        <v>436</v>
      </c>
      <c r="C25" s="257">
        <v>0</v>
      </c>
      <c r="D25" s="257">
        <v>0</v>
      </c>
      <c r="E25" s="257">
        <v>0</v>
      </c>
      <c r="F25" s="258">
        <f t="shared" si="10"/>
        <v>0</v>
      </c>
      <c r="G25" s="257"/>
      <c r="H25" s="257"/>
      <c r="I25" s="257"/>
      <c r="J25" s="258">
        <f t="shared" si="11"/>
        <v>0</v>
      </c>
      <c r="K25" s="278"/>
      <c r="L25" s="257"/>
      <c r="M25" s="257"/>
      <c r="N25" s="258">
        <f t="shared" si="12"/>
        <v>0</v>
      </c>
      <c r="O25" s="279"/>
      <c r="P25" s="278"/>
      <c r="Q25" s="278"/>
      <c r="R25" s="258">
        <f t="shared" si="13"/>
        <v>0</v>
      </c>
      <c r="T25" s="29">
        <f t="shared" si="14"/>
        <v>0</v>
      </c>
      <c r="W25" s="29"/>
      <c r="X25" s="26"/>
    </row>
    <row r="26" customHeight="1" spans="2:24">
      <c r="B26" s="263" t="s">
        <v>11</v>
      </c>
      <c r="C26" s="264">
        <f t="shared" ref="C26:R26" si="15">SUM(C19:C25)</f>
        <v>192660</v>
      </c>
      <c r="D26" s="264">
        <f t="shared" si="15"/>
        <v>94032</v>
      </c>
      <c r="E26" s="264">
        <f t="shared" si="15"/>
        <v>165756</v>
      </c>
      <c r="F26" s="264">
        <f t="shared" si="15"/>
        <v>452448</v>
      </c>
      <c r="G26" s="264">
        <f t="shared" si="15"/>
        <v>0</v>
      </c>
      <c r="H26" s="264">
        <f t="shared" si="15"/>
        <v>0</v>
      </c>
      <c r="I26" s="264">
        <f t="shared" si="15"/>
        <v>0</v>
      </c>
      <c r="J26" s="264">
        <f t="shared" si="15"/>
        <v>0</v>
      </c>
      <c r="K26" s="264">
        <f t="shared" si="15"/>
        <v>0</v>
      </c>
      <c r="L26" s="264">
        <f t="shared" si="15"/>
        <v>0</v>
      </c>
      <c r="M26" s="264">
        <f t="shared" si="15"/>
        <v>0</v>
      </c>
      <c r="N26" s="264">
        <f t="shared" si="15"/>
        <v>0</v>
      </c>
      <c r="O26" s="264">
        <f t="shared" si="15"/>
        <v>0</v>
      </c>
      <c r="P26" s="264">
        <f t="shared" si="15"/>
        <v>0</v>
      </c>
      <c r="Q26" s="264">
        <f t="shared" si="15"/>
        <v>0</v>
      </c>
      <c r="R26" s="264">
        <f t="shared" si="15"/>
        <v>0</v>
      </c>
      <c r="T26" s="280">
        <f t="shared" si="14"/>
        <v>452448</v>
      </c>
      <c r="W26" s="29"/>
      <c r="X26" s="26"/>
    </row>
    <row r="27" customHeight="1" spans="1:24">
      <c r="A27" s="251" t="s">
        <v>438</v>
      </c>
      <c r="B27" s="251"/>
      <c r="C27" s="265"/>
      <c r="D27" s="265"/>
      <c r="E27" s="265"/>
      <c r="F27" s="265"/>
      <c r="G27" s="265"/>
      <c r="H27" s="30"/>
      <c r="I27" s="265"/>
      <c r="J27" s="30"/>
      <c r="K27" s="30"/>
      <c r="L27" s="30"/>
      <c r="M27" s="30"/>
      <c r="N27" s="30"/>
      <c r="O27" s="30"/>
      <c r="P27" s="30"/>
      <c r="Q27" s="30"/>
      <c r="R27" s="30"/>
      <c r="T27" s="29"/>
      <c r="W27" s="29"/>
      <c r="X27" s="26"/>
    </row>
    <row r="28" customHeight="1" spans="1:29">
      <c r="A28" s="256">
        <v>1</v>
      </c>
      <c r="B28" s="256" t="s">
        <v>439</v>
      </c>
      <c r="C28" s="257">
        <v>0</v>
      </c>
      <c r="D28" s="257">
        <v>0</v>
      </c>
      <c r="E28" s="257">
        <v>0</v>
      </c>
      <c r="F28" s="258">
        <f t="shared" ref="F28:F43" si="16">SUM(C28:E28)</f>
        <v>0</v>
      </c>
      <c r="G28" s="257"/>
      <c r="H28" s="257"/>
      <c r="I28" s="257"/>
      <c r="J28" s="258">
        <f t="shared" ref="J28:J44" si="17">SUM(G28:I28)</f>
        <v>0</v>
      </c>
      <c r="K28" s="278"/>
      <c r="L28" s="257"/>
      <c r="M28" s="257"/>
      <c r="N28" s="258">
        <f t="shared" ref="N28:N44" si="18">SUM(K28:M28)</f>
        <v>0</v>
      </c>
      <c r="O28" s="279"/>
      <c r="P28" s="278"/>
      <c r="Q28" s="278"/>
      <c r="R28" s="258">
        <f t="shared" ref="R28:R44" si="19">SUM(O28:Q28)</f>
        <v>0</v>
      </c>
      <c r="T28" s="29">
        <f t="shared" ref="T28:T45" si="20">Q28+P28+O28+M28+L28+K28+I28+H28+G28+E28+D28+C28</f>
        <v>0</v>
      </c>
      <c r="W28" s="29" t="s">
        <v>116</v>
      </c>
      <c r="X28" s="5" t="s">
        <v>406</v>
      </c>
      <c r="Y28" s="5">
        <v>25944.9</v>
      </c>
      <c r="Z28" s="5"/>
      <c r="AA28" s="5">
        <v>25944.9</v>
      </c>
      <c r="AB28">
        <f>VLOOKUP(X:X,[7]金衢!$B$1:$O$32,14,0)</f>
        <v>25944.9</v>
      </c>
      <c r="AC28">
        <f t="shared" ref="AC28:AC37" si="21">AA28-AB28</f>
        <v>0</v>
      </c>
    </row>
    <row r="29" customHeight="1" spans="1:29">
      <c r="A29" s="256">
        <v>2</v>
      </c>
      <c r="B29" s="256" t="s">
        <v>440</v>
      </c>
      <c r="C29" s="257">
        <v>0</v>
      </c>
      <c r="D29" s="257">
        <v>9518</v>
      </c>
      <c r="E29" s="257">
        <v>0</v>
      </c>
      <c r="F29" s="258">
        <f t="shared" si="16"/>
        <v>9518</v>
      </c>
      <c r="G29" s="257"/>
      <c r="H29" s="257"/>
      <c r="I29" s="257"/>
      <c r="J29" s="258">
        <f t="shared" si="17"/>
        <v>0</v>
      </c>
      <c r="K29" s="278"/>
      <c r="L29" s="257"/>
      <c r="M29" s="257"/>
      <c r="N29" s="258">
        <f t="shared" si="18"/>
        <v>0</v>
      </c>
      <c r="O29" s="279"/>
      <c r="P29" s="278"/>
      <c r="Q29" s="278"/>
      <c r="R29" s="258">
        <f t="shared" si="19"/>
        <v>0</v>
      </c>
      <c r="T29" s="29">
        <f t="shared" si="20"/>
        <v>9518</v>
      </c>
      <c r="W29" s="29"/>
      <c r="X29" s="5" t="s">
        <v>453</v>
      </c>
      <c r="Y29" s="5">
        <v>69265.9</v>
      </c>
      <c r="Z29" s="5"/>
      <c r="AA29" s="5">
        <v>69265.9</v>
      </c>
      <c r="AB29">
        <f>VLOOKUP(X:X,[7]金衢!$B$1:$O$32,14,0)</f>
        <v>69265.9</v>
      </c>
      <c r="AC29">
        <f t="shared" si="21"/>
        <v>0</v>
      </c>
    </row>
    <row r="30" customHeight="1" spans="1:29">
      <c r="A30" s="256">
        <v>3</v>
      </c>
      <c r="B30" s="256" t="s">
        <v>441</v>
      </c>
      <c r="C30" s="257">
        <v>72000</v>
      </c>
      <c r="D30" s="257">
        <v>100500</v>
      </c>
      <c r="E30" s="257">
        <v>131000</v>
      </c>
      <c r="F30" s="258">
        <f t="shared" si="16"/>
        <v>303500</v>
      </c>
      <c r="G30" s="257"/>
      <c r="H30" s="257"/>
      <c r="I30" s="257"/>
      <c r="J30" s="258">
        <f t="shared" si="17"/>
        <v>0</v>
      </c>
      <c r="K30" s="278"/>
      <c r="L30" s="257"/>
      <c r="M30" s="257"/>
      <c r="N30" s="258">
        <f t="shared" si="18"/>
        <v>0</v>
      </c>
      <c r="O30" s="279"/>
      <c r="P30" s="278"/>
      <c r="Q30" s="278"/>
      <c r="R30" s="258">
        <f t="shared" si="19"/>
        <v>0</v>
      </c>
      <c r="T30" s="29">
        <f t="shared" si="20"/>
        <v>303500</v>
      </c>
      <c r="W30" s="29"/>
      <c r="X30" s="5" t="s">
        <v>407</v>
      </c>
      <c r="Y30" s="5">
        <v>159518</v>
      </c>
      <c r="Z30" s="5">
        <v>1701</v>
      </c>
      <c r="AA30" s="5">
        <v>157817</v>
      </c>
      <c r="AB30">
        <f>VLOOKUP(X:X,[7]金衢!$B$1:$O$32,14,0)</f>
        <v>157817</v>
      </c>
      <c r="AC30">
        <f t="shared" si="21"/>
        <v>0</v>
      </c>
    </row>
    <row r="31" customHeight="1" spans="1:29">
      <c r="A31" s="256">
        <v>4</v>
      </c>
      <c r="B31" s="260" t="s">
        <v>442</v>
      </c>
      <c r="C31" s="257">
        <v>0</v>
      </c>
      <c r="D31" s="257">
        <v>0</v>
      </c>
      <c r="E31" s="257">
        <v>0</v>
      </c>
      <c r="F31" s="258">
        <f t="shared" si="16"/>
        <v>0</v>
      </c>
      <c r="G31" s="257"/>
      <c r="H31" s="257"/>
      <c r="I31" s="257"/>
      <c r="J31" s="258">
        <f t="shared" si="17"/>
        <v>0</v>
      </c>
      <c r="K31" s="278"/>
      <c r="L31" s="257"/>
      <c r="M31" s="257"/>
      <c r="N31" s="258">
        <f t="shared" si="18"/>
        <v>0</v>
      </c>
      <c r="O31" s="279"/>
      <c r="P31" s="278"/>
      <c r="Q31" s="278"/>
      <c r="R31" s="258">
        <f t="shared" si="19"/>
        <v>0</v>
      </c>
      <c r="T31" s="29">
        <f t="shared" si="20"/>
        <v>0</v>
      </c>
      <c r="W31" s="29"/>
      <c r="X31" s="5" t="s">
        <v>550</v>
      </c>
      <c r="Y31" s="5">
        <v>54981.65</v>
      </c>
      <c r="Z31" s="5"/>
      <c r="AA31" s="5">
        <v>54981.65</v>
      </c>
      <c r="AB31" t="e">
        <f>VLOOKUP(X:X,[7]金衢!$B$1:$O$32,14,0)</f>
        <v>#N/A</v>
      </c>
      <c r="AC31" t="e">
        <f t="shared" si="21"/>
        <v>#N/A</v>
      </c>
    </row>
    <row r="32" customHeight="1" spans="1:29">
      <c r="A32" s="256">
        <v>5</v>
      </c>
      <c r="B32" s="256" t="s">
        <v>443</v>
      </c>
      <c r="C32" s="257">
        <v>0</v>
      </c>
      <c r="D32" s="257">
        <v>0</v>
      </c>
      <c r="E32" s="257">
        <v>0</v>
      </c>
      <c r="F32" s="258">
        <f t="shared" si="16"/>
        <v>0</v>
      </c>
      <c r="G32" s="257"/>
      <c r="H32" s="257"/>
      <c r="I32" s="257"/>
      <c r="J32" s="258">
        <f t="shared" si="17"/>
        <v>0</v>
      </c>
      <c r="K32" s="278"/>
      <c r="L32" s="257"/>
      <c r="M32" s="257"/>
      <c r="N32" s="258">
        <f t="shared" si="18"/>
        <v>0</v>
      </c>
      <c r="O32" s="279"/>
      <c r="P32" s="278"/>
      <c r="Q32" s="278"/>
      <c r="R32" s="258">
        <f t="shared" si="19"/>
        <v>0</v>
      </c>
      <c r="T32" s="29">
        <f t="shared" si="20"/>
        <v>0</v>
      </c>
      <c r="W32" s="29"/>
      <c r="X32" s="5" t="s">
        <v>561</v>
      </c>
      <c r="Y32" s="5">
        <v>13804</v>
      </c>
      <c r="Z32" s="5"/>
      <c r="AA32" s="5">
        <v>13804</v>
      </c>
      <c r="AB32">
        <f>VLOOKUP(X:X,[7]金衢!$B$1:$O$32,14,0)</f>
        <v>13804</v>
      </c>
      <c r="AC32">
        <f t="shared" si="21"/>
        <v>0</v>
      </c>
    </row>
    <row r="33" customHeight="1" spans="1:29">
      <c r="A33" s="256">
        <v>6</v>
      </c>
      <c r="B33" s="256" t="s">
        <v>444</v>
      </c>
      <c r="C33" s="257">
        <v>0</v>
      </c>
      <c r="D33" s="257">
        <v>0</v>
      </c>
      <c r="E33" s="257">
        <v>0</v>
      </c>
      <c r="F33" s="258">
        <f t="shared" si="16"/>
        <v>0</v>
      </c>
      <c r="G33" s="257"/>
      <c r="H33" s="257"/>
      <c r="I33" s="257"/>
      <c r="J33" s="258">
        <f t="shared" si="17"/>
        <v>0</v>
      </c>
      <c r="K33" s="278"/>
      <c r="L33" s="257"/>
      <c r="M33" s="257"/>
      <c r="N33" s="258">
        <f t="shared" si="18"/>
        <v>0</v>
      </c>
      <c r="O33" s="279"/>
      <c r="P33" s="278"/>
      <c r="Q33" s="278"/>
      <c r="R33" s="258">
        <f t="shared" si="19"/>
        <v>0</v>
      </c>
      <c r="T33" s="20">
        <f t="shared" si="20"/>
        <v>0</v>
      </c>
      <c r="W33" s="29"/>
      <c r="X33" s="5" t="s">
        <v>452</v>
      </c>
      <c r="Y33" s="5">
        <v>2240</v>
      </c>
      <c r="Z33" s="5"/>
      <c r="AA33" s="5">
        <v>2240</v>
      </c>
      <c r="AB33">
        <f>VLOOKUP(X:X,[7]金衢!$B$1:$O$32,14,0)</f>
        <v>2240</v>
      </c>
      <c r="AC33">
        <f t="shared" si="21"/>
        <v>0</v>
      </c>
    </row>
    <row r="34" customHeight="1" spans="1:29">
      <c r="A34" s="256">
        <v>7</v>
      </c>
      <c r="B34" s="256" t="s">
        <v>445</v>
      </c>
      <c r="C34" s="257">
        <v>0</v>
      </c>
      <c r="D34" s="257">
        <v>0</v>
      </c>
      <c r="E34" s="257">
        <v>0</v>
      </c>
      <c r="F34" s="258">
        <f t="shared" si="16"/>
        <v>0</v>
      </c>
      <c r="G34" s="257"/>
      <c r="H34" s="257"/>
      <c r="I34" s="257"/>
      <c r="J34" s="258">
        <f t="shared" si="17"/>
        <v>0</v>
      </c>
      <c r="K34" s="278"/>
      <c r="L34" s="257"/>
      <c r="M34" s="257"/>
      <c r="N34" s="258">
        <f t="shared" si="18"/>
        <v>0</v>
      </c>
      <c r="O34" s="279"/>
      <c r="P34" s="278"/>
      <c r="Q34" s="278"/>
      <c r="R34" s="258">
        <f t="shared" si="19"/>
        <v>0</v>
      </c>
      <c r="T34" s="20">
        <f t="shared" si="20"/>
        <v>0</v>
      </c>
      <c r="W34" s="29"/>
      <c r="X34" s="5" t="s">
        <v>432</v>
      </c>
      <c r="Y34" s="5">
        <v>80450</v>
      </c>
      <c r="Z34" s="5"/>
      <c r="AA34" s="5">
        <v>80450</v>
      </c>
      <c r="AB34">
        <f>VLOOKUP(X:X,[7]金衢!$B$1:$O$32,14,0)</f>
        <v>80450</v>
      </c>
      <c r="AC34">
        <f t="shared" si="21"/>
        <v>0</v>
      </c>
    </row>
    <row r="35" customHeight="1" spans="1:29">
      <c r="A35" s="256">
        <v>8</v>
      </c>
      <c r="B35" s="261" t="s">
        <v>446</v>
      </c>
      <c r="C35" s="257">
        <v>0</v>
      </c>
      <c r="D35" s="257">
        <v>0</v>
      </c>
      <c r="E35" s="257">
        <v>0</v>
      </c>
      <c r="F35" s="258">
        <f t="shared" si="16"/>
        <v>0</v>
      </c>
      <c r="G35" s="257"/>
      <c r="H35" s="257"/>
      <c r="I35" s="257"/>
      <c r="J35" s="258">
        <f t="shared" si="17"/>
        <v>0</v>
      </c>
      <c r="K35" s="278"/>
      <c r="L35" s="257"/>
      <c r="M35" s="257"/>
      <c r="N35" s="258">
        <f t="shared" si="18"/>
        <v>0</v>
      </c>
      <c r="O35" s="279"/>
      <c r="P35" s="278"/>
      <c r="Q35" s="278"/>
      <c r="R35" s="258">
        <f t="shared" si="19"/>
        <v>0</v>
      </c>
      <c r="T35" s="20">
        <f t="shared" si="20"/>
        <v>0</v>
      </c>
      <c r="W35" s="29"/>
      <c r="X35" s="5" t="s">
        <v>562</v>
      </c>
      <c r="Y35" s="5">
        <v>27673</v>
      </c>
      <c r="Z35" s="5"/>
      <c r="AA35" s="5">
        <v>27673</v>
      </c>
      <c r="AB35">
        <f>VLOOKUP(X:X,[7]金衢!$B$1:$O$32,14,0)</f>
        <v>27673</v>
      </c>
      <c r="AC35">
        <f t="shared" si="21"/>
        <v>0</v>
      </c>
    </row>
    <row r="36" customHeight="1" spans="1:29">
      <c r="A36" s="256">
        <v>9</v>
      </c>
      <c r="B36" s="256" t="s">
        <v>447</v>
      </c>
      <c r="C36" s="257">
        <v>30000</v>
      </c>
      <c r="D36" s="257">
        <v>0</v>
      </c>
      <c r="E36" s="257">
        <v>0</v>
      </c>
      <c r="F36" s="258">
        <f t="shared" si="16"/>
        <v>30000</v>
      </c>
      <c r="G36" s="257"/>
      <c r="H36" s="257"/>
      <c r="I36" s="257"/>
      <c r="J36" s="258">
        <f t="shared" si="17"/>
        <v>0</v>
      </c>
      <c r="K36" s="278"/>
      <c r="L36" s="257"/>
      <c r="M36" s="257"/>
      <c r="N36" s="258">
        <f t="shared" si="18"/>
        <v>0</v>
      </c>
      <c r="O36" s="279"/>
      <c r="P36" s="278"/>
      <c r="Q36" s="278"/>
      <c r="R36" s="258">
        <f t="shared" si="19"/>
        <v>0</v>
      </c>
      <c r="T36" s="29">
        <f t="shared" si="20"/>
        <v>30000</v>
      </c>
      <c r="W36" s="29"/>
      <c r="X36" s="5" t="s">
        <v>441</v>
      </c>
      <c r="Y36" s="5">
        <v>131000</v>
      </c>
      <c r="Z36" s="5"/>
      <c r="AA36" s="5">
        <v>131000</v>
      </c>
      <c r="AB36">
        <f>VLOOKUP(X:X,[7]金衢!$B$1:$O$32,14,0)</f>
        <v>131000</v>
      </c>
      <c r="AC36">
        <f t="shared" si="21"/>
        <v>0</v>
      </c>
    </row>
    <row r="37" customHeight="1" spans="1:29">
      <c r="A37" s="256">
        <v>10</v>
      </c>
      <c r="B37" s="260" t="s">
        <v>448</v>
      </c>
      <c r="C37" s="257">
        <v>0</v>
      </c>
      <c r="D37" s="257">
        <v>0</v>
      </c>
      <c r="E37" s="257">
        <v>0</v>
      </c>
      <c r="F37" s="258">
        <f t="shared" si="16"/>
        <v>0</v>
      </c>
      <c r="G37" s="257"/>
      <c r="H37" s="257"/>
      <c r="I37" s="257"/>
      <c r="J37" s="258">
        <f t="shared" si="17"/>
        <v>0</v>
      </c>
      <c r="K37" s="278"/>
      <c r="L37" s="257"/>
      <c r="M37" s="257"/>
      <c r="N37" s="258">
        <f t="shared" si="18"/>
        <v>0</v>
      </c>
      <c r="O37" s="279"/>
      <c r="P37" s="278"/>
      <c r="Q37" s="278"/>
      <c r="R37" s="258">
        <f t="shared" si="19"/>
        <v>0</v>
      </c>
      <c r="T37" s="29">
        <f t="shared" si="20"/>
        <v>0</v>
      </c>
      <c r="W37" s="29"/>
      <c r="X37" s="5" t="s">
        <v>428</v>
      </c>
      <c r="Y37" s="5">
        <v>85306</v>
      </c>
      <c r="Z37" s="5"/>
      <c r="AA37" s="5">
        <v>85306</v>
      </c>
      <c r="AB37">
        <f>VLOOKUP(X:X,[7]金衢!$B$1:$O$32,14,0)</f>
        <v>85306</v>
      </c>
      <c r="AC37">
        <f t="shared" si="21"/>
        <v>0</v>
      </c>
    </row>
    <row r="38" s="31" customFormat="1" customHeight="1" spans="1:24">
      <c r="A38" s="256">
        <v>11</v>
      </c>
      <c r="B38" s="260" t="s">
        <v>449</v>
      </c>
      <c r="C38" s="257">
        <v>0</v>
      </c>
      <c r="D38" s="257">
        <v>0</v>
      </c>
      <c r="E38" s="257">
        <v>0</v>
      </c>
      <c r="F38" s="268">
        <f t="shared" si="16"/>
        <v>0</v>
      </c>
      <c r="G38" s="257"/>
      <c r="H38" s="257"/>
      <c r="I38" s="257"/>
      <c r="J38" s="258">
        <f t="shared" si="17"/>
        <v>0</v>
      </c>
      <c r="K38" s="278"/>
      <c r="L38" s="257"/>
      <c r="M38" s="257"/>
      <c r="N38" s="258">
        <f t="shared" si="18"/>
        <v>0</v>
      </c>
      <c r="O38" s="279"/>
      <c r="P38" s="278"/>
      <c r="Q38" s="278"/>
      <c r="R38" s="258">
        <f t="shared" si="19"/>
        <v>0</v>
      </c>
      <c r="T38" s="281">
        <f t="shared" si="20"/>
        <v>0</v>
      </c>
      <c r="U38" s="20"/>
      <c r="W38" s="281"/>
      <c r="X38" s="282"/>
    </row>
    <row r="39" customHeight="1" spans="1:24">
      <c r="A39" s="256">
        <v>12</v>
      </c>
      <c r="B39" s="256" t="s">
        <v>450</v>
      </c>
      <c r="C39" s="257">
        <v>0</v>
      </c>
      <c r="D39" s="257">
        <v>0</v>
      </c>
      <c r="E39" s="257">
        <v>0</v>
      </c>
      <c r="F39" s="258">
        <f t="shared" si="16"/>
        <v>0</v>
      </c>
      <c r="G39" s="257"/>
      <c r="H39" s="257"/>
      <c r="I39" s="257"/>
      <c r="J39" s="258">
        <f t="shared" si="17"/>
        <v>0</v>
      </c>
      <c r="K39" s="278"/>
      <c r="L39" s="257"/>
      <c r="M39" s="257"/>
      <c r="N39" s="258">
        <f t="shared" si="18"/>
        <v>0</v>
      </c>
      <c r="O39" s="279"/>
      <c r="P39" s="278"/>
      <c r="Q39" s="278"/>
      <c r="R39" s="258">
        <f t="shared" si="19"/>
        <v>0</v>
      </c>
      <c r="T39" s="29">
        <f t="shared" si="20"/>
        <v>0</v>
      </c>
      <c r="W39" s="29"/>
      <c r="X39" s="26"/>
    </row>
    <row r="40" s="31" customFormat="1" customHeight="1" spans="1:24">
      <c r="A40" s="256">
        <v>13</v>
      </c>
      <c r="B40" s="260" t="s">
        <v>451</v>
      </c>
      <c r="C40" s="257">
        <v>0</v>
      </c>
      <c r="D40" s="257">
        <v>0</v>
      </c>
      <c r="E40" s="257">
        <v>0</v>
      </c>
      <c r="F40" s="268">
        <f t="shared" si="16"/>
        <v>0</v>
      </c>
      <c r="G40" s="257"/>
      <c r="H40" s="257"/>
      <c r="I40" s="257"/>
      <c r="J40" s="258">
        <f t="shared" si="17"/>
        <v>0</v>
      </c>
      <c r="K40" s="278"/>
      <c r="L40" s="257"/>
      <c r="M40" s="257"/>
      <c r="N40" s="258">
        <f t="shared" si="18"/>
        <v>0</v>
      </c>
      <c r="O40" s="279"/>
      <c r="P40" s="278"/>
      <c r="Q40" s="278"/>
      <c r="R40" s="258">
        <f t="shared" si="19"/>
        <v>0</v>
      </c>
      <c r="T40" s="281">
        <f t="shared" si="20"/>
        <v>0</v>
      </c>
      <c r="U40" s="20"/>
      <c r="W40" s="281"/>
      <c r="X40" s="282"/>
    </row>
    <row r="41" s="31" customFormat="1" customHeight="1" spans="1:24">
      <c r="A41" s="256">
        <v>14</v>
      </c>
      <c r="B41" s="260" t="s">
        <v>452</v>
      </c>
      <c r="C41" s="257">
        <v>0</v>
      </c>
      <c r="D41" s="257">
        <v>0</v>
      </c>
      <c r="E41" s="257">
        <v>2240</v>
      </c>
      <c r="F41" s="268">
        <f t="shared" si="16"/>
        <v>2240</v>
      </c>
      <c r="G41" s="257"/>
      <c r="H41" s="257"/>
      <c r="I41" s="257"/>
      <c r="J41" s="258">
        <f t="shared" si="17"/>
        <v>0</v>
      </c>
      <c r="K41" s="278"/>
      <c r="L41" s="257"/>
      <c r="M41" s="257"/>
      <c r="N41" s="258">
        <f t="shared" si="18"/>
        <v>0</v>
      </c>
      <c r="O41" s="279"/>
      <c r="P41" s="278"/>
      <c r="Q41" s="278"/>
      <c r="R41" s="258">
        <f t="shared" si="19"/>
        <v>0</v>
      </c>
      <c r="T41" s="281">
        <f t="shared" si="20"/>
        <v>2240</v>
      </c>
      <c r="U41" s="20"/>
      <c r="V41" s="20"/>
      <c r="W41" s="29"/>
      <c r="X41" s="282"/>
    </row>
    <row r="42" customHeight="1" spans="1:24">
      <c r="A42" s="256">
        <v>15</v>
      </c>
      <c r="B42" s="269" t="s">
        <v>453</v>
      </c>
      <c r="C42" s="257">
        <v>4776</v>
      </c>
      <c r="D42" s="257">
        <v>23611</v>
      </c>
      <c r="E42" s="257">
        <v>69265.9</v>
      </c>
      <c r="F42" s="258">
        <f t="shared" si="16"/>
        <v>97652.9</v>
      </c>
      <c r="G42" s="257"/>
      <c r="H42" s="257"/>
      <c r="I42" s="257"/>
      <c r="J42" s="258">
        <f t="shared" si="17"/>
        <v>0</v>
      </c>
      <c r="K42" s="278"/>
      <c r="L42" s="257"/>
      <c r="M42" s="257"/>
      <c r="N42" s="258">
        <f t="shared" si="18"/>
        <v>0</v>
      </c>
      <c r="O42" s="279"/>
      <c r="P42" s="278"/>
      <c r="Q42" s="278"/>
      <c r="R42" s="258">
        <f t="shared" si="19"/>
        <v>0</v>
      </c>
      <c r="T42" s="29">
        <f t="shared" si="20"/>
        <v>97652.9</v>
      </c>
      <c r="W42" s="29"/>
      <c r="X42" s="26"/>
    </row>
    <row r="43" customHeight="1" spans="1:24">
      <c r="A43" s="256">
        <v>16</v>
      </c>
      <c r="B43" s="270" t="s">
        <v>454</v>
      </c>
      <c r="C43" s="257">
        <v>0</v>
      </c>
      <c r="D43" s="257">
        <v>0</v>
      </c>
      <c r="E43" s="257">
        <v>0</v>
      </c>
      <c r="F43" s="258">
        <f t="shared" si="16"/>
        <v>0</v>
      </c>
      <c r="G43" s="257"/>
      <c r="H43" s="257"/>
      <c r="I43" s="257"/>
      <c r="J43" s="258">
        <f t="shared" si="17"/>
        <v>0</v>
      </c>
      <c r="K43" s="278"/>
      <c r="L43" s="257"/>
      <c r="M43" s="257"/>
      <c r="N43" s="258">
        <f t="shared" si="18"/>
        <v>0</v>
      </c>
      <c r="O43" s="279"/>
      <c r="P43" s="278"/>
      <c r="Q43" s="278"/>
      <c r="R43" s="258">
        <f t="shared" si="19"/>
        <v>0</v>
      </c>
      <c r="T43" s="29">
        <f t="shared" si="20"/>
        <v>0</v>
      </c>
      <c r="W43" s="29"/>
      <c r="X43" s="26"/>
    </row>
    <row r="44" customHeight="1" spans="1:24">
      <c r="A44" s="256">
        <v>17</v>
      </c>
      <c r="B44" s="267" t="s">
        <v>562</v>
      </c>
      <c r="C44" s="257">
        <v>5264</v>
      </c>
      <c r="D44" s="257">
        <v>20852</v>
      </c>
      <c r="E44" s="257">
        <v>27673</v>
      </c>
      <c r="F44" s="258"/>
      <c r="G44" s="257"/>
      <c r="H44" s="257"/>
      <c r="I44" s="257"/>
      <c r="J44" s="258">
        <f t="shared" si="17"/>
        <v>0</v>
      </c>
      <c r="K44" s="278"/>
      <c r="L44" s="257"/>
      <c r="M44" s="257"/>
      <c r="N44" s="258">
        <f t="shared" si="18"/>
        <v>0</v>
      </c>
      <c r="O44" s="279"/>
      <c r="P44" s="278"/>
      <c r="Q44" s="278"/>
      <c r="R44" s="258">
        <f t="shared" si="19"/>
        <v>0</v>
      </c>
      <c r="T44" s="29">
        <f t="shared" si="20"/>
        <v>53789</v>
      </c>
      <c r="W44" s="29"/>
      <c r="X44" s="26"/>
    </row>
    <row r="45" customHeight="1" spans="2:24">
      <c r="B45" s="263" t="s">
        <v>11</v>
      </c>
      <c r="C45" s="264">
        <f t="shared" ref="C45:R45" si="22">SUM(C28:C44)</f>
        <v>112040</v>
      </c>
      <c r="D45" s="264">
        <f t="shared" si="22"/>
        <v>154481</v>
      </c>
      <c r="E45" s="264">
        <f t="shared" si="22"/>
        <v>230178.9</v>
      </c>
      <c r="F45" s="264">
        <f t="shared" si="22"/>
        <v>442910.9</v>
      </c>
      <c r="G45" s="264">
        <f t="shared" si="22"/>
        <v>0</v>
      </c>
      <c r="H45" s="264">
        <f t="shared" si="22"/>
        <v>0</v>
      </c>
      <c r="I45" s="264">
        <f t="shared" si="22"/>
        <v>0</v>
      </c>
      <c r="J45" s="264">
        <f t="shared" si="22"/>
        <v>0</v>
      </c>
      <c r="K45" s="264">
        <f t="shared" si="22"/>
        <v>0</v>
      </c>
      <c r="L45" s="264">
        <f t="shared" si="22"/>
        <v>0</v>
      </c>
      <c r="M45" s="264">
        <f t="shared" si="22"/>
        <v>0</v>
      </c>
      <c r="N45" s="264">
        <f t="shared" si="22"/>
        <v>0</v>
      </c>
      <c r="O45" s="264">
        <f t="shared" si="22"/>
        <v>0</v>
      </c>
      <c r="P45" s="264">
        <f t="shared" si="22"/>
        <v>0</v>
      </c>
      <c r="Q45" s="264">
        <f t="shared" si="22"/>
        <v>0</v>
      </c>
      <c r="R45" s="264">
        <f t="shared" si="22"/>
        <v>0</v>
      </c>
      <c r="T45" s="280">
        <f t="shared" si="20"/>
        <v>496699.9</v>
      </c>
      <c r="W45" s="29"/>
      <c r="X45" s="26"/>
    </row>
    <row r="46" customHeight="1" spans="3:24">
      <c r="C46" s="265"/>
      <c r="D46" s="265"/>
      <c r="E46" s="265"/>
      <c r="F46" s="265"/>
      <c r="G46" s="265"/>
      <c r="H46" s="30"/>
      <c r="I46" s="265"/>
      <c r="J46" s="30"/>
      <c r="K46" s="30"/>
      <c r="L46" s="30"/>
      <c r="M46" s="30"/>
      <c r="N46" s="30"/>
      <c r="O46" s="30"/>
      <c r="P46" s="30"/>
      <c r="Q46" s="30"/>
      <c r="R46" s="30"/>
      <c r="T46" s="29"/>
      <c r="W46" s="29"/>
      <c r="X46" s="26"/>
    </row>
    <row r="47" s="251" customFormat="1" customHeight="1" spans="1:24">
      <c r="A47" s="251" t="s">
        <v>564</v>
      </c>
      <c r="C47" s="271"/>
      <c r="D47" s="271"/>
      <c r="E47" s="271"/>
      <c r="F47" s="271"/>
      <c r="G47" s="271"/>
      <c r="H47" s="252"/>
      <c r="I47" s="271"/>
      <c r="J47" s="252"/>
      <c r="K47" s="252"/>
      <c r="L47" s="252"/>
      <c r="M47" s="252"/>
      <c r="N47" s="252"/>
      <c r="O47" s="252"/>
      <c r="P47" s="252"/>
      <c r="Q47" s="252"/>
      <c r="R47" s="252"/>
      <c r="T47" s="283"/>
      <c r="W47" s="283"/>
      <c r="X47" s="284"/>
    </row>
    <row r="48" customHeight="1" spans="1:30">
      <c r="A48" s="256">
        <v>12</v>
      </c>
      <c r="B48" s="256" t="s">
        <v>407</v>
      </c>
      <c r="C48" s="257">
        <v>51441</v>
      </c>
      <c r="D48" s="257">
        <v>94218</v>
      </c>
      <c r="E48" s="257">
        <v>157817</v>
      </c>
      <c r="F48" s="258">
        <f>SUM(C48:E48)</f>
        <v>303476</v>
      </c>
      <c r="G48" s="257"/>
      <c r="H48" s="257"/>
      <c r="I48" s="257"/>
      <c r="J48" s="258">
        <f>SUM(G48:I48)</f>
        <v>0</v>
      </c>
      <c r="K48" s="278"/>
      <c r="L48" s="257"/>
      <c r="M48" s="257"/>
      <c r="N48" s="258">
        <f>SUM(K48:M48)</f>
        <v>0</v>
      </c>
      <c r="O48" s="279"/>
      <c r="P48" s="278"/>
      <c r="Q48" s="278"/>
      <c r="R48" s="258">
        <f>SUM(O48:Q48)</f>
        <v>0</v>
      </c>
      <c r="T48" s="29">
        <f>Q48+P48+O48+M48+L48+K48+I48+H48+G48+E48+D48+C48</f>
        <v>303476</v>
      </c>
      <c r="W48" s="29"/>
      <c r="X48" s="5" t="s">
        <v>550</v>
      </c>
      <c r="Y48" s="5">
        <v>173256.98</v>
      </c>
      <c r="Z48" s="5"/>
      <c r="AA48" s="5">
        <f>Y48-Z48</f>
        <v>173256.98</v>
      </c>
      <c r="AB48" t="e">
        <f>VLOOKUP(X:X,[7]金衢!$B$1:$I$31,8,0)</f>
        <v>#N/A</v>
      </c>
      <c r="AC48" t="e">
        <f>AA48-AB48</f>
        <v>#N/A</v>
      </c>
      <c r="AD48"/>
    </row>
    <row r="49" customHeight="1" spans="1:30">
      <c r="A49" s="256">
        <v>11</v>
      </c>
      <c r="B49" s="256" t="s">
        <v>406</v>
      </c>
      <c r="C49" s="257">
        <v>31072</v>
      </c>
      <c r="D49" s="257">
        <v>42511</v>
      </c>
      <c r="E49" s="257">
        <v>25944.9</v>
      </c>
      <c r="F49" s="258">
        <f>SUM(C49:E49)</f>
        <v>99527.9</v>
      </c>
      <c r="G49" s="257"/>
      <c r="H49" s="257"/>
      <c r="I49" s="257"/>
      <c r="J49" s="258">
        <f>SUM(G49:I49)</f>
        <v>0</v>
      </c>
      <c r="K49" s="278"/>
      <c r="L49" s="257"/>
      <c r="M49" s="257"/>
      <c r="N49" s="258">
        <f>SUM(K49:M49)</f>
        <v>0</v>
      </c>
      <c r="O49" s="279"/>
      <c r="P49" s="278"/>
      <c r="Q49" s="278"/>
      <c r="R49" s="258">
        <f>SUM(O49:Q49)</f>
        <v>0</v>
      </c>
      <c r="T49" s="29">
        <f>Q49+P49+O49+M49+L49+K49+I49+H49+G49+E49+D49+C49</f>
        <v>99527.9</v>
      </c>
      <c r="W49" s="29"/>
      <c r="X49" s="5" t="s">
        <v>453</v>
      </c>
      <c r="Y49" s="5">
        <v>23611</v>
      </c>
      <c r="Z49" s="5"/>
      <c r="AA49" s="5">
        <f>Y49-Z49</f>
        <v>23611</v>
      </c>
      <c r="AB49">
        <f>VLOOKUP(X:X,[7]金衢!$B$1:$I$31,8,0)</f>
        <v>23611</v>
      </c>
      <c r="AC49">
        <f>AA49-AB49</f>
        <v>0</v>
      </c>
      <c r="AD49"/>
    </row>
    <row r="50" customHeight="1" spans="1:32">
      <c r="A50" s="256">
        <v>3</v>
      </c>
      <c r="B50" s="256" t="s">
        <v>412</v>
      </c>
      <c r="C50" s="257">
        <v>0</v>
      </c>
      <c r="D50" s="257">
        <v>0</v>
      </c>
      <c r="E50" s="257">
        <v>0</v>
      </c>
      <c r="F50" s="258">
        <f>SUM(C50:E50)</f>
        <v>0</v>
      </c>
      <c r="G50" s="257"/>
      <c r="H50" s="257"/>
      <c r="I50" s="257"/>
      <c r="J50" s="258">
        <f>SUM(G50:I50)</f>
        <v>0</v>
      </c>
      <c r="K50" s="278"/>
      <c r="L50" s="257"/>
      <c r="M50" s="257"/>
      <c r="N50" s="258">
        <f>SUM(K50:M50)</f>
        <v>0</v>
      </c>
      <c r="O50" s="279"/>
      <c r="P50" s="278"/>
      <c r="Q50" s="278"/>
      <c r="R50" s="258">
        <f>SUM(O50:Q50)</f>
        <v>0</v>
      </c>
      <c r="T50" s="29">
        <f>Q50+P50+O50+M50+L50+K50+I50+H50+G50+E50+D50+C50</f>
        <v>0</v>
      </c>
      <c r="W50"/>
      <c r="X50" s="16"/>
      <c r="Y50" s="16"/>
      <c r="Z50" s="285"/>
      <c r="AA50" s="16"/>
      <c r="AB50"/>
      <c r="AC50"/>
      <c r="AD50"/>
      <c r="AE50"/>
      <c r="AF50"/>
    </row>
    <row r="51" customHeight="1" spans="1:32">
      <c r="A51" s="256">
        <v>4</v>
      </c>
      <c r="B51" s="256" t="s">
        <v>413</v>
      </c>
      <c r="C51" s="257">
        <v>0</v>
      </c>
      <c r="D51" s="257">
        <v>0</v>
      </c>
      <c r="E51" s="257">
        <v>0</v>
      </c>
      <c r="F51" s="258">
        <f>SUM(C51:E51)</f>
        <v>0</v>
      </c>
      <c r="G51" s="257"/>
      <c r="H51" s="257"/>
      <c r="I51" s="257"/>
      <c r="J51" s="258">
        <f>SUM(G51:I51)</f>
        <v>0</v>
      </c>
      <c r="K51" s="278"/>
      <c r="L51" s="257"/>
      <c r="M51" s="257"/>
      <c r="N51" s="258">
        <f>SUM(K51:M51)</f>
        <v>0</v>
      </c>
      <c r="O51" s="279"/>
      <c r="P51" s="278"/>
      <c r="Q51" s="278"/>
      <c r="R51" s="258">
        <f>SUM(O51:Q51)</f>
        <v>0</v>
      </c>
      <c r="T51" s="29">
        <f>Q51+P51+O51+M51+L51+K51+I51+H51+G51+E51+D51+C51</f>
        <v>0</v>
      </c>
      <c r="W51"/>
      <c r="X51" s="16"/>
      <c r="Y51" s="16"/>
      <c r="Z51" s="285"/>
      <c r="AA51" s="16"/>
      <c r="AB51"/>
      <c r="AC51"/>
      <c r="AD51"/>
      <c r="AE51"/>
      <c r="AF51"/>
    </row>
    <row r="52" customHeight="1" spans="1:32">
      <c r="A52" s="256">
        <v>5</v>
      </c>
      <c r="B52" s="261" t="s">
        <v>414</v>
      </c>
      <c r="C52" s="257">
        <v>0</v>
      </c>
      <c r="D52" s="257">
        <v>0</v>
      </c>
      <c r="E52" s="257">
        <v>0</v>
      </c>
      <c r="F52" s="258">
        <f>SUM(C52:E52)</f>
        <v>0</v>
      </c>
      <c r="G52" s="257"/>
      <c r="H52" s="257"/>
      <c r="I52" s="257"/>
      <c r="J52" s="258">
        <f>SUM(G52:I52)</f>
        <v>0</v>
      </c>
      <c r="K52" s="278"/>
      <c r="L52" s="257"/>
      <c r="M52" s="257"/>
      <c r="N52" s="258">
        <f>SUM(K52:M52)</f>
        <v>0</v>
      </c>
      <c r="O52" s="279"/>
      <c r="P52" s="278"/>
      <c r="Q52" s="278"/>
      <c r="R52" s="258">
        <f>SUM(O52:Q52)</f>
        <v>0</v>
      </c>
      <c r="T52" s="29">
        <f>Q52+P52+O52+M52+L52+K52+I52+H52+G52+E52+D52+C52</f>
        <v>0</v>
      </c>
      <c r="W52"/>
      <c r="X52"/>
      <c r="Y52"/>
      <c r="Z52"/>
      <c r="AA52"/>
      <c r="AB52"/>
      <c r="AC52"/>
      <c r="AD52"/>
      <c r="AE52"/>
      <c r="AF52"/>
    </row>
    <row r="53" customHeight="1" spans="2:24">
      <c r="B53" s="272" t="s">
        <v>11</v>
      </c>
      <c r="C53" s="273">
        <f>SUM(C48:C52)</f>
        <v>82513</v>
      </c>
      <c r="D53" s="273">
        <f t="shared" ref="D53:R53" si="23">SUM(D48:D52)</f>
        <v>136729</v>
      </c>
      <c r="E53" s="273">
        <f t="shared" si="23"/>
        <v>183761.9</v>
      </c>
      <c r="F53" s="273">
        <f t="shared" si="23"/>
        <v>403003.9</v>
      </c>
      <c r="G53" s="273">
        <f t="shared" si="23"/>
        <v>0</v>
      </c>
      <c r="H53" s="273">
        <f t="shared" si="23"/>
        <v>0</v>
      </c>
      <c r="I53" s="273">
        <f t="shared" si="23"/>
        <v>0</v>
      </c>
      <c r="J53" s="273">
        <f t="shared" si="23"/>
        <v>0</v>
      </c>
      <c r="K53" s="273">
        <f t="shared" si="23"/>
        <v>0</v>
      </c>
      <c r="L53" s="273">
        <f t="shared" si="23"/>
        <v>0</v>
      </c>
      <c r="M53" s="273">
        <f t="shared" si="23"/>
        <v>0</v>
      </c>
      <c r="N53" s="273">
        <f t="shared" si="23"/>
        <v>0</v>
      </c>
      <c r="O53" s="273">
        <f t="shared" si="23"/>
        <v>0</v>
      </c>
      <c r="P53" s="273">
        <f t="shared" si="23"/>
        <v>0</v>
      </c>
      <c r="Q53" s="273">
        <f t="shared" si="23"/>
        <v>0</v>
      </c>
      <c r="R53" s="273">
        <f t="shared" si="23"/>
        <v>0</v>
      </c>
      <c r="T53" s="29"/>
      <c r="W53" s="29"/>
      <c r="X53" s="26"/>
    </row>
    <row r="54" customHeight="1" spans="2:24">
      <c r="B54" s="20" t="s">
        <v>460</v>
      </c>
      <c r="C54" s="265"/>
      <c r="D54" s="265"/>
      <c r="E54" s="265"/>
      <c r="F54" s="265"/>
      <c r="G54" s="265"/>
      <c r="H54" s="30"/>
      <c r="I54" s="265"/>
      <c r="J54" s="30"/>
      <c r="K54" s="30"/>
      <c r="L54" s="30"/>
      <c r="M54" s="30"/>
      <c r="N54" s="30"/>
      <c r="O54" s="30"/>
      <c r="P54" s="30"/>
      <c r="Q54" s="30"/>
      <c r="R54" s="30"/>
      <c r="T54" s="29"/>
      <c r="W54" s="29"/>
      <c r="X54" s="26"/>
    </row>
    <row r="55" customHeight="1" spans="1:24">
      <c r="A55" s="253">
        <v>1</v>
      </c>
      <c r="B55" s="253" t="s">
        <v>458</v>
      </c>
      <c r="C55" s="257">
        <v>-50</v>
      </c>
      <c r="D55" s="257">
        <v>0</v>
      </c>
      <c r="E55" s="257">
        <v>0</v>
      </c>
      <c r="F55" s="258">
        <f>SUM(C55:E55)</f>
        <v>-50</v>
      </c>
      <c r="G55" s="257"/>
      <c r="H55" s="257"/>
      <c r="I55" s="257"/>
      <c r="J55" s="258">
        <f>SUM(G55:I55)</f>
        <v>0</v>
      </c>
      <c r="K55" s="278"/>
      <c r="L55" s="257"/>
      <c r="M55" s="257"/>
      <c r="N55" s="258">
        <f>SUM(K55:M55)</f>
        <v>0</v>
      </c>
      <c r="O55" s="279"/>
      <c r="P55" s="278"/>
      <c r="Q55" s="278"/>
      <c r="R55" s="258">
        <f>SUM(O55:Q55)</f>
        <v>0</v>
      </c>
      <c r="T55" s="29">
        <f t="shared" ref="T55:T61" si="24">Q55+P55+O55+M55+L55+K55+I55+H55+G55+E55+D55+C55</f>
        <v>-50</v>
      </c>
      <c r="W55" s="29"/>
      <c r="X55" s="26"/>
    </row>
    <row r="56" customHeight="1" spans="1:24">
      <c r="A56" s="274" t="s">
        <v>459</v>
      </c>
      <c r="B56" s="275"/>
      <c r="C56" s="276">
        <f t="shared" ref="C56:R56" si="25">C55+C53+C45+C26+C17</f>
        <v>412436</v>
      </c>
      <c r="D56" s="276">
        <f t="shared" si="25"/>
        <v>572995.98</v>
      </c>
      <c r="E56" s="276">
        <f t="shared" si="25"/>
        <v>648482.45</v>
      </c>
      <c r="F56" s="276">
        <f t="shared" si="25"/>
        <v>1580125.43</v>
      </c>
      <c r="G56" s="276">
        <f t="shared" si="25"/>
        <v>0</v>
      </c>
      <c r="H56" s="276">
        <f t="shared" si="25"/>
        <v>0</v>
      </c>
      <c r="I56" s="276">
        <f t="shared" si="25"/>
        <v>0</v>
      </c>
      <c r="J56" s="276">
        <f t="shared" si="25"/>
        <v>0</v>
      </c>
      <c r="K56" s="276">
        <f t="shared" si="25"/>
        <v>0</v>
      </c>
      <c r="L56" s="276">
        <f t="shared" si="25"/>
        <v>0</v>
      </c>
      <c r="M56" s="276">
        <f t="shared" si="25"/>
        <v>0</v>
      </c>
      <c r="N56" s="276">
        <f t="shared" si="25"/>
        <v>0</v>
      </c>
      <c r="O56" s="276">
        <f t="shared" si="25"/>
        <v>0</v>
      </c>
      <c r="P56" s="276">
        <f t="shared" si="25"/>
        <v>0</v>
      </c>
      <c r="Q56" s="276">
        <f t="shared" si="25"/>
        <v>0</v>
      </c>
      <c r="R56" s="276">
        <f t="shared" si="25"/>
        <v>0</v>
      </c>
      <c r="T56" s="280">
        <f t="shared" si="24"/>
        <v>1633914.43</v>
      </c>
      <c r="X56" s="26"/>
    </row>
    <row r="57" customHeight="1" spans="20:24">
      <c r="T57" s="29"/>
      <c r="W57" s="29"/>
      <c r="X57" s="26"/>
    </row>
    <row r="58" customHeight="1" spans="3:24">
      <c r="C58" s="277"/>
      <c r="D58" s="277"/>
      <c r="E58" s="277"/>
      <c r="F58" s="277"/>
      <c r="G58" s="277"/>
      <c r="H58" s="277"/>
      <c r="I58" s="277"/>
      <c r="J58" s="277"/>
      <c r="K58" s="277"/>
      <c r="L58" s="277"/>
      <c r="M58" s="277"/>
      <c r="N58" s="277"/>
      <c r="O58" s="277"/>
      <c r="P58" s="277"/>
      <c r="Q58" s="277"/>
      <c r="R58" s="277"/>
      <c r="S58" s="277"/>
      <c r="T58" s="277"/>
      <c r="W58" s="29"/>
      <c r="X58" s="26"/>
    </row>
    <row r="59" ht="22.5" customHeight="1" spans="3:24">
      <c r="C59" s="277"/>
      <c r="D59" s="277"/>
      <c r="E59" s="277"/>
      <c r="F59" s="277"/>
      <c r="G59" s="277"/>
      <c r="H59" s="277"/>
      <c r="I59" s="277"/>
      <c r="J59" s="277"/>
      <c r="K59" s="277"/>
      <c r="L59" s="277"/>
      <c r="M59" s="277"/>
      <c r="N59" s="277"/>
      <c r="O59" s="277"/>
      <c r="P59" s="277"/>
      <c r="Q59" s="277"/>
      <c r="R59" s="277"/>
      <c r="S59" s="277"/>
      <c r="T59" s="277"/>
      <c r="X59" s="26"/>
    </row>
    <row r="60" customHeight="1" spans="2:24">
      <c r="B60" s="20" t="s">
        <v>461</v>
      </c>
      <c r="C60" s="277">
        <f t="shared" ref="C60:R60" si="26">C55+C52+C51+C50+C44+C41+C40+C39+C38+C37+C36+C35+C34+C33+C32+C31+C30+C29+C28+C25+C24+C23+C22+C21+C20+C19+C16+C13+C11+C10+C9+C8+C7+C15+C6+C5+C4</f>
        <v>316420</v>
      </c>
      <c r="D60" s="277">
        <f t="shared" si="26"/>
        <v>405312.98</v>
      </c>
      <c r="E60" s="277">
        <f t="shared" si="26"/>
        <v>381650.65</v>
      </c>
      <c r="F60" s="277">
        <f t="shared" si="26"/>
        <v>1049594.63</v>
      </c>
      <c r="G60" s="277">
        <f t="shared" si="26"/>
        <v>0</v>
      </c>
      <c r="H60" s="277">
        <f t="shared" si="26"/>
        <v>0</v>
      </c>
      <c r="I60" s="277">
        <f t="shared" si="26"/>
        <v>0</v>
      </c>
      <c r="J60" s="277">
        <f t="shared" si="26"/>
        <v>0</v>
      </c>
      <c r="K60" s="277">
        <f t="shared" si="26"/>
        <v>0</v>
      </c>
      <c r="L60" s="277">
        <f t="shared" si="26"/>
        <v>0</v>
      </c>
      <c r="M60" s="277">
        <f t="shared" si="26"/>
        <v>0</v>
      </c>
      <c r="N60" s="277">
        <f t="shared" si="26"/>
        <v>0</v>
      </c>
      <c r="O60" s="277">
        <f t="shared" si="26"/>
        <v>0</v>
      </c>
      <c r="P60" s="277">
        <f t="shared" si="26"/>
        <v>0</v>
      </c>
      <c r="Q60" s="277">
        <f t="shared" si="26"/>
        <v>0</v>
      </c>
      <c r="R60" s="277">
        <f t="shared" si="26"/>
        <v>0</v>
      </c>
      <c r="S60" s="277"/>
      <c r="T60" s="280">
        <f t="shared" si="24"/>
        <v>1103383.63</v>
      </c>
      <c r="X60" s="26"/>
    </row>
    <row r="61" customHeight="1" spans="2:24">
      <c r="B61" s="20" t="s">
        <v>462</v>
      </c>
      <c r="C61" s="277">
        <f t="shared" ref="C61:R61" si="27">C48+C49+C42+C14</f>
        <v>96016</v>
      </c>
      <c r="D61" s="277">
        <f t="shared" si="27"/>
        <v>167683</v>
      </c>
      <c r="E61" s="277">
        <f t="shared" si="27"/>
        <v>266831.8</v>
      </c>
      <c r="F61" s="277">
        <f t="shared" si="27"/>
        <v>530530.8</v>
      </c>
      <c r="G61" s="277">
        <f t="shared" si="27"/>
        <v>0</v>
      </c>
      <c r="H61" s="277">
        <f t="shared" si="27"/>
        <v>0</v>
      </c>
      <c r="I61" s="277">
        <f t="shared" si="27"/>
        <v>0</v>
      </c>
      <c r="J61" s="277">
        <f t="shared" si="27"/>
        <v>0</v>
      </c>
      <c r="K61" s="277">
        <f t="shared" si="27"/>
        <v>0</v>
      </c>
      <c r="L61" s="277">
        <f t="shared" si="27"/>
        <v>0</v>
      </c>
      <c r="M61" s="277">
        <f t="shared" si="27"/>
        <v>0</v>
      </c>
      <c r="N61" s="277">
        <f t="shared" si="27"/>
        <v>0</v>
      </c>
      <c r="O61" s="277">
        <f t="shared" si="27"/>
        <v>0</v>
      </c>
      <c r="P61" s="277">
        <f t="shared" si="27"/>
        <v>0</v>
      </c>
      <c r="Q61" s="277">
        <f t="shared" si="27"/>
        <v>0</v>
      </c>
      <c r="R61" s="277">
        <f t="shared" si="27"/>
        <v>0</v>
      </c>
      <c r="S61" s="277"/>
      <c r="T61" s="280">
        <f t="shared" si="24"/>
        <v>530530.8</v>
      </c>
      <c r="X61" s="26"/>
    </row>
    <row r="62" customHeight="1" spans="20:20">
      <c r="T62" s="29"/>
    </row>
    <row r="63" customHeight="1" spans="22:23">
      <c r="V63" s="29"/>
      <c r="W63" s="29"/>
    </row>
  </sheetData>
  <autoFilter xmlns:etc="http://www.wps.cn/officeDocument/2017/etCustomData" ref="T3:U56" etc:filterBottomFollowUsedRange="0">
    <extLst/>
  </autoFilter>
  <mergeCells count="1">
    <mergeCell ref="A56:B56"/>
  </mergeCells>
  <conditionalFormatting sqref="X4:X12 X15">
    <cfRule type="duplicateValues" dxfId="0" priority="1"/>
  </conditionalFormatting>
  <pageMargins left="0.354166666666667" right="0.354166666666667" top="0.432638888888889" bottom="0.432638888888889" header="0.313888888888889" footer="0.313888888888889"/>
  <pageSetup paperSize="9" orientation="portrait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N35"/>
  <sheetViews>
    <sheetView view="pageBreakPreview" zoomScaleNormal="100" workbookViewId="0">
      <pane xSplit="4" ySplit="3" topLeftCell="E4" activePane="bottomRight" state="frozen"/>
      <selection/>
      <selection pane="topRight"/>
      <selection pane="bottomLeft"/>
      <selection pane="bottomRight" activeCell="L31" sqref="L31"/>
    </sheetView>
  </sheetViews>
  <sheetFormatPr defaultColWidth="9" defaultRowHeight="17.25" customHeight="1"/>
  <cols>
    <col min="1" max="1" width="9.5" style="141" customWidth="1"/>
    <col min="2" max="2" width="26.6272727272727" style="142" customWidth="1"/>
    <col min="3" max="3" width="17" style="4" customWidth="1"/>
    <col min="4" max="4" width="13.7545454545455" style="139" customWidth="1"/>
    <col min="5" max="5" width="10.8727272727273" style="139" customWidth="1"/>
    <col min="6" max="6" width="11.3727272727273" style="139" customWidth="1"/>
    <col min="7" max="7" width="11" style="143" customWidth="1"/>
    <col min="8" max="8" width="9.12727272727273" style="139" customWidth="1"/>
    <col min="9" max="9" width="10.8727272727273" style="139" customWidth="1"/>
    <col min="10" max="10" width="11.3727272727273" style="139" customWidth="1"/>
    <col min="11" max="12" width="9.12727272727273" style="139" customWidth="1"/>
    <col min="13" max="13" width="10.8727272727273" style="144" customWidth="1"/>
    <col min="14" max="14" width="11.3727272727273" style="139" customWidth="1"/>
    <col min="15" max="16" width="9.12727272727273" style="139" customWidth="1"/>
    <col min="17" max="17" width="10.3727272727273" style="139" customWidth="1"/>
    <col min="18" max="18" width="10.8727272727273" style="139" customWidth="1"/>
    <col min="19" max="22" width="9.12727272727273" style="139" customWidth="1"/>
    <col min="23" max="23" width="10.8727272727273" style="139" customWidth="1"/>
    <col min="24" max="24" width="11.3727272727273" style="139" customWidth="1"/>
    <col min="25" max="25" width="9.12727272727273" style="139" customWidth="1"/>
    <col min="26" max="26" width="7.87272727272727" style="139" customWidth="1"/>
    <col min="27" max="27" width="10.2545454545455" style="139" customWidth="1"/>
    <col min="28" max="28" width="11.1272727272727" style="139" customWidth="1"/>
    <col min="29" max="29" width="9" style="139" customWidth="1"/>
    <col min="30" max="30" width="7.87272727272727" style="139" customWidth="1"/>
    <col min="31" max="31" width="10.3727272727273" style="139" customWidth="1"/>
    <col min="32" max="32" width="11.1272727272727" style="139" customWidth="1"/>
    <col min="33" max="34" width="8" style="139" customWidth="1"/>
    <col min="35" max="35" width="11.7545454545455" style="139" customWidth="1"/>
    <col min="36" max="36" width="13" style="139" customWidth="1"/>
    <col min="37" max="37" width="8.12727272727273" style="139" customWidth="1"/>
    <col min="38" max="38" width="9" style="139" customWidth="1"/>
    <col min="39" max="39" width="7.25454545454545" style="139" customWidth="1"/>
    <col min="40" max="40" width="9" style="139" customWidth="1"/>
    <col min="41" max="41" width="11" style="139" customWidth="1"/>
    <col min="42" max="42" width="10.3727272727273" style="139" customWidth="1"/>
    <col min="43" max="43" width="7.75454545454545" style="139" customWidth="1"/>
    <col min="44" max="44" width="8.75454545454545" style="139" customWidth="1"/>
    <col min="45" max="45" width="10.3727272727273" style="139" customWidth="1"/>
    <col min="46" max="46" width="11.1272727272727" style="139" customWidth="1"/>
    <col min="47" max="47" width="7.62727272727273" style="139" customWidth="1"/>
    <col min="48" max="48" width="7.87272727272727" style="139" customWidth="1"/>
    <col min="49" max="49" width="10.8727272727273" style="139" customWidth="1"/>
    <col min="50" max="50" width="10.5" style="139" customWidth="1"/>
    <col min="51" max="52" width="8.75454545454545" style="139" customWidth="1"/>
    <col min="53" max="53" width="12.8727272727273" style="139" customWidth="1"/>
    <col min="54" max="54" width="12.1272727272727" style="139" customWidth="1"/>
    <col min="55" max="55" width="8.87272727272727" style="139" customWidth="1"/>
    <col min="56" max="56" width="8.62727272727273" style="139" customWidth="1"/>
    <col min="57" max="57" width="7.87272727272727" style="139" customWidth="1"/>
    <col min="58" max="58" width="9" style="139" customWidth="1"/>
    <col min="59" max="59" width="12.1272727272727" style="139" customWidth="1"/>
    <col min="60" max="60" width="12.2545454545455" style="139" customWidth="1"/>
    <col min="61" max="61" width="9.87272727272727" style="139" customWidth="1"/>
    <col min="62" max="62" width="8.75454545454545" style="139" customWidth="1"/>
    <col min="63" max="64" width="11.7545454545455" style="139" customWidth="1"/>
    <col min="65" max="65" width="8.87272727272727" style="139" customWidth="1"/>
    <col min="66" max="66" width="8.87272727272727" style="143" customWidth="1"/>
    <col min="67" max="67" width="8.87272727272727" style="139" customWidth="1"/>
    <col min="68" max="68" width="11.7545454545455" style="139" customWidth="1"/>
    <col min="69" max="69" width="12.1272727272727" style="139" customWidth="1"/>
    <col min="70" max="71" width="9.12727272727273" style="139" customWidth="1"/>
    <col min="72" max="73" width="10.7545454545455" style="139" customWidth="1"/>
    <col min="74" max="75" width="8.25454545454545" style="139" customWidth="1"/>
    <col min="76" max="76" width="7.87272727272727" style="139" customWidth="1"/>
    <col min="77" max="77" width="9" style="139" customWidth="1"/>
    <col min="78" max="78" width="14.6272727272727" style="139" customWidth="1"/>
    <col min="79" max="79" width="13.7545454545455" style="139" customWidth="1"/>
    <col min="80" max="80" width="8.25454545454545" style="139" customWidth="1"/>
    <col min="81" max="81" width="15.8727272727273" style="139" customWidth="1"/>
    <col min="82" max="82" width="13.8727272727273" style="139" customWidth="1"/>
    <col min="83" max="87" width="9" style="139" customWidth="1"/>
    <col min="88" max="89" width="9.62727272727273" style="139" customWidth="1"/>
    <col min="90" max="90" width="10.3727272727273" style="139" customWidth="1"/>
    <col min="91" max="95" width="9" style="139" customWidth="1"/>
    <col min="96" max="115" width="9" style="139"/>
    <col min="116" max="16384" width="9" style="6"/>
  </cols>
  <sheetData>
    <row r="1" ht="23.25" customHeight="1" spans="1:79">
      <c r="A1" s="145" t="s">
        <v>565</v>
      </c>
      <c r="B1" s="145"/>
      <c r="C1" s="146"/>
      <c r="D1" s="145"/>
      <c r="E1" s="145"/>
      <c r="F1" s="145"/>
      <c r="G1" s="145"/>
      <c r="H1" s="145"/>
      <c r="X1" s="209"/>
      <c r="AE1" s="210"/>
      <c r="BS1" s="210"/>
      <c r="BW1" s="210"/>
      <c r="CA1" s="210"/>
    </row>
    <row r="2" ht="21.75" customHeight="1" spans="1:75">
      <c r="A2" s="147" t="s">
        <v>222</v>
      </c>
      <c r="B2" s="148"/>
      <c r="C2" s="149"/>
      <c r="D2" s="141"/>
      <c r="E2" s="147" t="s">
        <v>223</v>
      </c>
      <c r="F2" s="141"/>
      <c r="G2" s="141"/>
      <c r="H2" s="141"/>
      <c r="V2" s="210"/>
      <c r="W2" s="210"/>
      <c r="AE2" s="223"/>
      <c r="BD2" s="226"/>
      <c r="BS2" s="210"/>
      <c r="BW2" s="210"/>
    </row>
    <row r="3" s="137" customFormat="1" ht="42" customHeight="1" spans="1:115">
      <c r="A3" s="150" t="s">
        <v>224</v>
      </c>
      <c r="B3" s="151" t="s">
        <v>172</v>
      </c>
      <c r="C3" s="150" t="s">
        <v>173</v>
      </c>
      <c r="D3" s="152" t="s">
        <v>225</v>
      </c>
      <c r="E3" s="153" t="s">
        <v>566</v>
      </c>
      <c r="F3" s="153" t="s">
        <v>567</v>
      </c>
      <c r="G3" s="154" t="s">
        <v>176</v>
      </c>
      <c r="H3" s="152" t="s">
        <v>228</v>
      </c>
      <c r="I3" s="153" t="s">
        <v>568</v>
      </c>
      <c r="J3" s="153" t="s">
        <v>569</v>
      </c>
      <c r="K3" s="194" t="s">
        <v>176</v>
      </c>
      <c r="L3" s="194" t="s">
        <v>228</v>
      </c>
      <c r="M3" s="195" t="s">
        <v>570</v>
      </c>
      <c r="N3" s="153" t="s">
        <v>571</v>
      </c>
      <c r="O3" s="194" t="s">
        <v>176</v>
      </c>
      <c r="P3" s="194" t="s">
        <v>228</v>
      </c>
      <c r="Q3" s="211" t="s">
        <v>572</v>
      </c>
      <c r="R3" s="211" t="s">
        <v>573</v>
      </c>
      <c r="S3" s="212" t="s">
        <v>574</v>
      </c>
      <c r="T3" s="153" t="s">
        <v>575</v>
      </c>
      <c r="U3" s="194" t="s">
        <v>236</v>
      </c>
      <c r="V3" s="194" t="s">
        <v>237</v>
      </c>
      <c r="W3" s="153" t="s">
        <v>576</v>
      </c>
      <c r="X3" s="153" t="s">
        <v>577</v>
      </c>
      <c r="Y3" s="152" t="s">
        <v>176</v>
      </c>
      <c r="Z3" s="152" t="s">
        <v>228</v>
      </c>
      <c r="AA3" s="153" t="s">
        <v>578</v>
      </c>
      <c r="AB3" s="153" t="s">
        <v>579</v>
      </c>
      <c r="AC3" s="152" t="s">
        <v>176</v>
      </c>
      <c r="AD3" s="152" t="s">
        <v>228</v>
      </c>
      <c r="AE3" s="153" t="s">
        <v>580</v>
      </c>
      <c r="AF3" s="153" t="s">
        <v>581</v>
      </c>
      <c r="AG3" s="152" t="s">
        <v>176</v>
      </c>
      <c r="AH3" s="152" t="s">
        <v>228</v>
      </c>
      <c r="AI3" s="224" t="s">
        <v>582</v>
      </c>
      <c r="AJ3" s="224" t="s">
        <v>583</v>
      </c>
      <c r="AK3" s="212" t="s">
        <v>584</v>
      </c>
      <c r="AL3" s="153" t="s">
        <v>585</v>
      </c>
      <c r="AM3" s="152" t="s">
        <v>236</v>
      </c>
      <c r="AN3" s="152" t="s">
        <v>237</v>
      </c>
      <c r="AO3" s="153" t="s">
        <v>586</v>
      </c>
      <c r="AP3" s="153" t="s">
        <v>587</v>
      </c>
      <c r="AQ3" s="152" t="s">
        <v>176</v>
      </c>
      <c r="AR3" s="152" t="s">
        <v>228</v>
      </c>
      <c r="AS3" s="153" t="s">
        <v>588</v>
      </c>
      <c r="AT3" s="153" t="s">
        <v>589</v>
      </c>
      <c r="AU3" s="152" t="s">
        <v>176</v>
      </c>
      <c r="AV3" s="152" t="s">
        <v>228</v>
      </c>
      <c r="AW3" s="153" t="s">
        <v>590</v>
      </c>
      <c r="AX3" s="153" t="s">
        <v>591</v>
      </c>
      <c r="AY3" s="152" t="s">
        <v>176</v>
      </c>
      <c r="AZ3" s="152" t="s">
        <v>228</v>
      </c>
      <c r="BA3" s="224" t="s">
        <v>592</v>
      </c>
      <c r="BB3" s="224" t="s">
        <v>593</v>
      </c>
      <c r="BC3" s="212" t="s">
        <v>594</v>
      </c>
      <c r="BD3" s="153" t="s">
        <v>595</v>
      </c>
      <c r="BE3" s="152" t="s">
        <v>236</v>
      </c>
      <c r="BF3" s="152" t="s">
        <v>237</v>
      </c>
      <c r="BG3" s="153" t="s">
        <v>596</v>
      </c>
      <c r="BH3" s="153" t="s">
        <v>597</v>
      </c>
      <c r="BI3" s="152" t="s">
        <v>176</v>
      </c>
      <c r="BJ3" s="152" t="s">
        <v>228</v>
      </c>
      <c r="BK3" s="153" t="s">
        <v>598</v>
      </c>
      <c r="BL3" s="153" t="s">
        <v>599</v>
      </c>
      <c r="BM3" s="152" t="s">
        <v>176</v>
      </c>
      <c r="BN3" s="154" t="s">
        <v>600</v>
      </c>
      <c r="BO3" s="152" t="s">
        <v>228</v>
      </c>
      <c r="BP3" s="228" t="s">
        <v>601</v>
      </c>
      <c r="BQ3" s="153" t="s">
        <v>602</v>
      </c>
      <c r="BR3" s="152" t="s">
        <v>176</v>
      </c>
      <c r="BS3" s="152" t="s">
        <v>228</v>
      </c>
      <c r="BT3" s="224" t="s">
        <v>603</v>
      </c>
      <c r="BU3" s="224" t="s">
        <v>604</v>
      </c>
      <c r="BV3" s="212" t="s">
        <v>605</v>
      </c>
      <c r="BW3" s="153" t="s">
        <v>606</v>
      </c>
      <c r="BX3" s="152" t="s">
        <v>236</v>
      </c>
      <c r="BY3" s="152" t="s">
        <v>237</v>
      </c>
      <c r="BZ3" s="224" t="s">
        <v>607</v>
      </c>
      <c r="CA3" s="224" t="s">
        <v>608</v>
      </c>
      <c r="CB3" s="152" t="s">
        <v>176</v>
      </c>
      <c r="CC3" s="241"/>
      <c r="CD3" s="242" t="s">
        <v>138</v>
      </c>
      <c r="CE3" s="241"/>
      <c r="CF3" s="241"/>
      <c r="CG3" s="241"/>
      <c r="CH3" s="241"/>
      <c r="CI3" s="241"/>
      <c r="CJ3" s="241"/>
      <c r="CK3" s="241"/>
      <c r="CL3" s="241"/>
      <c r="CM3" s="241"/>
      <c r="CN3" s="241"/>
      <c r="CO3" s="241"/>
      <c r="CP3" s="241"/>
      <c r="CQ3" s="241"/>
      <c r="CR3" s="241"/>
      <c r="CS3" s="241"/>
      <c r="CT3" s="241"/>
      <c r="CU3" s="241"/>
      <c r="CV3" s="241"/>
      <c r="CW3" s="241"/>
      <c r="CX3" s="241"/>
      <c r="CY3" s="241"/>
      <c r="CZ3" s="241"/>
      <c r="DA3" s="241"/>
      <c r="DB3" s="241"/>
      <c r="DC3" s="241"/>
      <c r="DD3" s="241"/>
      <c r="DE3" s="241"/>
      <c r="DF3" s="241"/>
      <c r="DG3" s="241"/>
      <c r="DH3" s="241"/>
      <c r="DI3" s="241"/>
      <c r="DJ3" s="241"/>
      <c r="DK3" s="241"/>
    </row>
    <row r="4" ht="32.1" hidden="1" customHeight="1" spans="1:83">
      <c r="A4" s="155" t="s">
        <v>38</v>
      </c>
      <c r="B4" s="156" t="s">
        <v>609</v>
      </c>
      <c r="C4" s="157" t="s">
        <v>39</v>
      </c>
      <c r="D4" s="158">
        <f>6500*0.7</f>
        <v>4550</v>
      </c>
      <c r="E4" s="158">
        <f>(VLOOKUP(C:C,[8]杭州!$A$1:$C$65536,3,0))*10000</f>
        <v>200000</v>
      </c>
      <c r="F4" s="159">
        <f>杭州大区回款!E20</f>
        <v>517835.69</v>
      </c>
      <c r="G4" s="160">
        <f t="shared" ref="G4:G11" si="0">F4/E4</f>
        <v>2.58917845</v>
      </c>
      <c r="H4" s="159">
        <f t="shared" ref="H4:H8" si="1">D4*G4</f>
        <v>11780.7619475</v>
      </c>
      <c r="I4" s="158">
        <f>(VLOOKUP(C:C,[8]杭州!$A$1:$D$65536,4,0))*10000</f>
        <v>250000</v>
      </c>
      <c r="J4" s="159">
        <f>杭州大区回款!F20</f>
        <v>464319.83</v>
      </c>
      <c r="K4" s="196">
        <f>(J4-10000)/I4</f>
        <v>1.81727932</v>
      </c>
      <c r="L4" s="197">
        <f t="shared" ref="L4:L8" si="2">D4*K4</f>
        <v>8268.620906</v>
      </c>
      <c r="M4" s="158">
        <f>(VLOOKUP(C:C,[8]杭州!$A$1:$E$65536,5,0))*10000</f>
        <v>350000</v>
      </c>
      <c r="N4" s="159">
        <f>杭州大区回款!G20</f>
        <v>713818.2</v>
      </c>
      <c r="O4" s="196">
        <f t="shared" ref="O4:O11" si="3">N4/M4</f>
        <v>2.03948057142857</v>
      </c>
      <c r="P4" s="197">
        <f t="shared" ref="P4:P8" si="4">D4*O4</f>
        <v>9279.6366</v>
      </c>
      <c r="Q4" s="213">
        <f t="shared" ref="Q4:Q11" si="5">E4+I4+M4</f>
        <v>800000</v>
      </c>
      <c r="R4" s="214">
        <f t="shared" ref="R4:R11" si="6">F4+J4+N4</f>
        <v>1695973.72</v>
      </c>
      <c r="S4" s="160">
        <f t="shared" ref="S4:S11" si="7">R4/Q4</f>
        <v>2.11996715</v>
      </c>
      <c r="T4" s="160">
        <v>1</v>
      </c>
      <c r="U4" s="215">
        <f>6500*0.3*3</f>
        <v>5850</v>
      </c>
      <c r="V4" s="197">
        <f t="shared" ref="V4:V8" si="8">U4*S4*T4</f>
        <v>12401.8078275</v>
      </c>
      <c r="W4" s="216"/>
      <c r="X4" s="159">
        <f>杭州大区回款!I20</f>
        <v>394370.22</v>
      </c>
      <c r="Y4" s="160" t="e">
        <f t="shared" ref="Y4:Y11" si="9">X4/W4</f>
        <v>#DIV/0!</v>
      </c>
      <c r="Z4" s="159" t="e">
        <f>D4*Y4</f>
        <v>#DIV/0!</v>
      </c>
      <c r="AA4" s="216"/>
      <c r="AB4" s="159">
        <f>杭州大区回款!J20</f>
        <v>415019.03</v>
      </c>
      <c r="AC4" s="160" t="e">
        <f t="shared" ref="AC4:AC10" si="10">AB4/AA4</f>
        <v>#DIV/0!</v>
      </c>
      <c r="AD4" s="159" t="e">
        <f>D4*AC4</f>
        <v>#DIV/0!</v>
      </c>
      <c r="AE4" s="216"/>
      <c r="AF4" s="159">
        <f>杭州大区回款!K20</f>
        <v>537300.98</v>
      </c>
      <c r="AG4" s="160" t="e">
        <f t="shared" ref="AG4:AG10" si="11">AF4/AE4</f>
        <v>#DIV/0!</v>
      </c>
      <c r="AH4" s="159" t="e">
        <f>D4*AG4</f>
        <v>#DIV/0!</v>
      </c>
      <c r="AI4" s="218">
        <f t="shared" ref="AI4:AI9" si="12">AE4+AA4+W4</f>
        <v>0</v>
      </c>
      <c r="AJ4" s="219">
        <f t="shared" ref="AJ4:AJ9" si="13">AF4+AB4+X4</f>
        <v>1346690.23</v>
      </c>
      <c r="AK4" s="160" t="e">
        <f t="shared" ref="AK4:AK10" si="14">AJ4/AI4</f>
        <v>#DIV/0!</v>
      </c>
      <c r="AL4" s="160"/>
      <c r="AM4" s="220">
        <f>5050*0.3*3</f>
        <v>4545</v>
      </c>
      <c r="AN4" s="159" t="e">
        <f>AM4*AK4*AL4</f>
        <v>#DIV/0!</v>
      </c>
      <c r="AO4" s="216"/>
      <c r="AP4" s="159"/>
      <c r="AQ4" s="160" t="e">
        <f t="shared" ref="AQ4:AQ10" si="15">AP4/AO4</f>
        <v>#DIV/0!</v>
      </c>
      <c r="AR4" s="159" t="e">
        <f>D4*AQ4</f>
        <v>#DIV/0!</v>
      </c>
      <c r="AS4" s="216"/>
      <c r="AT4" s="159">
        <f>杭州大区回款!N20</f>
        <v>2002</v>
      </c>
      <c r="AU4" s="160" t="e">
        <f t="shared" ref="AU4:AU10" si="16">AT4/AS4</f>
        <v>#DIV/0!</v>
      </c>
      <c r="AV4" s="159" t="e">
        <f>D4*AU4</f>
        <v>#DIV/0!</v>
      </c>
      <c r="AW4" s="216"/>
      <c r="AX4" s="159">
        <f>杭州大区回款!O20</f>
        <v>0</v>
      </c>
      <c r="AY4" s="160" t="e">
        <f t="shared" ref="AY4:AY10" si="17">AX4/AW4</f>
        <v>#DIV/0!</v>
      </c>
      <c r="AZ4" s="159" t="e">
        <f>6500*70%*AY4</f>
        <v>#DIV/0!</v>
      </c>
      <c r="BA4" s="218">
        <f t="shared" ref="BA4:BA9" si="18">AW4+AS4+AO4</f>
        <v>0</v>
      </c>
      <c r="BB4" s="219">
        <f t="shared" ref="BB4:BB8" si="19">AX4+AT4+AP4</f>
        <v>2002</v>
      </c>
      <c r="BC4" s="160" t="e">
        <f t="shared" ref="BC4:BC10" si="20">BB4/BA4</f>
        <v>#DIV/0!</v>
      </c>
      <c r="BD4" s="160"/>
      <c r="BE4" s="158">
        <f>6500*0.3*1</f>
        <v>1950</v>
      </c>
      <c r="BF4" s="158" t="e">
        <f>BE4*BD4*(AX4/BA4)+(6000*0.3+6500*0.3)*BD8*((AP8+AT8)/BA8)</f>
        <v>#DIV/0!</v>
      </c>
      <c r="BG4" s="216"/>
      <c r="BH4" s="159">
        <f>杭州大区回款!Q20</f>
        <v>0</v>
      </c>
      <c r="BI4" s="160" t="e">
        <f t="shared" ref="BI4:BI10" si="21">BH4/BG4</f>
        <v>#DIV/0!</v>
      </c>
      <c r="BJ4" s="159" t="e">
        <f>6500*0.7*BI4</f>
        <v>#DIV/0!</v>
      </c>
      <c r="BK4" s="216"/>
      <c r="BL4" s="159">
        <f>杭州大区回款!R20</f>
        <v>0</v>
      </c>
      <c r="BM4" s="160" t="e">
        <f t="shared" ref="BM4:BM10" si="22">BL4/BK4</f>
        <v>#DIV/0!</v>
      </c>
      <c r="BN4" s="229">
        <v>4550</v>
      </c>
      <c r="BO4" s="159" t="e">
        <f>6500*0.7*BM4</f>
        <v>#DIV/0!</v>
      </c>
      <c r="BP4" s="230"/>
      <c r="BQ4" s="159">
        <f>杭州大区回款!S20</f>
        <v>0</v>
      </c>
      <c r="BR4" s="160" t="e">
        <f t="shared" ref="BR4:BR10" si="23">BQ4/BP4</f>
        <v>#DIV/0!</v>
      </c>
      <c r="BS4" s="159" t="e">
        <f>6500*0.7*BR4</f>
        <v>#DIV/0!</v>
      </c>
      <c r="BT4" s="218">
        <f t="shared" ref="BT4:BT9" si="24">BP4+BK4+BG4</f>
        <v>0</v>
      </c>
      <c r="BU4" s="219">
        <f t="shared" ref="BU4:BU9" si="25">BQ4+BL4+BH4</f>
        <v>0</v>
      </c>
      <c r="BV4" s="160" t="e">
        <f t="shared" ref="BV4:BV10" si="26">BU4/BT4</f>
        <v>#DIV/0!</v>
      </c>
      <c r="BW4" s="160"/>
      <c r="BX4" s="220">
        <f>6500*0.3*3</f>
        <v>5850</v>
      </c>
      <c r="BY4" s="159" t="e">
        <f>BX4*BV4*BW4</f>
        <v>#DIV/0!</v>
      </c>
      <c r="BZ4" s="238">
        <f t="shared" ref="BZ4:BZ11" si="27">E4+I4+M4+W4+AA4+AE4+AO4+AS4+AW4+BG4+BK4+BP4</f>
        <v>800000</v>
      </c>
      <c r="CA4" s="238">
        <f t="shared" ref="CA4:CA11" si="28">F4+J4+N4+X4+AB4+AF4+AP4+AT4+AX4+BH4+BL4+BQ4</f>
        <v>3044665.95</v>
      </c>
      <c r="CB4" s="160">
        <f t="shared" ref="CB4:CB11" si="29">CA4/BZ4</f>
        <v>3.8058324375</v>
      </c>
      <c r="CD4" s="210" t="e">
        <f t="shared" ref="CD4:CD8" si="30">H4+L4+P4+Z4</f>
        <v>#DIV/0!</v>
      </c>
      <c r="CE4" s="243"/>
    </row>
    <row r="5" ht="32.1" hidden="1" customHeight="1" spans="1:83">
      <c r="A5" s="155"/>
      <c r="B5" s="156" t="s">
        <v>181</v>
      </c>
      <c r="C5" s="157" t="s">
        <v>610</v>
      </c>
      <c r="D5" s="158">
        <f>7000*0.7</f>
        <v>4900</v>
      </c>
      <c r="E5" s="158">
        <f>(VLOOKUP(C:C,[8]杭州!$A$1:$C$65536,3,0))*10000</f>
        <v>700000</v>
      </c>
      <c r="F5" s="159">
        <f>F6+F7</f>
        <v>302627</v>
      </c>
      <c r="G5" s="160">
        <f t="shared" si="0"/>
        <v>0.432324285714286</v>
      </c>
      <c r="H5" s="159">
        <f t="shared" si="1"/>
        <v>2118.389</v>
      </c>
      <c r="I5" s="158">
        <f>(VLOOKUP(C:C,[8]杭州!$A$1:$D$65536,4,0))*10000</f>
        <v>900000</v>
      </c>
      <c r="J5" s="159">
        <f>J6+J7</f>
        <v>183015</v>
      </c>
      <c r="K5" s="196">
        <f t="shared" ref="K5:K11" si="31">J5/I5</f>
        <v>0.20335</v>
      </c>
      <c r="L5" s="197">
        <f t="shared" si="2"/>
        <v>996.415</v>
      </c>
      <c r="M5" s="158">
        <f>(VLOOKUP(C:C,[8]杭州!$A$1:$E$65536,5,0))*10000</f>
        <v>1000000</v>
      </c>
      <c r="N5" s="159">
        <f>N6+N7</f>
        <v>407258</v>
      </c>
      <c r="O5" s="196">
        <f t="shared" si="3"/>
        <v>0.407258</v>
      </c>
      <c r="P5" s="197">
        <f t="shared" si="4"/>
        <v>1995.5642</v>
      </c>
      <c r="Q5" s="213">
        <f t="shared" si="5"/>
        <v>2600000</v>
      </c>
      <c r="R5" s="214">
        <f t="shared" si="6"/>
        <v>892900</v>
      </c>
      <c r="S5" s="160">
        <f t="shared" si="7"/>
        <v>0.343423076923077</v>
      </c>
      <c r="T5" s="160">
        <v>1</v>
      </c>
      <c r="U5" s="215">
        <f>7000*0.3*3</f>
        <v>6300</v>
      </c>
      <c r="V5" s="197">
        <f t="shared" si="8"/>
        <v>2163.56538461538</v>
      </c>
      <c r="W5" s="216"/>
      <c r="X5" s="159">
        <f>X6+X7</f>
        <v>381592</v>
      </c>
      <c r="Y5" s="160"/>
      <c r="Z5" s="159"/>
      <c r="AA5" s="216"/>
      <c r="AB5" s="159">
        <f>AB6+AB7</f>
        <v>255823</v>
      </c>
      <c r="AC5" s="160"/>
      <c r="AD5" s="159"/>
      <c r="AE5" s="216"/>
      <c r="AF5" s="159">
        <f>AF6+AF7</f>
        <v>531183.74</v>
      </c>
      <c r="AG5" s="160"/>
      <c r="AH5" s="159"/>
      <c r="AI5" s="218"/>
      <c r="AJ5" s="219"/>
      <c r="AK5" s="160"/>
      <c r="AL5" s="160"/>
      <c r="AM5" s="220"/>
      <c r="AN5" s="159"/>
      <c r="AO5" s="216"/>
      <c r="AP5" s="159">
        <f>AP6+AP7</f>
        <v>0</v>
      </c>
      <c r="AQ5" s="160"/>
      <c r="AR5" s="159"/>
      <c r="AS5" s="216"/>
      <c r="AT5" s="159">
        <f>AT6+AT7</f>
        <v>265085</v>
      </c>
      <c r="AU5" s="160"/>
      <c r="AV5" s="159"/>
      <c r="AW5" s="216"/>
      <c r="AX5" s="159">
        <f>AX6+AX7</f>
        <v>0</v>
      </c>
      <c r="AY5" s="160"/>
      <c r="AZ5" s="159"/>
      <c r="BA5" s="218"/>
      <c r="BB5" s="219"/>
      <c r="BC5" s="160"/>
      <c r="BD5" s="160"/>
      <c r="BE5" s="220"/>
      <c r="BF5" s="159"/>
      <c r="BG5" s="216"/>
      <c r="BH5" s="159">
        <f>BH6+BH7</f>
        <v>0</v>
      </c>
      <c r="BI5" s="160"/>
      <c r="BJ5" s="159"/>
      <c r="BK5" s="216"/>
      <c r="BL5" s="159">
        <f>BL6+BL7</f>
        <v>0</v>
      </c>
      <c r="BM5" s="160"/>
      <c r="BN5" s="229"/>
      <c r="BO5" s="159"/>
      <c r="BP5" s="230"/>
      <c r="BQ5" s="159">
        <f>BQ6+BQ7</f>
        <v>0</v>
      </c>
      <c r="BR5" s="160"/>
      <c r="BS5" s="159"/>
      <c r="BT5" s="218">
        <f t="shared" si="24"/>
        <v>0</v>
      </c>
      <c r="BU5" s="219">
        <f t="shared" si="25"/>
        <v>0</v>
      </c>
      <c r="BV5" s="160"/>
      <c r="BW5" s="160"/>
      <c r="BX5" s="220"/>
      <c r="BY5" s="159"/>
      <c r="BZ5" s="238">
        <f t="shared" si="27"/>
        <v>2600000</v>
      </c>
      <c r="CA5" s="238">
        <f t="shared" si="28"/>
        <v>2326583.74</v>
      </c>
      <c r="CB5" s="160">
        <f t="shared" si="29"/>
        <v>0.8948399</v>
      </c>
      <c r="CD5" s="210"/>
      <c r="CE5" s="243"/>
    </row>
    <row r="6" ht="32.1" hidden="1" customHeight="1" spans="1:84">
      <c r="A6" s="155"/>
      <c r="B6" s="161" t="s">
        <v>611</v>
      </c>
      <c r="C6" s="162"/>
      <c r="D6" s="163"/>
      <c r="E6" s="163">
        <v>0</v>
      </c>
      <c r="F6" s="164">
        <f>杭州大区回款!E29</f>
        <v>141700</v>
      </c>
      <c r="G6" s="165" t="e">
        <f t="shared" si="0"/>
        <v>#DIV/0!</v>
      </c>
      <c r="H6" s="164"/>
      <c r="I6" s="163">
        <v>0</v>
      </c>
      <c r="J6" s="164">
        <f>杭州大区回款!F29</f>
        <v>27875</v>
      </c>
      <c r="K6" s="196" t="e">
        <f t="shared" si="31"/>
        <v>#DIV/0!</v>
      </c>
      <c r="L6" s="197"/>
      <c r="M6" s="163">
        <v>0</v>
      </c>
      <c r="N6" s="164">
        <f>杭州大区回款!G29</f>
        <v>154786</v>
      </c>
      <c r="O6" s="196" t="e">
        <f t="shared" si="3"/>
        <v>#DIV/0!</v>
      </c>
      <c r="P6" s="197"/>
      <c r="Q6" s="213">
        <f t="shared" si="5"/>
        <v>0</v>
      </c>
      <c r="R6" s="214">
        <f t="shared" si="6"/>
        <v>324361</v>
      </c>
      <c r="S6" s="165"/>
      <c r="T6" s="165"/>
      <c r="U6" s="215"/>
      <c r="V6" s="197"/>
      <c r="W6" s="217"/>
      <c r="X6" s="164">
        <f>杭州大区回款!I29</f>
        <v>117000</v>
      </c>
      <c r="Y6" s="165" t="e">
        <f t="shared" si="9"/>
        <v>#DIV/0!</v>
      </c>
      <c r="Z6" s="164"/>
      <c r="AA6" s="217"/>
      <c r="AB6" s="164">
        <f>杭州大区回款!J29</f>
        <v>60000</v>
      </c>
      <c r="AC6" s="165" t="e">
        <f t="shared" si="10"/>
        <v>#DIV/0!</v>
      </c>
      <c r="AD6" s="164"/>
      <c r="AE6" s="217"/>
      <c r="AF6" s="164">
        <f>杭州大区回款!K29</f>
        <v>150253.74</v>
      </c>
      <c r="AG6" s="165" t="e">
        <f t="shared" si="11"/>
        <v>#DIV/0!</v>
      </c>
      <c r="AH6" s="164"/>
      <c r="AI6" s="218">
        <f t="shared" si="12"/>
        <v>0</v>
      </c>
      <c r="AJ6" s="219">
        <f t="shared" si="13"/>
        <v>327253.74</v>
      </c>
      <c r="AK6" s="165" t="e">
        <f t="shared" si="14"/>
        <v>#DIV/0!</v>
      </c>
      <c r="AL6" s="165"/>
      <c r="AM6" s="225"/>
      <c r="AN6" s="225"/>
      <c r="AO6" s="217"/>
      <c r="AP6" s="164"/>
      <c r="AQ6" s="165" t="e">
        <f t="shared" si="15"/>
        <v>#DIV/0!</v>
      </c>
      <c r="AR6" s="164"/>
      <c r="AS6" s="217"/>
      <c r="AT6" s="164">
        <f>杭州大区回款!N29</f>
        <v>120000</v>
      </c>
      <c r="AU6" s="165" t="e">
        <f t="shared" si="16"/>
        <v>#DIV/0!</v>
      </c>
      <c r="AV6" s="164"/>
      <c r="AW6" s="217"/>
      <c r="AX6" s="164">
        <f>杭州大区回款!O29</f>
        <v>0</v>
      </c>
      <c r="AY6" s="165" t="e">
        <f t="shared" si="17"/>
        <v>#DIV/0!</v>
      </c>
      <c r="AZ6" s="164"/>
      <c r="BA6" s="218">
        <f t="shared" si="18"/>
        <v>0</v>
      </c>
      <c r="BB6" s="219">
        <f t="shared" si="19"/>
        <v>120000</v>
      </c>
      <c r="BC6" s="165" t="e">
        <f t="shared" si="20"/>
        <v>#DIV/0!</v>
      </c>
      <c r="BD6" s="165"/>
      <c r="BE6" s="165"/>
      <c r="BF6" s="165"/>
      <c r="BG6" s="217"/>
      <c r="BH6" s="164">
        <f>杭州大区回款!Q29</f>
        <v>0</v>
      </c>
      <c r="BI6" s="165" t="e">
        <f t="shared" si="21"/>
        <v>#DIV/0!</v>
      </c>
      <c r="BJ6" s="164">
        <f>7000*0.7*((BH6+BH8)/760000)</f>
        <v>0</v>
      </c>
      <c r="BK6" s="217"/>
      <c r="BL6" s="164">
        <f>杭州大区回款!R29</f>
        <v>0</v>
      </c>
      <c r="BM6" s="165" t="e">
        <f t="shared" si="22"/>
        <v>#DIV/0!</v>
      </c>
      <c r="BN6" s="231">
        <v>4900</v>
      </c>
      <c r="BO6" s="164">
        <f>7000*0.7*((BL6+BL7)/680000)</f>
        <v>0</v>
      </c>
      <c r="BP6" s="232"/>
      <c r="BQ6" s="164">
        <f>杭州大区回款!S29</f>
        <v>0</v>
      </c>
      <c r="BR6" s="165" t="e">
        <f t="shared" si="23"/>
        <v>#DIV/0!</v>
      </c>
      <c r="BS6" s="164">
        <f>7000*0.7*((BQ6+BQ7)/810000)</f>
        <v>0</v>
      </c>
      <c r="BT6" s="218">
        <f t="shared" si="24"/>
        <v>0</v>
      </c>
      <c r="BU6" s="219">
        <f t="shared" si="25"/>
        <v>0</v>
      </c>
      <c r="BV6" s="165" t="e">
        <f t="shared" si="26"/>
        <v>#DIV/0!</v>
      </c>
      <c r="BW6" s="165"/>
      <c r="BX6" s="225">
        <f>7000*0.3*3</f>
        <v>6300</v>
      </c>
      <c r="BY6" s="164">
        <f>BX6*((BU6+BU7)/2250000)</f>
        <v>0</v>
      </c>
      <c r="BZ6" s="238">
        <f t="shared" si="27"/>
        <v>0</v>
      </c>
      <c r="CA6" s="238">
        <f t="shared" si="28"/>
        <v>771614.74</v>
      </c>
      <c r="CB6" s="160" t="e">
        <f t="shared" si="29"/>
        <v>#DIV/0!</v>
      </c>
      <c r="CC6" s="244"/>
      <c r="CD6" s="210">
        <f t="shared" si="30"/>
        <v>0</v>
      </c>
      <c r="CE6" s="243"/>
      <c r="CF6" s="245"/>
    </row>
    <row r="7" ht="32.1" hidden="1" customHeight="1" spans="1:84">
      <c r="A7" s="155"/>
      <c r="B7" s="166" t="s">
        <v>612</v>
      </c>
      <c r="C7" s="162"/>
      <c r="D7" s="163"/>
      <c r="E7" s="163">
        <v>0</v>
      </c>
      <c r="F7" s="164">
        <f>杭州大区回款!E37</f>
        <v>160927</v>
      </c>
      <c r="G7" s="165" t="e">
        <f t="shared" si="0"/>
        <v>#DIV/0!</v>
      </c>
      <c r="H7" s="164"/>
      <c r="I7" s="163">
        <v>0</v>
      </c>
      <c r="J7" s="164">
        <f>杭州大区回款!F37</f>
        <v>155140</v>
      </c>
      <c r="K7" s="196" t="e">
        <f t="shared" si="31"/>
        <v>#DIV/0!</v>
      </c>
      <c r="L7" s="197"/>
      <c r="M7" s="163">
        <v>0</v>
      </c>
      <c r="N7" s="164">
        <f>杭州大区回款!G37</f>
        <v>252472</v>
      </c>
      <c r="O7" s="196" t="e">
        <f t="shared" si="3"/>
        <v>#DIV/0!</v>
      </c>
      <c r="P7" s="197"/>
      <c r="Q7" s="213">
        <f t="shared" si="5"/>
        <v>0</v>
      </c>
      <c r="R7" s="214">
        <f t="shared" si="6"/>
        <v>568539</v>
      </c>
      <c r="S7" s="165"/>
      <c r="T7" s="165"/>
      <c r="U7" s="215"/>
      <c r="V7" s="197"/>
      <c r="W7" s="217"/>
      <c r="X7" s="164">
        <f>杭州大区回款!I37</f>
        <v>264592</v>
      </c>
      <c r="Y7" s="165" t="e">
        <f t="shared" si="9"/>
        <v>#DIV/0!</v>
      </c>
      <c r="Z7" s="164"/>
      <c r="AA7" s="217"/>
      <c r="AB7" s="164">
        <f>杭州大区回款!J37</f>
        <v>195823</v>
      </c>
      <c r="AC7" s="165" t="e">
        <f t="shared" si="10"/>
        <v>#DIV/0!</v>
      </c>
      <c r="AD7" s="164"/>
      <c r="AE7" s="217"/>
      <c r="AF7" s="164">
        <f>杭州大区回款!K37</f>
        <v>380930</v>
      </c>
      <c r="AG7" s="165" t="e">
        <f t="shared" si="11"/>
        <v>#DIV/0!</v>
      </c>
      <c r="AH7" s="164"/>
      <c r="AI7" s="218">
        <f t="shared" si="12"/>
        <v>0</v>
      </c>
      <c r="AJ7" s="219">
        <f t="shared" si="13"/>
        <v>841345</v>
      </c>
      <c r="AK7" s="165" t="e">
        <f t="shared" si="14"/>
        <v>#DIV/0!</v>
      </c>
      <c r="AL7" s="165"/>
      <c r="AM7" s="225"/>
      <c r="AN7" s="225"/>
      <c r="AO7" s="217"/>
      <c r="AP7" s="164"/>
      <c r="AQ7" s="165" t="e">
        <f t="shared" si="15"/>
        <v>#DIV/0!</v>
      </c>
      <c r="AR7" s="164"/>
      <c r="AS7" s="217"/>
      <c r="AT7" s="164">
        <f>杭州大区回款!N37</f>
        <v>145085</v>
      </c>
      <c r="AU7" s="165" t="e">
        <f t="shared" si="16"/>
        <v>#DIV/0!</v>
      </c>
      <c r="AV7" s="164"/>
      <c r="AW7" s="217"/>
      <c r="AX7" s="164">
        <f>杭州大区回款!O37</f>
        <v>0</v>
      </c>
      <c r="AY7" s="165" t="e">
        <f t="shared" si="17"/>
        <v>#DIV/0!</v>
      </c>
      <c r="AZ7" s="164"/>
      <c r="BA7" s="218">
        <f t="shared" si="18"/>
        <v>0</v>
      </c>
      <c r="BB7" s="219">
        <f t="shared" si="19"/>
        <v>145085</v>
      </c>
      <c r="BC7" s="165" t="e">
        <f t="shared" si="20"/>
        <v>#DIV/0!</v>
      </c>
      <c r="BD7" s="165"/>
      <c r="BE7" s="165"/>
      <c r="BF7" s="165"/>
      <c r="BG7" s="217"/>
      <c r="BH7" s="164">
        <f>杭州大区回款!Q37</f>
        <v>0</v>
      </c>
      <c r="BI7" s="165" t="e">
        <f t="shared" si="21"/>
        <v>#DIV/0!</v>
      </c>
      <c r="BJ7" s="164"/>
      <c r="BK7" s="217"/>
      <c r="BL7" s="164">
        <f>杭州大区回款!R37</f>
        <v>0</v>
      </c>
      <c r="BM7" s="165" t="e">
        <f t="shared" si="22"/>
        <v>#DIV/0!</v>
      </c>
      <c r="BN7" s="231"/>
      <c r="BO7" s="233"/>
      <c r="BP7" s="232"/>
      <c r="BQ7" s="164">
        <f>杭州大区回款!S37</f>
        <v>0</v>
      </c>
      <c r="BR7" s="165" t="e">
        <f t="shared" si="23"/>
        <v>#DIV/0!</v>
      </c>
      <c r="BS7" s="164"/>
      <c r="BT7" s="218">
        <f t="shared" si="24"/>
        <v>0</v>
      </c>
      <c r="BU7" s="219">
        <f t="shared" si="25"/>
        <v>0</v>
      </c>
      <c r="BV7" s="165" t="e">
        <f t="shared" si="26"/>
        <v>#DIV/0!</v>
      </c>
      <c r="BW7" s="165"/>
      <c r="BX7" s="225"/>
      <c r="BY7" s="164"/>
      <c r="BZ7" s="238">
        <f t="shared" si="27"/>
        <v>0</v>
      </c>
      <c r="CA7" s="238">
        <f t="shared" si="28"/>
        <v>1554969</v>
      </c>
      <c r="CB7" s="160" t="e">
        <f t="shared" si="29"/>
        <v>#DIV/0!</v>
      </c>
      <c r="CD7" s="210">
        <f t="shared" si="30"/>
        <v>0</v>
      </c>
      <c r="CE7" s="243"/>
      <c r="CF7" s="245"/>
    </row>
    <row r="8" ht="32.1" hidden="1" customHeight="1" spans="1:84">
      <c r="A8" s="155"/>
      <c r="B8" s="156" t="s">
        <v>613</v>
      </c>
      <c r="C8" s="157" t="s">
        <v>614</v>
      </c>
      <c r="D8" s="158">
        <f>6000*0.7</f>
        <v>4200</v>
      </c>
      <c r="E8" s="158">
        <f>(VLOOKUP(C:C,[8]杭州!$A$1:$C$65536,3,0))*10000</f>
        <v>467000</v>
      </c>
      <c r="F8" s="159">
        <f>杭州大区回款!E9+杭州大区回款!E14</f>
        <v>275017.95</v>
      </c>
      <c r="G8" s="160">
        <f t="shared" si="0"/>
        <v>0.588903533190578</v>
      </c>
      <c r="H8" s="159">
        <f t="shared" si="1"/>
        <v>2473.39483940043</v>
      </c>
      <c r="I8" s="158">
        <f>(VLOOKUP(C:C,[8]杭州!$A$1:$D$65536,4,0))*10000</f>
        <v>240000</v>
      </c>
      <c r="J8" s="159">
        <f>杭州大区回款!F9+杭州大区回款!F14</f>
        <v>216972.5</v>
      </c>
      <c r="K8" s="196">
        <f t="shared" si="31"/>
        <v>0.904052083333333</v>
      </c>
      <c r="L8" s="197">
        <f t="shared" si="2"/>
        <v>3797.01875</v>
      </c>
      <c r="M8" s="158">
        <f>(VLOOKUP(C:C,[8]杭州!$A$1:$E$65536,5,0))*10000</f>
        <v>603000</v>
      </c>
      <c r="N8" s="159">
        <f>杭州大区回款!G9+杭州大区回款!G14</f>
        <v>224752.5</v>
      </c>
      <c r="O8" s="196">
        <f t="shared" si="3"/>
        <v>0.372723880597015</v>
      </c>
      <c r="P8" s="197">
        <f t="shared" si="4"/>
        <v>1565.44029850746</v>
      </c>
      <c r="Q8" s="213">
        <f t="shared" si="5"/>
        <v>1310000</v>
      </c>
      <c r="R8" s="214">
        <f t="shared" si="6"/>
        <v>716742.95</v>
      </c>
      <c r="S8" s="160">
        <f t="shared" si="7"/>
        <v>0.547132022900763</v>
      </c>
      <c r="T8" s="160">
        <v>1</v>
      </c>
      <c r="U8" s="215">
        <f>6000*0.3*3</f>
        <v>5400</v>
      </c>
      <c r="V8" s="197">
        <f t="shared" si="8"/>
        <v>2954.51292366412</v>
      </c>
      <c r="W8" s="216"/>
      <c r="X8" s="159">
        <f>杭州大区回款!I9+杭州大区回款!I14</f>
        <v>972283.5</v>
      </c>
      <c r="Y8" s="160" t="e">
        <f t="shared" si="9"/>
        <v>#DIV/0!</v>
      </c>
      <c r="Z8" s="159" t="e">
        <f t="shared" ref="Z8:Z11" si="32">D8*Y8</f>
        <v>#DIV/0!</v>
      </c>
      <c r="AA8" s="216"/>
      <c r="AB8" s="159">
        <f>杭州大区回款!J9+杭州大区回款!J14</f>
        <v>640209.25</v>
      </c>
      <c r="AC8" s="160" t="e">
        <f t="shared" si="10"/>
        <v>#DIV/0!</v>
      </c>
      <c r="AD8" s="159" t="e">
        <f>D8*AC8</f>
        <v>#DIV/0!</v>
      </c>
      <c r="AE8" s="216"/>
      <c r="AF8" s="159">
        <f>杭州大区回款!K9+杭州大区回款!K14</f>
        <v>390765</v>
      </c>
      <c r="AG8" s="160" t="e">
        <f t="shared" si="11"/>
        <v>#DIV/0!</v>
      </c>
      <c r="AH8" s="159" t="e">
        <f>D8*AG8</f>
        <v>#DIV/0!</v>
      </c>
      <c r="AI8" s="218">
        <f t="shared" si="12"/>
        <v>0</v>
      </c>
      <c r="AJ8" s="219">
        <f t="shared" si="13"/>
        <v>2003257.75</v>
      </c>
      <c r="AK8" s="160" t="e">
        <f t="shared" si="14"/>
        <v>#DIV/0!</v>
      </c>
      <c r="AL8" s="160"/>
      <c r="AM8" s="220">
        <f>6000*0.3*3</f>
        <v>5400</v>
      </c>
      <c r="AN8" s="159" t="e">
        <f>AM8*AK8*AL8</f>
        <v>#DIV/0!</v>
      </c>
      <c r="AO8" s="216"/>
      <c r="AP8" s="159"/>
      <c r="AQ8" s="160" t="e">
        <f t="shared" si="15"/>
        <v>#DIV/0!</v>
      </c>
      <c r="AR8" s="159" t="e">
        <f>D8*AQ8</f>
        <v>#DIV/0!</v>
      </c>
      <c r="AS8" s="216"/>
      <c r="AT8" s="159">
        <f>杭州大区回款!N9+杭州大区回款!N14</f>
        <v>425719</v>
      </c>
      <c r="AU8" s="160" t="e">
        <f t="shared" si="16"/>
        <v>#DIV/0!</v>
      </c>
      <c r="AV8" s="159" t="e">
        <f>6500*0.7*AU8</f>
        <v>#DIV/0!</v>
      </c>
      <c r="AW8" s="216"/>
      <c r="AX8" s="159">
        <f>杭州大区回款!O9+杭州大区回款!O14</f>
        <v>0</v>
      </c>
      <c r="AY8" s="160" t="e">
        <f t="shared" si="17"/>
        <v>#DIV/0!</v>
      </c>
      <c r="AZ8" s="159"/>
      <c r="BA8" s="218">
        <f t="shared" si="18"/>
        <v>0</v>
      </c>
      <c r="BB8" s="219">
        <f t="shared" si="19"/>
        <v>425719</v>
      </c>
      <c r="BC8" s="160" t="e">
        <f t="shared" si="20"/>
        <v>#DIV/0!</v>
      </c>
      <c r="BD8" s="160"/>
      <c r="BE8" s="160"/>
      <c r="BF8" s="160"/>
      <c r="BG8" s="216"/>
      <c r="BH8" s="159">
        <f>杭州大区回款!Q9+杭州大区回款!Q14</f>
        <v>0</v>
      </c>
      <c r="BI8" s="160" t="e">
        <f t="shared" si="21"/>
        <v>#DIV/0!</v>
      </c>
      <c r="BJ8" s="159"/>
      <c r="BK8" s="216"/>
      <c r="BL8" s="159">
        <f>杭州大区回款!R9+杭州大区回款!R14</f>
        <v>0</v>
      </c>
      <c r="BM8" s="160" t="e">
        <f t="shared" si="22"/>
        <v>#DIV/0!</v>
      </c>
      <c r="BN8" s="229"/>
      <c r="BO8" s="159"/>
      <c r="BP8" s="230"/>
      <c r="BQ8" s="159">
        <f>杭州大区回款!S9+杭州大区回款!S14</f>
        <v>0</v>
      </c>
      <c r="BR8" s="160" t="e">
        <f t="shared" si="23"/>
        <v>#DIV/0!</v>
      </c>
      <c r="BS8" s="159" t="e">
        <f>D8*BR8*79%</f>
        <v>#DIV/0!</v>
      </c>
      <c r="BT8" s="218">
        <f t="shared" si="24"/>
        <v>0</v>
      </c>
      <c r="BU8" s="219">
        <f t="shared" si="25"/>
        <v>0</v>
      </c>
      <c r="BV8" s="160" t="e">
        <f t="shared" si="26"/>
        <v>#DIV/0!</v>
      </c>
      <c r="BW8" s="160"/>
      <c r="BX8" s="220">
        <f>6000*0.3*1</f>
        <v>1800</v>
      </c>
      <c r="BY8" s="159" t="e">
        <f>BX8*BQ8/BT8*BW8*79%</f>
        <v>#DIV/0!</v>
      </c>
      <c r="BZ8" s="238">
        <f t="shared" si="27"/>
        <v>1310000</v>
      </c>
      <c r="CA8" s="238">
        <f t="shared" si="28"/>
        <v>3145719.7</v>
      </c>
      <c r="CB8" s="160">
        <f t="shared" si="29"/>
        <v>2.4013127480916</v>
      </c>
      <c r="CC8" s="245"/>
      <c r="CD8" s="210" t="e">
        <f t="shared" si="30"/>
        <v>#DIV/0!</v>
      </c>
      <c r="CE8" s="243"/>
      <c r="CF8" s="245"/>
    </row>
    <row r="9" ht="32.1" hidden="1" customHeight="1" spans="1:83">
      <c r="A9" s="155"/>
      <c r="B9" s="156" t="s">
        <v>272</v>
      </c>
      <c r="C9" s="157" t="s">
        <v>615</v>
      </c>
      <c r="D9" s="158">
        <f>7000*70%</f>
        <v>4900</v>
      </c>
      <c r="E9" s="158">
        <f>(VLOOKUP(C:C,[8]杭州!$A$1:$C$65536,3,0))*10000</f>
        <v>840000</v>
      </c>
      <c r="F9" s="159">
        <f>杭州大区回款!E51</f>
        <v>689480</v>
      </c>
      <c r="G9" s="160">
        <f t="shared" si="0"/>
        <v>0.820809523809524</v>
      </c>
      <c r="H9" s="159"/>
      <c r="I9" s="158">
        <f>(VLOOKUP(C:C,[8]杭州!$A$1:$D$65536,4,0))*10000</f>
        <v>1120000</v>
      </c>
      <c r="J9" s="159">
        <f>杭州大区回款!F51</f>
        <v>971987.4</v>
      </c>
      <c r="K9" s="196">
        <f t="shared" si="31"/>
        <v>0.867845892857143</v>
      </c>
      <c r="L9" s="197"/>
      <c r="M9" s="158">
        <f>(VLOOKUP(C:C,[8]杭州!$A$1:$E$65536,5,0))*10000</f>
        <v>1460000</v>
      </c>
      <c r="N9" s="159">
        <f>杭州大区回款!G51</f>
        <v>1599894.3</v>
      </c>
      <c r="O9" s="196">
        <f t="shared" si="3"/>
        <v>1.09581801369863</v>
      </c>
      <c r="P9" s="197">
        <f>D9*O9/2</f>
        <v>2684.75413356164</v>
      </c>
      <c r="Q9" s="213">
        <f t="shared" si="5"/>
        <v>3420000</v>
      </c>
      <c r="R9" s="214">
        <f t="shared" si="6"/>
        <v>3261361.7</v>
      </c>
      <c r="S9" s="160">
        <f t="shared" si="7"/>
        <v>0.953614532163743</v>
      </c>
      <c r="T9" s="160"/>
      <c r="U9" s="197"/>
      <c r="V9" s="197"/>
      <c r="W9" s="216"/>
      <c r="X9" s="159">
        <f>杭州大区回款!I51</f>
        <v>1416568.7</v>
      </c>
      <c r="Y9" s="160" t="e">
        <f t="shared" si="9"/>
        <v>#DIV/0!</v>
      </c>
      <c r="Z9" s="159"/>
      <c r="AA9" s="216"/>
      <c r="AB9" s="159">
        <f>杭州大区回款!J51</f>
        <v>1324924.14</v>
      </c>
      <c r="AC9" s="160" t="e">
        <f t="shared" si="10"/>
        <v>#DIV/0!</v>
      </c>
      <c r="AD9" s="159"/>
      <c r="AE9" s="216"/>
      <c r="AF9" s="159">
        <f>杭州大区回款!K51</f>
        <v>1967353.4</v>
      </c>
      <c r="AG9" s="160" t="e">
        <f t="shared" si="11"/>
        <v>#DIV/0!</v>
      </c>
      <c r="AH9" s="159"/>
      <c r="AI9" s="218">
        <f t="shared" si="12"/>
        <v>0</v>
      </c>
      <c r="AJ9" s="219">
        <f t="shared" si="13"/>
        <v>4708846.24</v>
      </c>
      <c r="AK9" s="160" t="e">
        <f t="shared" si="14"/>
        <v>#DIV/0!</v>
      </c>
      <c r="AL9" s="160"/>
      <c r="AM9" s="220"/>
      <c r="AN9" s="220"/>
      <c r="AO9" s="216"/>
      <c r="AP9" s="159"/>
      <c r="AQ9" s="160" t="e">
        <f t="shared" si="15"/>
        <v>#DIV/0!</v>
      </c>
      <c r="AR9" s="159"/>
      <c r="AS9" s="216"/>
      <c r="AT9" s="159">
        <f>杭州大区回款!N51</f>
        <v>842627</v>
      </c>
      <c r="AU9" s="160" t="e">
        <f t="shared" si="16"/>
        <v>#DIV/0!</v>
      </c>
      <c r="AV9" s="159"/>
      <c r="AW9" s="216"/>
      <c r="AX9" s="159">
        <f>杭州大区回款!O51</f>
        <v>0</v>
      </c>
      <c r="AY9" s="160" t="e">
        <f t="shared" si="17"/>
        <v>#DIV/0!</v>
      </c>
      <c r="AZ9" s="159"/>
      <c r="BA9" s="218">
        <f t="shared" si="18"/>
        <v>0</v>
      </c>
      <c r="BB9" s="218">
        <f>AX9+AT9</f>
        <v>842627</v>
      </c>
      <c r="BC9" s="160" t="e">
        <f t="shared" si="20"/>
        <v>#DIV/0!</v>
      </c>
      <c r="BD9" s="160"/>
      <c r="BE9" s="160"/>
      <c r="BF9" s="160"/>
      <c r="BG9" s="216"/>
      <c r="BH9" s="159">
        <f>杭州大区回款!Q51</f>
        <v>0</v>
      </c>
      <c r="BI9" s="160" t="e">
        <f t="shared" si="21"/>
        <v>#DIV/0!</v>
      </c>
      <c r="BJ9" s="159" t="e">
        <f>D9*BI9</f>
        <v>#DIV/0!</v>
      </c>
      <c r="BK9" s="216"/>
      <c r="BL9" s="159">
        <f>杭州大区回款!R51</f>
        <v>0</v>
      </c>
      <c r="BM9" s="160" t="e">
        <f t="shared" si="22"/>
        <v>#DIV/0!</v>
      </c>
      <c r="BN9" s="229"/>
      <c r="BO9" s="159" t="e">
        <f>D9*BM9</f>
        <v>#DIV/0!</v>
      </c>
      <c r="BP9" s="216"/>
      <c r="BQ9" s="159">
        <f>杭州大区回款!S51</f>
        <v>0</v>
      </c>
      <c r="BR9" s="160" t="e">
        <f t="shared" si="23"/>
        <v>#DIV/0!</v>
      </c>
      <c r="BS9" s="159" t="e">
        <f>D9*BR9</f>
        <v>#DIV/0!</v>
      </c>
      <c r="BT9" s="218">
        <f t="shared" si="24"/>
        <v>0</v>
      </c>
      <c r="BU9" s="219">
        <f t="shared" si="25"/>
        <v>0</v>
      </c>
      <c r="BV9" s="160" t="e">
        <f t="shared" si="26"/>
        <v>#DIV/0!</v>
      </c>
      <c r="BW9" s="160"/>
      <c r="BX9" s="220">
        <f>5000*0.3*3</f>
        <v>4500</v>
      </c>
      <c r="BY9" s="159" t="e">
        <f>BX9*BV9*BW9</f>
        <v>#DIV/0!</v>
      </c>
      <c r="BZ9" s="238">
        <f t="shared" si="27"/>
        <v>3420000</v>
      </c>
      <c r="CA9" s="238">
        <f t="shared" si="28"/>
        <v>8812834.94</v>
      </c>
      <c r="CB9" s="160">
        <f t="shared" si="29"/>
        <v>2.57685232163743</v>
      </c>
      <c r="CD9" s="210"/>
      <c r="CE9" s="243"/>
    </row>
    <row r="10" s="138" customFormat="1" ht="32.1" hidden="1" customHeight="1" spans="1:118">
      <c r="A10" s="167" t="s">
        <v>38</v>
      </c>
      <c r="B10" s="168"/>
      <c r="C10" s="169" t="s">
        <v>616</v>
      </c>
      <c r="D10" s="170"/>
      <c r="E10" s="171">
        <f t="shared" ref="E10:J10" si="33">E4+E5+E8+E9</f>
        <v>2207000</v>
      </c>
      <c r="F10" s="171">
        <f t="shared" si="33"/>
        <v>1784960.64</v>
      </c>
      <c r="G10" s="172">
        <f t="shared" si="0"/>
        <v>0.808772378794744</v>
      </c>
      <c r="H10" s="173"/>
      <c r="I10" s="171">
        <f t="shared" si="33"/>
        <v>2510000</v>
      </c>
      <c r="J10" s="171">
        <f t="shared" si="33"/>
        <v>1836294.73</v>
      </c>
      <c r="K10" s="198">
        <f t="shared" si="31"/>
        <v>0.731591525896414</v>
      </c>
      <c r="L10" s="199"/>
      <c r="M10" s="171">
        <f>M4+M5+M8+M9</f>
        <v>3413000</v>
      </c>
      <c r="N10" s="171">
        <f>N4+N5+N8+N9</f>
        <v>2945723</v>
      </c>
      <c r="O10" s="198">
        <f t="shared" si="3"/>
        <v>0.863089071198359</v>
      </c>
      <c r="P10" s="200"/>
      <c r="Q10" s="171">
        <f t="shared" si="5"/>
        <v>8130000</v>
      </c>
      <c r="R10" s="173">
        <f t="shared" si="6"/>
        <v>6566978.37</v>
      </c>
      <c r="S10" s="172">
        <f t="shared" si="7"/>
        <v>0.80774641697417</v>
      </c>
      <c r="T10" s="172"/>
      <c r="U10" s="199"/>
      <c r="V10" s="200"/>
      <c r="W10" s="171">
        <f t="shared" ref="W10:AB10" si="34">W4+W5+W8+W9</f>
        <v>0</v>
      </c>
      <c r="X10" s="171">
        <f t="shared" si="34"/>
        <v>3164814.42</v>
      </c>
      <c r="Y10" s="172" t="e">
        <f t="shared" si="9"/>
        <v>#DIV/0!</v>
      </c>
      <c r="Z10" s="173"/>
      <c r="AA10" s="171">
        <f t="shared" si="34"/>
        <v>0</v>
      </c>
      <c r="AB10" s="171">
        <f t="shared" si="34"/>
        <v>2635975.42</v>
      </c>
      <c r="AC10" s="172" t="e">
        <f t="shared" si="10"/>
        <v>#DIV/0!</v>
      </c>
      <c r="AD10" s="173"/>
      <c r="AE10" s="171">
        <f>AE4+AE5+AE8+AE9</f>
        <v>0</v>
      </c>
      <c r="AF10" s="171">
        <f>AF4+AF5+AF8+AF9</f>
        <v>3426603.12</v>
      </c>
      <c r="AG10" s="172" t="e">
        <f t="shared" si="11"/>
        <v>#DIV/0!</v>
      </c>
      <c r="AH10" s="173"/>
      <c r="AI10" s="221">
        <f>W10+AA10+AE10</f>
        <v>0</v>
      </c>
      <c r="AJ10" s="222">
        <f>X10+AB10+AF10</f>
        <v>9227392.96</v>
      </c>
      <c r="AK10" s="172" t="e">
        <f t="shared" si="14"/>
        <v>#DIV/0!</v>
      </c>
      <c r="AL10" s="172"/>
      <c r="AM10" s="171"/>
      <c r="AN10" s="173" t="e">
        <f>AM10*AK10*AL10</f>
        <v>#DIV/0!</v>
      </c>
      <c r="AO10" s="171">
        <f t="shared" ref="AO10:AT10" si="35">AO4+AO5+AO8+AO9</f>
        <v>0</v>
      </c>
      <c r="AP10" s="171">
        <f t="shared" si="35"/>
        <v>0</v>
      </c>
      <c r="AQ10" s="172" t="e">
        <f t="shared" si="15"/>
        <v>#DIV/0!</v>
      </c>
      <c r="AR10" s="173"/>
      <c r="AS10" s="171">
        <f t="shared" si="35"/>
        <v>0</v>
      </c>
      <c r="AT10" s="171">
        <f t="shared" si="35"/>
        <v>1535433</v>
      </c>
      <c r="AU10" s="172" t="e">
        <f t="shared" si="16"/>
        <v>#DIV/0!</v>
      </c>
      <c r="AV10" s="173"/>
      <c r="AW10" s="171">
        <f>AW4+AW5+AW8+AW9</f>
        <v>0</v>
      </c>
      <c r="AX10" s="171">
        <f>AX4+AX5+AX8+AX9</f>
        <v>0</v>
      </c>
      <c r="AY10" s="172" t="e">
        <f t="shared" si="17"/>
        <v>#DIV/0!</v>
      </c>
      <c r="AZ10" s="173"/>
      <c r="BA10" s="221">
        <f>AO10+AS10+AW10</f>
        <v>0</v>
      </c>
      <c r="BB10" s="222">
        <f>AP10+AT10+AX10</f>
        <v>1535433</v>
      </c>
      <c r="BC10" s="172" t="e">
        <f t="shared" si="20"/>
        <v>#DIV/0!</v>
      </c>
      <c r="BD10" s="172"/>
      <c r="BE10" s="171"/>
      <c r="BF10" s="173" t="e">
        <f>BE10*BC10*BD10</f>
        <v>#DIV/0!</v>
      </c>
      <c r="BG10" s="171">
        <f t="shared" ref="BG10:BL10" si="36">BG4+BG5+BG8+BG9</f>
        <v>0</v>
      </c>
      <c r="BH10" s="171">
        <f t="shared" si="36"/>
        <v>0</v>
      </c>
      <c r="BI10" s="172" t="e">
        <f t="shared" si="21"/>
        <v>#DIV/0!</v>
      </c>
      <c r="BJ10" s="173"/>
      <c r="BK10" s="171">
        <f t="shared" si="36"/>
        <v>0</v>
      </c>
      <c r="BL10" s="171">
        <f t="shared" si="36"/>
        <v>0</v>
      </c>
      <c r="BM10" s="172" t="e">
        <f t="shared" si="22"/>
        <v>#DIV/0!</v>
      </c>
      <c r="BN10" s="234"/>
      <c r="BO10" s="173" t="e">
        <f>D10*BM10</f>
        <v>#DIV/0!</v>
      </c>
      <c r="BP10" s="171">
        <f>BP4+BP5+BP8+BP9</f>
        <v>0</v>
      </c>
      <c r="BQ10" s="171">
        <f>BQ4+BQ5+BQ8+BQ9</f>
        <v>0</v>
      </c>
      <c r="BR10" s="172" t="e">
        <f t="shared" si="23"/>
        <v>#DIV/0!</v>
      </c>
      <c r="BS10" s="173"/>
      <c r="BT10" s="221">
        <f>BG10+BK10+BP10</f>
        <v>0</v>
      </c>
      <c r="BU10" s="222">
        <f>BH10+BL10+BQ10</f>
        <v>0</v>
      </c>
      <c r="BV10" s="172" t="e">
        <f t="shared" si="26"/>
        <v>#DIV/0!</v>
      </c>
      <c r="BW10" s="172"/>
      <c r="BX10" s="171"/>
      <c r="BY10" s="173" t="e">
        <f>BX10*BV10*BW10</f>
        <v>#DIV/0!</v>
      </c>
      <c r="BZ10" s="239">
        <f t="shared" si="27"/>
        <v>8130000</v>
      </c>
      <c r="CA10" s="239">
        <f t="shared" si="28"/>
        <v>17329804.33</v>
      </c>
      <c r="CB10" s="172">
        <f t="shared" si="29"/>
        <v>2.13158724846248</v>
      </c>
      <c r="CC10" s="246"/>
      <c r="CD10" s="247"/>
      <c r="CE10" s="248"/>
      <c r="CF10" s="246"/>
      <c r="CG10" s="246"/>
      <c r="CH10" s="246"/>
      <c r="CI10" s="246"/>
      <c r="CJ10" s="246"/>
      <c r="CK10" s="246"/>
      <c r="CL10" s="246"/>
      <c r="CM10" s="246"/>
      <c r="CN10" s="246"/>
      <c r="CO10" s="246"/>
      <c r="CP10" s="246"/>
      <c r="CQ10" s="246"/>
      <c r="CR10" s="246"/>
      <c r="CS10" s="246"/>
      <c r="CT10" s="246"/>
      <c r="CU10" s="246"/>
      <c r="CV10" s="246"/>
      <c r="CW10" s="246"/>
      <c r="CX10" s="246"/>
      <c r="CY10" s="246"/>
      <c r="CZ10" s="246"/>
      <c r="DA10" s="246"/>
      <c r="DB10" s="246"/>
      <c r="DC10" s="246"/>
      <c r="DD10" s="246"/>
      <c r="DE10" s="246"/>
      <c r="DF10" s="246"/>
      <c r="DG10" s="246"/>
      <c r="DH10" s="246"/>
      <c r="DI10" s="246"/>
      <c r="DJ10" s="246"/>
      <c r="DK10" s="246"/>
      <c r="DL10" s="246"/>
      <c r="DM10" s="246"/>
      <c r="DN10" s="246"/>
    </row>
    <row r="11" s="139" customFormat="1" ht="56.1" customHeight="1" spans="1:84">
      <c r="A11" s="174" t="s">
        <v>43</v>
      </c>
      <c r="B11" s="175" t="s">
        <v>617</v>
      </c>
      <c r="C11" s="157" t="s">
        <v>47</v>
      </c>
      <c r="D11" s="158">
        <f>4000*0.7</f>
        <v>2800</v>
      </c>
      <c r="E11" s="158">
        <v>120000</v>
      </c>
      <c r="F11" s="159">
        <f>'金华办 (2)'!C17</f>
        <v>25273</v>
      </c>
      <c r="G11" s="160">
        <f t="shared" si="0"/>
        <v>0.210608333333333</v>
      </c>
      <c r="H11" s="159"/>
      <c r="I11" s="158">
        <v>144000</v>
      </c>
      <c r="J11" s="159">
        <f>'金华办 (2)'!D17</f>
        <v>187753.98</v>
      </c>
      <c r="K11" s="196">
        <f t="shared" si="31"/>
        <v>1.30384708333333</v>
      </c>
      <c r="L11" s="197">
        <f>D11*K11</f>
        <v>3650.77183333333</v>
      </c>
      <c r="M11" s="158">
        <v>216000</v>
      </c>
      <c r="N11" s="159">
        <f>'金华办 (2)'!E17</f>
        <v>68785.65</v>
      </c>
      <c r="O11" s="196">
        <f t="shared" si="3"/>
        <v>0.318452083333333</v>
      </c>
      <c r="P11" s="197">
        <f>D11*O11</f>
        <v>891.665833333333</v>
      </c>
      <c r="Q11" s="213">
        <f t="shared" si="5"/>
        <v>480000</v>
      </c>
      <c r="R11" s="214">
        <f t="shared" si="6"/>
        <v>281812.63</v>
      </c>
      <c r="S11" s="160">
        <f t="shared" si="7"/>
        <v>0.587109645833333</v>
      </c>
      <c r="T11" s="160">
        <v>1</v>
      </c>
      <c r="U11" s="215">
        <f>4000*0.3*2</f>
        <v>2400</v>
      </c>
      <c r="V11" s="197">
        <f>U11*S11*T11</f>
        <v>1409.06315</v>
      </c>
      <c r="W11" s="216"/>
      <c r="X11" s="159">
        <f>金华办回款!G35</f>
        <v>555380.1</v>
      </c>
      <c r="Y11" s="160" t="e">
        <f t="shared" si="9"/>
        <v>#DIV/0!</v>
      </c>
      <c r="Z11" s="159" t="e">
        <f t="shared" si="32"/>
        <v>#DIV/0!</v>
      </c>
      <c r="AA11" s="216"/>
      <c r="AB11" s="159"/>
      <c r="AC11" s="160"/>
      <c r="AD11" s="159"/>
      <c r="AE11" s="216"/>
      <c r="AF11" s="159"/>
      <c r="AG11" s="160"/>
      <c r="AH11" s="159"/>
      <c r="AI11" s="213"/>
      <c r="AJ11" s="214"/>
      <c r="AK11" s="160"/>
      <c r="AL11" s="160"/>
      <c r="AM11" s="220"/>
      <c r="AN11" s="159"/>
      <c r="AO11" s="216"/>
      <c r="AP11" s="159"/>
      <c r="AQ11" s="160"/>
      <c r="AR11" s="159"/>
      <c r="AS11" s="216"/>
      <c r="AT11" s="159"/>
      <c r="AU11" s="158"/>
      <c r="AV11" s="158"/>
      <c r="AW11" s="216"/>
      <c r="AX11" s="159"/>
      <c r="AY11" s="158"/>
      <c r="AZ11" s="158"/>
      <c r="BA11" s="213"/>
      <c r="BB11" s="214"/>
      <c r="BC11" s="158"/>
      <c r="BD11" s="158"/>
      <c r="BE11" s="158"/>
      <c r="BF11" s="158"/>
      <c r="BG11" s="216"/>
      <c r="BH11" s="159"/>
      <c r="BI11" s="158"/>
      <c r="BJ11" s="158"/>
      <c r="BK11" s="216"/>
      <c r="BL11" s="159"/>
      <c r="BM11" s="158"/>
      <c r="BN11" s="235"/>
      <c r="BO11" s="158"/>
      <c r="BP11" s="216"/>
      <c r="BQ11" s="159"/>
      <c r="BR11" s="158"/>
      <c r="BS11" s="158"/>
      <c r="BT11" s="213"/>
      <c r="BU11" s="214"/>
      <c r="BV11" s="158"/>
      <c r="BW11" s="158"/>
      <c r="BX11" s="158"/>
      <c r="BY11" s="158"/>
      <c r="BZ11" s="240">
        <f t="shared" si="27"/>
        <v>480000</v>
      </c>
      <c r="CA11" s="240">
        <f t="shared" si="28"/>
        <v>837192.73</v>
      </c>
      <c r="CB11" s="160">
        <f t="shared" si="29"/>
        <v>1.74415152083333</v>
      </c>
      <c r="CD11" s="210" t="e">
        <f>H11+L11+P11+Z11</f>
        <v>#DIV/0!</v>
      </c>
      <c r="CE11" s="243"/>
      <c r="CF11" s="245"/>
    </row>
    <row r="12" s="139" customFormat="1" ht="56.1" customHeight="1" spans="1:84">
      <c r="A12" s="174" t="s">
        <v>43</v>
      </c>
      <c r="B12" s="175" t="s">
        <v>618</v>
      </c>
      <c r="C12" s="157" t="s">
        <v>47</v>
      </c>
      <c r="D12" s="158">
        <v>2800</v>
      </c>
      <c r="E12" s="158">
        <v>240000</v>
      </c>
      <c r="F12" s="159">
        <v>107786</v>
      </c>
      <c r="G12" s="160">
        <v>0.449108333333333</v>
      </c>
      <c r="H12" s="159"/>
      <c r="I12" s="158">
        <v>288000</v>
      </c>
      <c r="J12" s="159">
        <v>324482.98</v>
      </c>
      <c r="K12" s="196">
        <v>1.12667701388889</v>
      </c>
      <c r="L12" s="197">
        <v>3154.69563888889</v>
      </c>
      <c r="M12" s="158">
        <v>432000</v>
      </c>
      <c r="N12" s="159">
        <v>252547.55</v>
      </c>
      <c r="O12" s="196">
        <v>0.584600810185185</v>
      </c>
      <c r="P12" s="197">
        <v>1636.88226851852</v>
      </c>
      <c r="Q12" s="213">
        <v>960000</v>
      </c>
      <c r="R12" s="214">
        <v>684816.53</v>
      </c>
      <c r="S12" s="160">
        <v>0.713350552083333</v>
      </c>
      <c r="T12" s="160">
        <v>1</v>
      </c>
      <c r="U12" s="215">
        <v>2400</v>
      </c>
      <c r="V12" s="197">
        <v>1712.041325</v>
      </c>
      <c r="W12" s="216"/>
      <c r="X12" s="159">
        <v>0</v>
      </c>
      <c r="Y12" s="160" t="e">
        <v>#DIV/0!</v>
      </c>
      <c r="Z12" s="159" t="e">
        <v>#DIV/0!</v>
      </c>
      <c r="AA12" s="216"/>
      <c r="AB12" s="159"/>
      <c r="AC12" s="160"/>
      <c r="AD12" s="159"/>
      <c r="AE12" s="216"/>
      <c r="AF12" s="159"/>
      <c r="AG12" s="160"/>
      <c r="AH12" s="159"/>
      <c r="AI12" s="213"/>
      <c r="AJ12" s="214"/>
      <c r="AK12" s="160"/>
      <c r="AL12" s="160"/>
      <c r="AM12" s="220"/>
      <c r="AN12" s="159"/>
      <c r="AO12" s="216"/>
      <c r="AP12" s="159"/>
      <c r="AQ12" s="160"/>
      <c r="AR12" s="159"/>
      <c r="AS12" s="216"/>
      <c r="AT12" s="159"/>
      <c r="AU12" s="158"/>
      <c r="AV12" s="158"/>
      <c r="AW12" s="216"/>
      <c r="AX12" s="159"/>
      <c r="AY12" s="158"/>
      <c r="AZ12" s="158"/>
      <c r="BA12" s="213"/>
      <c r="BB12" s="214"/>
      <c r="BC12" s="158"/>
      <c r="BD12" s="158"/>
      <c r="BE12" s="158"/>
      <c r="BF12" s="158"/>
      <c r="BG12" s="216"/>
      <c r="BH12" s="159"/>
      <c r="BI12" s="158"/>
      <c r="BJ12" s="158"/>
      <c r="BK12" s="216"/>
      <c r="BL12" s="159"/>
      <c r="BM12" s="158"/>
      <c r="BN12" s="235"/>
      <c r="BO12" s="158"/>
      <c r="BP12" s="216"/>
      <c r="BQ12" s="159"/>
      <c r="BR12" s="158"/>
      <c r="BS12" s="158"/>
      <c r="BT12" s="213"/>
      <c r="BU12" s="214"/>
      <c r="BV12" s="158"/>
      <c r="BW12" s="158"/>
      <c r="BX12" s="158"/>
      <c r="BY12" s="158"/>
      <c r="BZ12" s="240">
        <v>960000</v>
      </c>
      <c r="CA12" s="240">
        <v>684816.53</v>
      </c>
      <c r="CB12" s="160">
        <v>0.713350552083333</v>
      </c>
      <c r="CD12" s="210" t="e">
        <v>#DIV/0!</v>
      </c>
      <c r="CE12" s="243"/>
      <c r="CF12" s="245"/>
    </row>
    <row r="13" s="139" customFormat="1" ht="32.1" customHeight="1" spans="1:84">
      <c r="A13" s="176" t="s">
        <v>619</v>
      </c>
      <c r="B13" s="177"/>
      <c r="C13" s="157">
        <f>L13+P13+V13</f>
        <v>-552.118415740743</v>
      </c>
      <c r="D13" s="158"/>
      <c r="E13" s="158"/>
      <c r="F13" s="159"/>
      <c r="G13" s="160"/>
      <c r="H13" s="159"/>
      <c r="I13" s="158"/>
      <c r="J13" s="159"/>
      <c r="K13" s="196"/>
      <c r="L13" s="197">
        <f>L11-L12</f>
        <v>496.076194444443</v>
      </c>
      <c r="M13" s="158"/>
      <c r="N13" s="159"/>
      <c r="O13" s="196"/>
      <c r="P13" s="197">
        <f>P11-P12</f>
        <v>-745.216435185187</v>
      </c>
      <c r="Q13" s="213"/>
      <c r="R13" s="214"/>
      <c r="S13" s="160"/>
      <c r="T13" s="160"/>
      <c r="U13" s="215"/>
      <c r="V13" s="197">
        <f>V11-V12</f>
        <v>-302.978175</v>
      </c>
      <c r="W13" s="216"/>
      <c r="X13" s="159"/>
      <c r="Y13" s="160"/>
      <c r="Z13" s="159"/>
      <c r="AA13" s="216"/>
      <c r="AB13" s="159"/>
      <c r="AC13" s="160"/>
      <c r="AD13" s="159"/>
      <c r="AE13" s="216"/>
      <c r="AF13" s="159"/>
      <c r="AG13" s="160"/>
      <c r="AH13" s="159"/>
      <c r="AI13" s="218"/>
      <c r="AJ13" s="219"/>
      <c r="AK13" s="160"/>
      <c r="AL13" s="160"/>
      <c r="AM13" s="220"/>
      <c r="AN13" s="159"/>
      <c r="AO13" s="216"/>
      <c r="AP13" s="159"/>
      <c r="AQ13" s="160"/>
      <c r="AR13" s="159"/>
      <c r="AS13" s="216"/>
      <c r="AT13" s="159"/>
      <c r="AU13" s="158"/>
      <c r="AV13" s="158"/>
      <c r="AW13" s="216"/>
      <c r="AX13" s="159"/>
      <c r="AY13" s="158"/>
      <c r="AZ13" s="158"/>
      <c r="BA13" s="218"/>
      <c r="BB13" s="219"/>
      <c r="BC13" s="158"/>
      <c r="BD13" s="158"/>
      <c r="BE13" s="158"/>
      <c r="BF13" s="158"/>
      <c r="BG13" s="216"/>
      <c r="BH13" s="159"/>
      <c r="BI13" s="158"/>
      <c r="BJ13" s="158"/>
      <c r="BK13" s="216"/>
      <c r="BL13" s="159"/>
      <c r="BM13" s="158"/>
      <c r="BN13" s="235"/>
      <c r="BO13" s="158"/>
      <c r="BP13" s="216"/>
      <c r="BQ13" s="159"/>
      <c r="BR13" s="158"/>
      <c r="BS13" s="158"/>
      <c r="BT13" s="218"/>
      <c r="BU13" s="219"/>
      <c r="BV13" s="158"/>
      <c r="BW13" s="158"/>
      <c r="BX13" s="158"/>
      <c r="BY13" s="158"/>
      <c r="BZ13" s="238"/>
      <c r="CA13" s="238"/>
      <c r="CB13" s="160"/>
      <c r="CD13" s="210"/>
      <c r="CE13" s="243"/>
      <c r="CF13" s="245"/>
    </row>
    <row r="14" s="139" customFormat="1" ht="32.1" hidden="1" customHeight="1" spans="1:82">
      <c r="A14" s="178"/>
      <c r="B14" s="156" t="s">
        <v>276</v>
      </c>
      <c r="C14" s="157" t="s">
        <v>620</v>
      </c>
      <c r="D14" s="158">
        <f>6000*0.7</f>
        <v>4200</v>
      </c>
      <c r="E14" s="158">
        <f>(VLOOKUP(C:C,'[8]金华 '!$A$1:$C$65536,3,0))*10000</f>
        <v>135000</v>
      </c>
      <c r="F14" s="159">
        <f>金华办回款!C48</f>
        <v>250296</v>
      </c>
      <c r="G14" s="160">
        <f>F14/E14</f>
        <v>1.85404444444444</v>
      </c>
      <c r="H14" s="159">
        <f>D14*G14</f>
        <v>7786.98666666667</v>
      </c>
      <c r="I14" s="158">
        <f>(VLOOKUP(C:C,'[8]金华 '!$A$1:$D$65536,4,0))*10000</f>
        <v>162000</v>
      </c>
      <c r="J14" s="159">
        <f>金华办回款!D48</f>
        <v>129553</v>
      </c>
      <c r="K14" s="160">
        <f>J14/I14</f>
        <v>0.79970987654321</v>
      </c>
      <c r="L14" s="159">
        <f>D14*K14</f>
        <v>3358.78148148148</v>
      </c>
      <c r="M14" s="158">
        <f>(VLOOKUP(C:C,'[8]金华 '!$A$1:$E$65536,5,0))*10000</f>
        <v>243000</v>
      </c>
      <c r="N14" s="159">
        <f>金华办回款!E48</f>
        <v>198714</v>
      </c>
      <c r="O14" s="160">
        <f>N14/M14</f>
        <v>0.817753086419753</v>
      </c>
      <c r="P14" s="159">
        <f>D14*O14</f>
        <v>3434.56296296296</v>
      </c>
      <c r="Q14" s="218">
        <f t="shared" ref="Q14:R17" si="37">E14+I14+M14</f>
        <v>540000</v>
      </c>
      <c r="R14" s="219">
        <f t="shared" si="37"/>
        <v>578563</v>
      </c>
      <c r="S14" s="160">
        <f>R14/Q14</f>
        <v>1.07141296296296</v>
      </c>
      <c r="T14" s="160">
        <v>1</v>
      </c>
      <c r="U14" s="220">
        <f>6000*0.3*3</f>
        <v>5400</v>
      </c>
      <c r="V14" s="159">
        <f>U14*(N14/Q14)</f>
        <v>1987.14</v>
      </c>
      <c r="W14" s="216"/>
      <c r="X14" s="159">
        <f>金华办回款!G48</f>
        <v>143538</v>
      </c>
      <c r="Y14" s="160" t="e">
        <f>X14/W14</f>
        <v>#DIV/0!</v>
      </c>
      <c r="Z14" s="159" t="e">
        <f>D14*Y14</f>
        <v>#DIV/0!</v>
      </c>
      <c r="AA14" s="216">
        <v>314500</v>
      </c>
      <c r="AB14" s="159">
        <f>金华办回款!H48</f>
        <v>184742</v>
      </c>
      <c r="AC14" s="160">
        <f t="shared" ref="AC14:AC17" si="38">AB14/AA14</f>
        <v>0.587414944356121</v>
      </c>
      <c r="AD14" s="159">
        <f>D14*AC14</f>
        <v>2467.14276629571</v>
      </c>
      <c r="AE14" s="216"/>
      <c r="AF14" s="159">
        <f>金华办回款!I48</f>
        <v>287891</v>
      </c>
      <c r="AG14" s="160" t="e">
        <f t="shared" ref="AG14:AG17" si="39">AF14/AE14</f>
        <v>#DIV/0!</v>
      </c>
      <c r="AH14" s="159" t="e">
        <f>D14*AG14</f>
        <v>#DIV/0!</v>
      </c>
      <c r="AI14" s="218">
        <f t="shared" ref="AI14:AI17" si="40">AE14+AA14+W14</f>
        <v>314500</v>
      </c>
      <c r="AJ14" s="219">
        <f t="shared" ref="AJ14:AJ17" si="41">AF14+AB14+X14</f>
        <v>616171</v>
      </c>
      <c r="AK14" s="160">
        <f t="shared" ref="AK14:AK17" si="42">AJ14/AI14</f>
        <v>1.95920826709062</v>
      </c>
      <c r="AL14" s="160"/>
      <c r="AM14" s="220">
        <f>4200*0.3*3</f>
        <v>3780</v>
      </c>
      <c r="AN14" s="159">
        <f>AM14*AK14*AL14</f>
        <v>0</v>
      </c>
      <c r="AO14" s="216"/>
      <c r="AP14" s="159"/>
      <c r="AQ14" s="160" t="e">
        <f t="shared" ref="AQ14:AQ17" si="43">AP14/AO14</f>
        <v>#DIV/0!</v>
      </c>
      <c r="AR14" s="159" t="e">
        <f>D14*AQ14</f>
        <v>#DIV/0!</v>
      </c>
      <c r="AS14" s="216"/>
      <c r="AT14" s="159">
        <f>金华办回款!L48</f>
        <v>73093</v>
      </c>
      <c r="AU14" s="160" t="e">
        <f t="shared" ref="AU14:AU17" si="44">AT14/AS14</f>
        <v>#DIV/0!</v>
      </c>
      <c r="AV14" s="159"/>
      <c r="AW14" s="216"/>
      <c r="AX14" s="159">
        <f>金华办回款!M48</f>
        <v>0</v>
      </c>
      <c r="AY14" s="160" t="e">
        <f>AX14/AW14</f>
        <v>#DIV/0!</v>
      </c>
      <c r="AZ14" s="159"/>
      <c r="BA14" s="218">
        <f>AW14+AS14+AO14</f>
        <v>0</v>
      </c>
      <c r="BB14" s="219">
        <f>AX14+AT14+AP14</f>
        <v>73093</v>
      </c>
      <c r="BC14" s="160" t="e">
        <f>BB14/BA14</f>
        <v>#DIV/0!</v>
      </c>
      <c r="BD14" s="160"/>
      <c r="BE14" s="220"/>
      <c r="BF14" s="159"/>
      <c r="BG14" s="216"/>
      <c r="BH14" s="159">
        <f>金华办回款!O48</f>
        <v>0</v>
      </c>
      <c r="BI14" s="160" t="e">
        <f>BH14/BG14</f>
        <v>#DIV/0!</v>
      </c>
      <c r="BJ14" s="159"/>
      <c r="BK14" s="216"/>
      <c r="BL14" s="159">
        <f>金华办回款!P48</f>
        <v>0</v>
      </c>
      <c r="BM14" s="160" t="e">
        <f>BL14/BK14</f>
        <v>#DIV/0!</v>
      </c>
      <c r="BN14" s="229"/>
      <c r="BO14" s="159"/>
      <c r="BP14" s="216"/>
      <c r="BQ14" s="159">
        <f>金华办回款!Q48</f>
        <v>0</v>
      </c>
      <c r="BR14" s="160" t="e">
        <f>BQ14/BP14</f>
        <v>#DIV/0!</v>
      </c>
      <c r="BS14" s="159" t="e">
        <f>6000*0.7*BR14</f>
        <v>#DIV/0!</v>
      </c>
      <c r="BT14" s="218">
        <f>BP14+BK14+BG14</f>
        <v>0</v>
      </c>
      <c r="BU14" s="219">
        <f>BQ14+BL14+BH14</f>
        <v>0</v>
      </c>
      <c r="BV14" s="160" t="e">
        <f>BU14/BT14</f>
        <v>#DIV/0!</v>
      </c>
      <c r="BW14" s="160">
        <v>0.9847</v>
      </c>
      <c r="BX14" s="220">
        <f>7000*0.3*2+6000*0.3</f>
        <v>6000</v>
      </c>
      <c r="BY14" s="159"/>
      <c r="BZ14" s="238">
        <f t="shared" ref="BZ14:CA17" si="45">E14+I14+M14+W14+AA14+AE14+AO14+AS14+AW14+BG14+BK14+BP14</f>
        <v>854500</v>
      </c>
      <c r="CA14" s="238">
        <f t="shared" si="45"/>
        <v>1267827</v>
      </c>
      <c r="CB14" s="160">
        <f>CA14/BZ14</f>
        <v>1.48370626097133</v>
      </c>
      <c r="CC14" s="249"/>
      <c r="CD14" s="210" t="e">
        <f>H14+L14+P14+Z14</f>
        <v>#DIV/0!</v>
      </c>
    </row>
    <row r="15" ht="32.1" hidden="1" customHeight="1" spans="1:84">
      <c r="A15" s="178"/>
      <c r="B15" s="156" t="s">
        <v>277</v>
      </c>
      <c r="C15" s="157" t="s">
        <v>621</v>
      </c>
      <c r="D15" s="158">
        <f>5000*0.7</f>
        <v>3500</v>
      </c>
      <c r="E15" s="158">
        <f>(VLOOKUP(C:C,'[8]金华 '!$A$1:$C$65536,3,0))*10000</f>
        <v>175000</v>
      </c>
      <c r="F15" s="159">
        <f>金华办回款!C69</f>
        <v>88798</v>
      </c>
      <c r="G15" s="160">
        <f>F15/E15</f>
        <v>0.507417142857143</v>
      </c>
      <c r="H15" s="159">
        <f>D15*G15</f>
        <v>1775.96</v>
      </c>
      <c r="I15" s="158">
        <f>(VLOOKUP(C:C,'[8]金华 '!$A$1:$D$65536,4,0))*10000</f>
        <v>210000</v>
      </c>
      <c r="J15" s="159">
        <f>金华办回款!D69</f>
        <v>42062</v>
      </c>
      <c r="K15" s="160">
        <f>J15/I15</f>
        <v>0.200295238095238</v>
      </c>
      <c r="L15" s="159">
        <f>D15*K15</f>
        <v>701.033333333333</v>
      </c>
      <c r="M15" s="158">
        <f>(VLOOKUP(C:C,'[8]金华 '!$A$1:$E$65536,5,0))*10000</f>
        <v>315000</v>
      </c>
      <c r="N15" s="159">
        <f>金华办回款!E69</f>
        <v>114573.54</v>
      </c>
      <c r="O15" s="160">
        <f>N15/M15</f>
        <v>0.363725523809524</v>
      </c>
      <c r="P15" s="159">
        <f>D15*O15</f>
        <v>1273.03933333333</v>
      </c>
      <c r="Q15" s="218">
        <f t="shared" si="37"/>
        <v>700000</v>
      </c>
      <c r="R15" s="219">
        <f t="shared" si="37"/>
        <v>245433.54</v>
      </c>
      <c r="S15" s="160">
        <f>R15/Q15</f>
        <v>0.350619342857143</v>
      </c>
      <c r="T15" s="160">
        <v>1</v>
      </c>
      <c r="U15" s="220">
        <f>5000*0.3*3</f>
        <v>4500</v>
      </c>
      <c r="V15" s="159">
        <f>U15*S15</f>
        <v>1577.78704285714</v>
      </c>
      <c r="W15" s="216"/>
      <c r="X15" s="159">
        <f>金华办回款!G69</f>
        <v>158869</v>
      </c>
      <c r="Y15" s="160" t="e">
        <f>X15/W15</f>
        <v>#DIV/0!</v>
      </c>
      <c r="Z15" s="159" t="e">
        <f>D15*Y15</f>
        <v>#DIV/0!</v>
      </c>
      <c r="AA15" s="216">
        <v>365500</v>
      </c>
      <c r="AB15" s="159">
        <f>金华办回款!H69</f>
        <v>71953</v>
      </c>
      <c r="AC15" s="160">
        <f t="shared" si="38"/>
        <v>0.196861833105335</v>
      </c>
      <c r="AD15" s="159">
        <f>D15*AC15</f>
        <v>689.016415868673</v>
      </c>
      <c r="AE15" s="216"/>
      <c r="AF15" s="159">
        <f>金华办回款!I69</f>
        <v>113309</v>
      </c>
      <c r="AG15" s="160" t="e">
        <f t="shared" si="39"/>
        <v>#DIV/0!</v>
      </c>
      <c r="AH15" s="159" t="e">
        <f>D15*AG15</f>
        <v>#DIV/0!</v>
      </c>
      <c r="AI15" s="218">
        <f t="shared" si="40"/>
        <v>365500</v>
      </c>
      <c r="AJ15" s="219">
        <f t="shared" si="41"/>
        <v>344131</v>
      </c>
      <c r="AK15" s="160">
        <f t="shared" si="42"/>
        <v>0.94153488372093</v>
      </c>
      <c r="AL15" s="160"/>
      <c r="AM15" s="220">
        <f>3800*0.3*3</f>
        <v>3420</v>
      </c>
      <c r="AN15" s="159">
        <f>AM15*AK15*AL15</f>
        <v>0</v>
      </c>
      <c r="AO15" s="216"/>
      <c r="AP15" s="159"/>
      <c r="AQ15" s="160" t="e">
        <f t="shared" si="43"/>
        <v>#DIV/0!</v>
      </c>
      <c r="AR15" s="159" t="e">
        <f>D15*AQ15</f>
        <v>#DIV/0!</v>
      </c>
      <c r="AS15" s="216"/>
      <c r="AT15" s="159">
        <f>金华办回款!L69</f>
        <v>80100</v>
      </c>
      <c r="AU15" s="160" t="e">
        <f t="shared" si="44"/>
        <v>#DIV/0!</v>
      </c>
      <c r="AV15" s="159"/>
      <c r="AW15" s="158"/>
      <c r="AX15" s="158"/>
      <c r="AY15" s="158"/>
      <c r="AZ15" s="158"/>
      <c r="BA15" s="227"/>
      <c r="BB15" s="227"/>
      <c r="BC15" s="160" t="e">
        <f>AP15/#REF!</f>
        <v>#REF!</v>
      </c>
      <c r="BD15" s="158"/>
      <c r="BE15" s="158">
        <f>3800*0.3*1</f>
        <v>1140</v>
      </c>
      <c r="BF15" s="159" t="e">
        <f>BE15*BC15*BD15</f>
        <v>#REF!</v>
      </c>
      <c r="BG15" s="158"/>
      <c r="BH15" s="158"/>
      <c r="BI15" s="158"/>
      <c r="BJ15" s="158"/>
      <c r="BK15" s="158"/>
      <c r="BL15" s="158"/>
      <c r="BM15" s="158"/>
      <c r="BN15" s="235"/>
      <c r="BO15" s="158"/>
      <c r="BP15" s="158"/>
      <c r="BQ15" s="158"/>
      <c r="BR15" s="158"/>
      <c r="BS15" s="158"/>
      <c r="BT15" s="227"/>
      <c r="BU15" s="227"/>
      <c r="BV15" s="158"/>
      <c r="BW15" s="158"/>
      <c r="BX15" s="158"/>
      <c r="BY15" s="158"/>
      <c r="BZ15" s="238">
        <f t="shared" si="45"/>
        <v>1065500</v>
      </c>
      <c r="CA15" s="238">
        <f t="shared" si="45"/>
        <v>669664.54</v>
      </c>
      <c r="CB15" s="160">
        <f>CA15/BZ15</f>
        <v>0.628497925856406</v>
      </c>
      <c r="CD15" s="210" t="e">
        <f>H15+L15+P15+Z15</f>
        <v>#DIV/0!</v>
      </c>
      <c r="CE15" s="243"/>
      <c r="CF15" s="245"/>
    </row>
    <row r="16" customFormat="1" ht="32.1" hidden="1" customHeight="1" spans="1:115">
      <c r="A16" s="174"/>
      <c r="B16" s="156" t="s">
        <v>622</v>
      </c>
      <c r="C16" s="157" t="s">
        <v>460</v>
      </c>
      <c r="D16" s="158"/>
      <c r="E16" s="158">
        <f>(VLOOKUP(C:C,'[8]金华 '!$A$1:$C$65536,3,0))*10000</f>
        <v>15000</v>
      </c>
      <c r="F16" s="159" t="e">
        <f>金华办回款!#REF!+金华办回款!C71</f>
        <v>#REF!</v>
      </c>
      <c r="G16" s="160" t="e">
        <f>F16/E16</f>
        <v>#REF!</v>
      </c>
      <c r="H16" s="159"/>
      <c r="I16" s="158">
        <f>(VLOOKUP(C:C,'[8]金华 '!$A$1:$D$65536,4,0))*10000</f>
        <v>9000</v>
      </c>
      <c r="J16" s="159" t="e">
        <f>金华办回款!#REF!+金华办回款!D71</f>
        <v>#REF!</v>
      </c>
      <c r="K16" s="160" t="e">
        <f>J16/I16</f>
        <v>#REF!</v>
      </c>
      <c r="L16" s="159"/>
      <c r="M16" s="158">
        <f>(VLOOKUP(C:C,'[8]金华 '!$A$1:$E$65536,5,0))*10000</f>
        <v>24000</v>
      </c>
      <c r="N16" s="159" t="e">
        <f>金华办回款!#REF!+金华办回款!E71</f>
        <v>#REF!</v>
      </c>
      <c r="O16" s="160" t="e">
        <f>N16/M16</f>
        <v>#REF!</v>
      </c>
      <c r="P16" s="159"/>
      <c r="Q16" s="218">
        <f t="shared" si="37"/>
        <v>48000</v>
      </c>
      <c r="R16" s="219" t="e">
        <f t="shared" si="37"/>
        <v>#REF!</v>
      </c>
      <c r="S16" s="160" t="e">
        <f>R16/Q16</f>
        <v>#REF!</v>
      </c>
      <c r="T16" s="160"/>
      <c r="U16" s="220"/>
      <c r="V16" s="159"/>
      <c r="W16" s="216"/>
      <c r="X16" s="159"/>
      <c r="Y16" s="160"/>
      <c r="Z16" s="159"/>
      <c r="AA16" s="216"/>
      <c r="AB16" s="159"/>
      <c r="AC16" s="160"/>
      <c r="AD16" s="159"/>
      <c r="AE16" s="216"/>
      <c r="AF16" s="159"/>
      <c r="AG16" s="160"/>
      <c r="AH16" s="159"/>
      <c r="AI16" s="218"/>
      <c r="AJ16" s="219"/>
      <c r="AK16" s="160"/>
      <c r="AL16" s="160"/>
      <c r="AM16" s="220"/>
      <c r="AN16" s="159"/>
      <c r="AO16" s="216"/>
      <c r="AP16" s="159"/>
      <c r="AQ16" s="160"/>
      <c r="AR16" s="159"/>
      <c r="AS16" s="216"/>
      <c r="AT16" s="159"/>
      <c r="AU16" s="160"/>
      <c r="AV16" s="159"/>
      <c r="AW16" s="158"/>
      <c r="AX16" s="158"/>
      <c r="AY16" s="158"/>
      <c r="AZ16" s="158"/>
      <c r="BA16" s="227"/>
      <c r="BB16" s="227"/>
      <c r="BC16" s="160"/>
      <c r="BD16" s="158"/>
      <c r="BE16" s="158"/>
      <c r="BF16" s="159"/>
      <c r="BG16" s="158"/>
      <c r="BH16" s="158"/>
      <c r="BI16" s="158"/>
      <c r="BJ16" s="158"/>
      <c r="BK16" s="158"/>
      <c r="BL16" s="158"/>
      <c r="BM16" s="158"/>
      <c r="BN16" s="235"/>
      <c r="BO16" s="158"/>
      <c r="BP16" s="158"/>
      <c r="BQ16" s="158"/>
      <c r="BR16" s="158"/>
      <c r="BS16" s="158"/>
      <c r="BT16" s="227"/>
      <c r="BU16" s="227"/>
      <c r="BV16" s="158"/>
      <c r="BW16" s="158"/>
      <c r="BX16" s="158"/>
      <c r="BY16" s="158"/>
      <c r="BZ16" s="238">
        <f t="shared" si="45"/>
        <v>48000</v>
      </c>
      <c r="CA16" s="238" t="e">
        <f t="shared" si="45"/>
        <v>#REF!</v>
      </c>
      <c r="CB16" s="160"/>
      <c r="CC16" s="139"/>
      <c r="CD16" s="210"/>
      <c r="CE16" s="243"/>
      <c r="CF16" s="245"/>
      <c r="CG16" s="139"/>
      <c r="CH16" s="139"/>
      <c r="CI16" s="139"/>
      <c r="CJ16" s="139"/>
      <c r="CK16" s="139"/>
      <c r="CL16" s="139"/>
      <c r="CM16" s="139"/>
      <c r="CN16" s="139"/>
      <c r="CO16" s="139"/>
      <c r="CP16" s="139"/>
      <c r="CQ16" s="139"/>
      <c r="CR16" s="139"/>
      <c r="CS16" s="139"/>
      <c r="CT16" s="139"/>
      <c r="CU16" s="139"/>
      <c r="CV16" s="139"/>
      <c r="CW16" s="139"/>
      <c r="CX16" s="139"/>
      <c r="CY16" s="139"/>
      <c r="CZ16" s="139"/>
      <c r="DA16" s="139"/>
      <c r="DB16" s="139"/>
      <c r="DC16" s="139"/>
      <c r="DD16" s="139"/>
      <c r="DE16" s="139"/>
      <c r="DF16" s="139"/>
      <c r="DG16" s="139"/>
      <c r="DH16" s="139"/>
      <c r="DI16" s="139"/>
      <c r="DJ16" s="139"/>
      <c r="DK16" s="139"/>
    </row>
    <row r="17" s="138" customFormat="1" ht="32.1" hidden="1" customHeight="1" spans="1:115">
      <c r="A17" s="167" t="s">
        <v>43</v>
      </c>
      <c r="B17" s="168"/>
      <c r="C17" s="169"/>
      <c r="D17" s="170"/>
      <c r="E17" s="171">
        <f>SUM(E11:E15)</f>
        <v>670000</v>
      </c>
      <c r="F17" s="171">
        <f>SUM(F11:F15)</f>
        <v>472153</v>
      </c>
      <c r="G17" s="172">
        <f>F17/E17</f>
        <v>0.704705970149254</v>
      </c>
      <c r="H17" s="173"/>
      <c r="I17" s="171">
        <f>SUM(I11:I15)</f>
        <v>804000</v>
      </c>
      <c r="J17" s="171">
        <f>SUM(J11:J15)</f>
        <v>683851.96</v>
      </c>
      <c r="K17" s="172">
        <f>J17/I17</f>
        <v>0.850562139303483</v>
      </c>
      <c r="L17" s="173"/>
      <c r="M17" s="171">
        <f>SUM(M11:M15)</f>
        <v>1206000</v>
      </c>
      <c r="N17" s="171">
        <f>SUM(N11:N15)</f>
        <v>634620.74</v>
      </c>
      <c r="O17" s="172">
        <f>N17/M17</f>
        <v>0.52621951907131</v>
      </c>
      <c r="P17" s="173"/>
      <c r="Q17" s="221">
        <f t="shared" si="37"/>
        <v>2680000</v>
      </c>
      <c r="R17" s="222">
        <f t="shared" si="37"/>
        <v>1790625.7</v>
      </c>
      <c r="S17" s="172">
        <f>R17/Q17</f>
        <v>0.668143917910448</v>
      </c>
      <c r="T17" s="172"/>
      <c r="U17" s="171"/>
      <c r="V17" s="173"/>
      <c r="W17" s="171">
        <f>SUM(W11:W15)</f>
        <v>0</v>
      </c>
      <c r="X17" s="171">
        <f>SUM(X11:X15)</f>
        <v>857787.1</v>
      </c>
      <c r="Y17" s="172" t="e">
        <f>X17/W17</f>
        <v>#DIV/0!</v>
      </c>
      <c r="Z17" s="173"/>
      <c r="AA17" s="171">
        <f>SUM(AA11:AA15)</f>
        <v>680000</v>
      </c>
      <c r="AB17" s="171">
        <f>SUM(AB11:AB15)</f>
        <v>256695</v>
      </c>
      <c r="AC17" s="172">
        <f t="shared" si="38"/>
        <v>0.377492647058824</v>
      </c>
      <c r="AD17" s="173"/>
      <c r="AE17" s="171">
        <f>SUM(AE11:AE15)</f>
        <v>0</v>
      </c>
      <c r="AF17" s="171">
        <f>SUM(AF11:AF15)</f>
        <v>401200</v>
      </c>
      <c r="AG17" s="172" t="e">
        <f t="shared" si="39"/>
        <v>#DIV/0!</v>
      </c>
      <c r="AH17" s="173"/>
      <c r="AI17" s="221">
        <f t="shared" si="40"/>
        <v>680000</v>
      </c>
      <c r="AJ17" s="222">
        <f t="shared" si="41"/>
        <v>1515682.1</v>
      </c>
      <c r="AK17" s="172">
        <f t="shared" si="42"/>
        <v>2.22894426470588</v>
      </c>
      <c r="AL17" s="172"/>
      <c r="AM17" s="171"/>
      <c r="AN17" s="173"/>
      <c r="AO17" s="171">
        <f>SUM(AO11:AO15)</f>
        <v>0</v>
      </c>
      <c r="AP17" s="171">
        <f>SUM(AP11:AP15)</f>
        <v>0</v>
      </c>
      <c r="AQ17" s="172" t="e">
        <f t="shared" si="43"/>
        <v>#DIV/0!</v>
      </c>
      <c r="AR17" s="173"/>
      <c r="AS17" s="171">
        <f>SUM(AS11:AS15)</f>
        <v>0</v>
      </c>
      <c r="AT17" s="171">
        <f>SUM(AT11:AT15)</f>
        <v>153193</v>
      </c>
      <c r="AU17" s="172" t="e">
        <f t="shared" si="44"/>
        <v>#DIV/0!</v>
      </c>
      <c r="AV17" s="173"/>
      <c r="AW17" s="171">
        <f>SUM(AW11:AW15)</f>
        <v>0</v>
      </c>
      <c r="AX17" s="171">
        <f>SUM(AX11:AX15)</f>
        <v>0</v>
      </c>
      <c r="AY17" s="172" t="e">
        <f>AX17/AW17</f>
        <v>#DIV/0!</v>
      </c>
      <c r="AZ17" s="173"/>
      <c r="BA17" s="221">
        <f>AW17+AS17+AO17</f>
        <v>0</v>
      </c>
      <c r="BB17" s="222">
        <f>AX17+AT17+AP17</f>
        <v>153193</v>
      </c>
      <c r="BC17" s="172" t="e">
        <f>BB17/BA17</f>
        <v>#DIV/0!</v>
      </c>
      <c r="BD17" s="172"/>
      <c r="BE17" s="171"/>
      <c r="BF17" s="173"/>
      <c r="BG17" s="171">
        <f>SUM(BG11:BG15)</f>
        <v>0</v>
      </c>
      <c r="BH17" s="171">
        <f>SUM(BH11:BH15)</f>
        <v>0</v>
      </c>
      <c r="BI17" s="172" t="e">
        <f>BH17/BG17</f>
        <v>#DIV/0!</v>
      </c>
      <c r="BJ17" s="173"/>
      <c r="BK17" s="171">
        <f>SUM(BK11:BK15)</f>
        <v>0</v>
      </c>
      <c r="BL17" s="171">
        <f>SUM(BL11:BL15)</f>
        <v>0</v>
      </c>
      <c r="BM17" s="172" t="e">
        <f>BL17/BK17</f>
        <v>#DIV/0!</v>
      </c>
      <c r="BN17" s="234"/>
      <c r="BO17" s="173"/>
      <c r="BP17" s="236">
        <f>SUM(BP11:BP15)</f>
        <v>0</v>
      </c>
      <c r="BQ17" s="171">
        <f>SUM(BQ11:BQ15)</f>
        <v>0</v>
      </c>
      <c r="BR17" s="172" t="e">
        <f>BQ17/BP17</f>
        <v>#DIV/0!</v>
      </c>
      <c r="BS17" s="173"/>
      <c r="BT17" s="221">
        <f>BP17+BK17+BG17</f>
        <v>0</v>
      </c>
      <c r="BU17" s="221">
        <f>SUM(BU11:BU15)</f>
        <v>0</v>
      </c>
      <c r="BV17" s="172" t="e">
        <f>BU17/BT17</f>
        <v>#DIV/0!</v>
      </c>
      <c r="BW17" s="172"/>
      <c r="BX17" s="171"/>
      <c r="BY17" s="173"/>
      <c r="BZ17" s="239">
        <f t="shared" si="45"/>
        <v>3360000</v>
      </c>
      <c r="CA17" s="239">
        <f t="shared" si="45"/>
        <v>3459500.8</v>
      </c>
      <c r="CB17" s="172">
        <f>CA17/BZ17</f>
        <v>1.02961333333333</v>
      </c>
      <c r="CC17" s="250"/>
      <c r="CD17" s="247"/>
      <c r="CE17" s="248"/>
      <c r="CF17" s="246"/>
      <c r="CG17" s="246"/>
      <c r="CH17" s="246"/>
      <c r="CI17" s="246"/>
      <c r="CJ17" s="246"/>
      <c r="CK17" s="246"/>
      <c r="CL17" s="246"/>
      <c r="CM17" s="246"/>
      <c r="CN17" s="246"/>
      <c r="CO17" s="246"/>
      <c r="CP17" s="246"/>
      <c r="CQ17" s="246"/>
      <c r="CR17" s="246"/>
      <c r="CS17" s="246"/>
      <c r="CT17" s="246"/>
      <c r="CU17" s="246"/>
      <c r="CV17" s="246"/>
      <c r="CW17" s="246"/>
      <c r="CX17" s="246"/>
      <c r="CY17" s="246"/>
      <c r="CZ17" s="246"/>
      <c r="DA17" s="246"/>
      <c r="DB17" s="246"/>
      <c r="DC17" s="246"/>
      <c r="DD17" s="246"/>
      <c r="DE17" s="246"/>
      <c r="DF17" s="246"/>
      <c r="DG17" s="246"/>
      <c r="DH17" s="246"/>
      <c r="DI17" s="246"/>
      <c r="DJ17" s="246"/>
      <c r="DK17" s="246"/>
    </row>
    <row r="18" hidden="1" customHeight="1" spans="8:39">
      <c r="H18" s="139">
        <f>SUM(H4:H17)</f>
        <v>25935.4924535671</v>
      </c>
      <c r="L18" s="139">
        <f>SUM(L4:L17)</f>
        <v>24423.4131374815</v>
      </c>
      <c r="P18" s="139">
        <f>SUM(P4:P17)</f>
        <v>22016.3291950321</v>
      </c>
      <c r="U18" s="139">
        <f>SUM(U4:U17)</f>
        <v>32250</v>
      </c>
      <c r="V18" s="139">
        <f>SUM(V4:V17)</f>
        <v>23902.9394786366</v>
      </c>
      <c r="AL18" s="139" t="e">
        <f>#REF!*#REF!</f>
        <v>#REF!</v>
      </c>
      <c r="AM18" s="139" t="e">
        <f>#REF!*#REF!</f>
        <v>#REF!</v>
      </c>
    </row>
    <row r="19" hidden="1" customHeight="1" spans="38:39">
      <c r="AL19" s="139" t="e">
        <f>#REF!-AL18</f>
        <v>#REF!</v>
      </c>
      <c r="AM19" s="139" t="e">
        <f>#REF!-AM18</f>
        <v>#REF!</v>
      </c>
    </row>
    <row r="21" customHeight="1" spans="2:15">
      <c r="B21" s="179"/>
      <c r="C21" s="180" t="s">
        <v>114</v>
      </c>
      <c r="D21" s="180" t="s">
        <v>115</v>
      </c>
      <c r="E21" s="180" t="s">
        <v>116</v>
      </c>
      <c r="F21" s="180" t="s">
        <v>31</v>
      </c>
      <c r="G21" s="180" t="s">
        <v>35</v>
      </c>
      <c r="H21" s="180" t="s">
        <v>51</v>
      </c>
      <c r="I21" s="180" t="s">
        <v>64</v>
      </c>
      <c r="J21" s="180" t="s">
        <v>73</v>
      </c>
      <c r="K21" s="180" t="s">
        <v>623</v>
      </c>
      <c r="L21" s="180" t="s">
        <v>624</v>
      </c>
      <c r="M21" s="180" t="s">
        <v>625</v>
      </c>
      <c r="N21" s="180" t="s">
        <v>626</v>
      </c>
      <c r="O21" s="201" t="s">
        <v>627</v>
      </c>
    </row>
    <row r="22" customHeight="1" spans="2:15">
      <c r="B22" s="181" t="s">
        <v>628</v>
      </c>
      <c r="C22" s="118">
        <v>35000</v>
      </c>
      <c r="D22" s="118">
        <v>42000</v>
      </c>
      <c r="E22" s="118">
        <v>63000</v>
      </c>
      <c r="F22" s="118">
        <v>56000</v>
      </c>
      <c r="G22" s="118">
        <v>70000</v>
      </c>
      <c r="H22" s="118">
        <v>56000</v>
      </c>
      <c r="I22" s="118">
        <v>49000</v>
      </c>
      <c r="J22" s="118">
        <v>42000</v>
      </c>
      <c r="K22" s="118">
        <v>63000</v>
      </c>
      <c r="L22" s="118">
        <v>77000</v>
      </c>
      <c r="M22" s="118">
        <v>70000</v>
      </c>
      <c r="N22" s="118">
        <v>77000</v>
      </c>
      <c r="O22" s="202">
        <v>700000</v>
      </c>
    </row>
    <row r="23" customHeight="1" spans="2:15">
      <c r="B23" s="181" t="s">
        <v>629</v>
      </c>
      <c r="C23" s="118">
        <v>85000</v>
      </c>
      <c r="D23" s="118">
        <v>102000</v>
      </c>
      <c r="E23" s="118">
        <v>153000</v>
      </c>
      <c r="F23" s="118">
        <v>136000</v>
      </c>
      <c r="G23" s="118">
        <v>170000</v>
      </c>
      <c r="H23" s="118">
        <v>136000</v>
      </c>
      <c r="I23" s="118">
        <v>119000</v>
      </c>
      <c r="J23" s="118">
        <v>102000</v>
      </c>
      <c r="K23" s="118">
        <v>153000</v>
      </c>
      <c r="L23" s="118">
        <v>187000</v>
      </c>
      <c r="M23" s="118">
        <v>170000</v>
      </c>
      <c r="N23" s="118">
        <v>187000</v>
      </c>
      <c r="O23" s="202">
        <v>1700000</v>
      </c>
    </row>
    <row r="24" customHeight="1" spans="2:15">
      <c r="B24" s="182" t="s">
        <v>11</v>
      </c>
      <c r="C24" s="183">
        <f>SUM(C22:C23)</f>
        <v>120000</v>
      </c>
      <c r="D24" s="183">
        <f t="shared" ref="D24:O24" si="46">SUM(D22:D23)</f>
        <v>144000</v>
      </c>
      <c r="E24" s="183">
        <f t="shared" si="46"/>
        <v>216000</v>
      </c>
      <c r="F24" s="183">
        <f t="shared" si="46"/>
        <v>192000</v>
      </c>
      <c r="G24" s="183">
        <f t="shared" si="46"/>
        <v>240000</v>
      </c>
      <c r="H24" s="183">
        <f t="shared" si="46"/>
        <v>192000</v>
      </c>
      <c r="I24" s="183">
        <f t="shared" si="46"/>
        <v>168000</v>
      </c>
      <c r="J24" s="183">
        <f t="shared" si="46"/>
        <v>144000</v>
      </c>
      <c r="K24" s="183">
        <f t="shared" si="46"/>
        <v>216000</v>
      </c>
      <c r="L24" s="183">
        <f t="shared" si="46"/>
        <v>264000</v>
      </c>
      <c r="M24" s="183">
        <f t="shared" si="46"/>
        <v>240000</v>
      </c>
      <c r="N24" s="183">
        <f t="shared" si="46"/>
        <v>264000</v>
      </c>
      <c r="O24" s="203">
        <f t="shared" si="46"/>
        <v>2400000</v>
      </c>
    </row>
    <row r="26" customHeight="1" spans="2:15">
      <c r="B26" s="184" t="s">
        <v>630</v>
      </c>
      <c r="C26" s="185" t="s">
        <v>631</v>
      </c>
      <c r="D26" s="186"/>
      <c r="E26" s="186"/>
      <c r="F26" s="186"/>
      <c r="G26" s="187"/>
      <c r="H26" s="186"/>
      <c r="I26" s="186"/>
      <c r="J26" s="186"/>
      <c r="K26" s="186"/>
      <c r="L26" s="186"/>
      <c r="M26" s="204"/>
      <c r="N26" s="186"/>
      <c r="O26" s="205"/>
    </row>
    <row r="27" customHeight="1" spans="2:15">
      <c r="B27" s="188"/>
      <c r="C27" s="4" t="s">
        <v>114</v>
      </c>
      <c r="D27" s="139" t="s">
        <v>115</v>
      </c>
      <c r="E27" s="139" t="s">
        <v>116</v>
      </c>
      <c r="F27" s="139" t="s">
        <v>31</v>
      </c>
      <c r="G27" s="143" t="s">
        <v>35</v>
      </c>
      <c r="H27" s="139" t="s">
        <v>51</v>
      </c>
      <c r="I27" s="139" t="s">
        <v>64</v>
      </c>
      <c r="J27" s="139" t="s">
        <v>73</v>
      </c>
      <c r="K27" s="139" t="s">
        <v>623</v>
      </c>
      <c r="L27" s="139" t="s">
        <v>624</v>
      </c>
      <c r="M27" s="144" t="s">
        <v>625</v>
      </c>
      <c r="N27" s="139" t="s">
        <v>626</v>
      </c>
      <c r="O27" s="206" t="s">
        <v>627</v>
      </c>
    </row>
    <row r="28" customHeight="1" spans="2:15">
      <c r="B28" s="188" t="s">
        <v>632</v>
      </c>
      <c r="C28" s="4">
        <v>15000</v>
      </c>
      <c r="D28" s="139">
        <v>18000</v>
      </c>
      <c r="E28" s="139">
        <v>27000</v>
      </c>
      <c r="F28" s="139">
        <v>24000</v>
      </c>
      <c r="G28" s="143">
        <v>30000</v>
      </c>
      <c r="H28" s="139">
        <v>24000</v>
      </c>
      <c r="I28" s="139">
        <v>21000</v>
      </c>
      <c r="J28" s="139">
        <v>18000</v>
      </c>
      <c r="K28" s="139">
        <v>27000</v>
      </c>
      <c r="L28" s="139">
        <v>33000</v>
      </c>
      <c r="M28" s="144">
        <v>30000</v>
      </c>
      <c r="N28" s="139">
        <v>33000</v>
      </c>
      <c r="O28" s="206">
        <v>300000</v>
      </c>
    </row>
    <row r="29" customHeight="1" spans="2:15">
      <c r="B29" s="188" t="s">
        <v>633</v>
      </c>
      <c r="C29" s="4">
        <v>70000</v>
      </c>
      <c r="D29" s="139">
        <v>84000</v>
      </c>
      <c r="E29" s="139">
        <v>126000</v>
      </c>
      <c r="F29" s="139">
        <v>112000</v>
      </c>
      <c r="G29" s="143">
        <v>140000</v>
      </c>
      <c r="H29" s="139">
        <v>112000</v>
      </c>
      <c r="I29" s="139">
        <v>98000</v>
      </c>
      <c r="J29" s="139">
        <v>84000</v>
      </c>
      <c r="K29" s="139">
        <v>126000</v>
      </c>
      <c r="L29" s="139">
        <v>154000</v>
      </c>
      <c r="M29" s="144">
        <v>140000</v>
      </c>
      <c r="N29" s="139">
        <v>154000</v>
      </c>
      <c r="O29" s="206">
        <v>1400000</v>
      </c>
    </row>
    <row r="30" customHeight="1" spans="2:15">
      <c r="B30" s="188" t="s">
        <v>634</v>
      </c>
      <c r="C30" s="4">
        <v>20000</v>
      </c>
      <c r="D30" s="139">
        <v>24000</v>
      </c>
      <c r="E30" s="139">
        <v>36000</v>
      </c>
      <c r="F30" s="139">
        <v>32000</v>
      </c>
      <c r="G30" s="143">
        <v>40000</v>
      </c>
      <c r="H30" s="139">
        <v>32000</v>
      </c>
      <c r="I30" s="139">
        <v>28000</v>
      </c>
      <c r="J30" s="139">
        <v>24000</v>
      </c>
      <c r="K30" s="139">
        <v>36000</v>
      </c>
      <c r="L30" s="139">
        <v>44000</v>
      </c>
      <c r="M30" s="144">
        <v>40000</v>
      </c>
      <c r="N30" s="139">
        <v>44000</v>
      </c>
      <c r="O30" s="206">
        <v>400000</v>
      </c>
    </row>
    <row r="31" customHeight="1" spans="2:15">
      <c r="B31" s="188" t="s">
        <v>635</v>
      </c>
      <c r="C31" s="4">
        <v>5000</v>
      </c>
      <c r="D31" s="139">
        <v>6000</v>
      </c>
      <c r="E31" s="139">
        <v>9000</v>
      </c>
      <c r="F31" s="139">
        <v>8000</v>
      </c>
      <c r="G31" s="143">
        <v>10000</v>
      </c>
      <c r="H31" s="139">
        <v>8000</v>
      </c>
      <c r="I31" s="139">
        <v>7000</v>
      </c>
      <c r="J31" s="139">
        <v>6000</v>
      </c>
      <c r="K31" s="139">
        <v>9000</v>
      </c>
      <c r="L31" s="139">
        <v>11000</v>
      </c>
      <c r="M31" s="144">
        <v>10000</v>
      </c>
      <c r="N31" s="139">
        <v>11000</v>
      </c>
      <c r="O31" s="206">
        <v>100000</v>
      </c>
    </row>
    <row r="32" customHeight="1" spans="2:15">
      <c r="B32" s="188" t="s">
        <v>636</v>
      </c>
      <c r="C32" s="4">
        <v>10000</v>
      </c>
      <c r="D32" s="139">
        <v>12000</v>
      </c>
      <c r="E32" s="139">
        <v>18000</v>
      </c>
      <c r="F32" s="139">
        <v>16000</v>
      </c>
      <c r="G32" s="143">
        <v>20000</v>
      </c>
      <c r="H32" s="139">
        <v>16000</v>
      </c>
      <c r="I32" s="139">
        <v>14000</v>
      </c>
      <c r="J32" s="139">
        <v>12000</v>
      </c>
      <c r="K32" s="139">
        <v>18000</v>
      </c>
      <c r="L32" s="139">
        <v>22000</v>
      </c>
      <c r="M32" s="144">
        <v>20000</v>
      </c>
      <c r="N32" s="139">
        <v>22000</v>
      </c>
      <c r="O32" s="206">
        <v>200000</v>
      </c>
    </row>
    <row r="33" customHeight="1" spans="2:15">
      <c r="B33" s="189" t="s">
        <v>11</v>
      </c>
      <c r="C33" s="190">
        <f>SUM(C28:C32)</f>
        <v>120000</v>
      </c>
      <c r="D33" s="190">
        <f t="shared" ref="D33:O33" si="47">SUM(D28:D32)</f>
        <v>144000</v>
      </c>
      <c r="E33" s="190">
        <f t="shared" si="47"/>
        <v>216000</v>
      </c>
      <c r="F33" s="190">
        <f t="shared" si="47"/>
        <v>192000</v>
      </c>
      <c r="G33" s="190">
        <f t="shared" si="47"/>
        <v>240000</v>
      </c>
      <c r="H33" s="190">
        <f t="shared" si="47"/>
        <v>192000</v>
      </c>
      <c r="I33" s="190">
        <f t="shared" si="47"/>
        <v>168000</v>
      </c>
      <c r="J33" s="190">
        <f t="shared" si="47"/>
        <v>144000</v>
      </c>
      <c r="K33" s="190">
        <f t="shared" si="47"/>
        <v>216000</v>
      </c>
      <c r="L33" s="190">
        <f t="shared" si="47"/>
        <v>264000</v>
      </c>
      <c r="M33" s="190">
        <f t="shared" si="47"/>
        <v>240000</v>
      </c>
      <c r="N33" s="190">
        <f t="shared" si="47"/>
        <v>264000</v>
      </c>
      <c r="O33" s="207">
        <f t="shared" si="47"/>
        <v>2400000</v>
      </c>
    </row>
    <row r="34" ht="18" customHeight="1"/>
    <row r="35" s="140" customFormat="1" customHeight="1" spans="1:115">
      <c r="A35" s="191"/>
      <c r="B35" s="192" t="s">
        <v>459</v>
      </c>
      <c r="C35" s="193">
        <f>C24+C33</f>
        <v>240000</v>
      </c>
      <c r="D35" s="193">
        <f t="shared" ref="D35:O35" si="48">D24+D33</f>
        <v>288000</v>
      </c>
      <c r="E35" s="193">
        <f t="shared" si="48"/>
        <v>432000</v>
      </c>
      <c r="F35" s="193">
        <f t="shared" si="48"/>
        <v>384000</v>
      </c>
      <c r="G35" s="193">
        <f t="shared" si="48"/>
        <v>480000</v>
      </c>
      <c r="H35" s="193">
        <f t="shared" si="48"/>
        <v>384000</v>
      </c>
      <c r="I35" s="193">
        <f t="shared" si="48"/>
        <v>336000</v>
      </c>
      <c r="J35" s="193">
        <f t="shared" si="48"/>
        <v>288000</v>
      </c>
      <c r="K35" s="193">
        <f t="shared" si="48"/>
        <v>432000</v>
      </c>
      <c r="L35" s="193">
        <f t="shared" si="48"/>
        <v>528000</v>
      </c>
      <c r="M35" s="193">
        <f t="shared" si="48"/>
        <v>480000</v>
      </c>
      <c r="N35" s="193">
        <f t="shared" si="48"/>
        <v>528000</v>
      </c>
      <c r="O35" s="193">
        <f t="shared" si="48"/>
        <v>4800000</v>
      </c>
      <c r="P35" s="208"/>
      <c r="Q35" s="208"/>
      <c r="R35" s="208"/>
      <c r="S35" s="208"/>
      <c r="T35" s="208"/>
      <c r="U35" s="208"/>
      <c r="V35" s="208"/>
      <c r="W35" s="208"/>
      <c r="X35" s="208"/>
      <c r="Y35" s="208"/>
      <c r="Z35" s="208"/>
      <c r="AA35" s="208"/>
      <c r="AB35" s="208"/>
      <c r="AC35" s="208"/>
      <c r="AD35" s="208"/>
      <c r="AE35" s="208"/>
      <c r="AF35" s="208"/>
      <c r="AG35" s="208"/>
      <c r="AH35" s="208"/>
      <c r="AI35" s="208"/>
      <c r="AJ35" s="208"/>
      <c r="AK35" s="208"/>
      <c r="AL35" s="208"/>
      <c r="AM35" s="208"/>
      <c r="AN35" s="208"/>
      <c r="AO35" s="208"/>
      <c r="AP35" s="208"/>
      <c r="AQ35" s="208"/>
      <c r="AR35" s="208"/>
      <c r="AS35" s="208"/>
      <c r="AT35" s="208"/>
      <c r="AU35" s="208"/>
      <c r="AV35" s="208"/>
      <c r="AW35" s="208"/>
      <c r="AX35" s="208"/>
      <c r="AY35" s="208"/>
      <c r="AZ35" s="208"/>
      <c r="BA35" s="208"/>
      <c r="BB35" s="208"/>
      <c r="BC35" s="208"/>
      <c r="BD35" s="208"/>
      <c r="BE35" s="208"/>
      <c r="BF35" s="208"/>
      <c r="BG35" s="208"/>
      <c r="BH35" s="208"/>
      <c r="BI35" s="208"/>
      <c r="BJ35" s="208"/>
      <c r="BK35" s="208"/>
      <c r="BL35" s="208"/>
      <c r="BM35" s="208"/>
      <c r="BN35" s="237"/>
      <c r="BO35" s="208"/>
      <c r="BP35" s="208"/>
      <c r="BQ35" s="208"/>
      <c r="BR35" s="208"/>
      <c r="BS35" s="208"/>
      <c r="BT35" s="208"/>
      <c r="BU35" s="208"/>
      <c r="BV35" s="208"/>
      <c r="BW35" s="208"/>
      <c r="BX35" s="208"/>
      <c r="BY35" s="208"/>
      <c r="BZ35" s="208"/>
      <c r="CA35" s="208"/>
      <c r="CB35" s="208"/>
      <c r="CC35" s="208"/>
      <c r="CD35" s="208"/>
      <c r="CE35" s="208"/>
      <c r="CF35" s="208"/>
      <c r="CG35" s="208"/>
      <c r="CH35" s="208"/>
      <c r="CI35" s="208"/>
      <c r="CJ35" s="208"/>
      <c r="CK35" s="208"/>
      <c r="CL35" s="208"/>
      <c r="CM35" s="208"/>
      <c r="CN35" s="208"/>
      <c r="CO35" s="208"/>
      <c r="CP35" s="208"/>
      <c r="CQ35" s="208"/>
      <c r="CR35" s="208"/>
      <c r="CS35" s="208"/>
      <c r="CT35" s="208"/>
      <c r="CU35" s="208"/>
      <c r="CV35" s="208"/>
      <c r="CW35" s="208"/>
      <c r="CX35" s="208"/>
      <c r="CY35" s="208"/>
      <c r="CZ35" s="208"/>
      <c r="DA35" s="208"/>
      <c r="DB35" s="208"/>
      <c r="DC35" s="208"/>
      <c r="DD35" s="208"/>
      <c r="DE35" s="208"/>
      <c r="DF35" s="208"/>
      <c r="DG35" s="208"/>
      <c r="DH35" s="208"/>
      <c r="DI35" s="208"/>
      <c r="DJ35" s="208"/>
      <c r="DK35" s="208"/>
    </row>
  </sheetData>
  <autoFilter xmlns:etc="http://www.wps.cn/officeDocument/2017/etCustomData" ref="A3:DK19" etc:filterBottomFollowUsedRange="0">
    <extLst/>
  </autoFilter>
  <mergeCells count="5">
    <mergeCell ref="A1:H1"/>
    <mergeCell ref="A10:B10"/>
    <mergeCell ref="A13:B13"/>
    <mergeCell ref="A17:B17"/>
    <mergeCell ref="A4:A9"/>
  </mergeCells>
  <printOptions horizontalCentered="1"/>
  <pageMargins left="0.196527777777778" right="0.196527777777778" top="0.984027777777778" bottom="0.236111111111111" header="0.196527777777778" footer="0.196527777777778"/>
  <pageSetup paperSize="9" scale="59" orientation="landscape"/>
  <headerFooter/>
  <colBreaks count="1" manualBreakCount="1">
    <brk id="22" max="36" man="1"/>
  </colBreaks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7"/>
  <sheetViews>
    <sheetView zoomScale="90" zoomScaleNormal="90" workbookViewId="0">
      <pane ySplit="1" topLeftCell="A11" activePane="bottomLeft" state="frozen"/>
      <selection/>
      <selection pane="bottomLeft" activeCell="L28" sqref="L28"/>
    </sheetView>
  </sheetViews>
  <sheetFormatPr defaultColWidth="8.71818181818182" defaultRowHeight="14"/>
  <cols>
    <col min="1" max="1" width="13.8909090909091" style="66" customWidth="1"/>
    <col min="2" max="2" width="11.2272727272727" style="63" customWidth="1"/>
    <col min="3" max="3" width="6.25454545454545" style="63" customWidth="1"/>
    <col min="4" max="4" width="5.75454545454545" style="63" customWidth="1"/>
    <col min="5" max="5" width="6.54545454545455" style="63" customWidth="1"/>
    <col min="6" max="6" width="5.25454545454545" style="63" customWidth="1"/>
    <col min="7" max="7" width="6.54545454545455" style="63" customWidth="1"/>
    <col min="8" max="8" width="5.58181818181818" style="63" customWidth="1"/>
    <col min="9" max="9" width="5.75454545454545" style="63" customWidth="1"/>
    <col min="10" max="10" width="5.37272727272727" style="63" customWidth="1"/>
    <col min="11" max="11" width="6.54545454545455" style="63" customWidth="1"/>
    <col min="12" max="12" width="6.23636363636364" style="67" customWidth="1"/>
    <col min="13" max="13" width="6.16363636363636" style="63" customWidth="1"/>
    <col min="14" max="14" width="5.75454545454545" style="63" customWidth="1"/>
    <col min="15" max="15" width="6" style="63" customWidth="1"/>
    <col min="16" max="16" width="5.87272727272727" style="63" customWidth="1"/>
    <col min="17" max="17" width="6.54545454545455" style="63" customWidth="1"/>
    <col min="18" max="18" width="5.37272727272727" style="63" customWidth="1"/>
    <col min="19" max="19" width="7.62727272727273" style="63" customWidth="1"/>
    <col min="20" max="20" width="7.5" style="63" customWidth="1"/>
    <col min="21" max="21" width="9.5" style="63" customWidth="1"/>
    <col min="22" max="22" width="7.6" style="63" customWidth="1"/>
    <col min="23" max="23" width="6.5" style="68" customWidth="1"/>
    <col min="24" max="24" width="5.87272727272727" style="63" customWidth="1"/>
    <col min="25" max="25" width="12.2545454545455" style="63" customWidth="1"/>
    <col min="26" max="251" width="5.87272727272727" style="63" customWidth="1"/>
    <col min="252" max="252" width="5.87272727272727" style="63"/>
    <col min="253" max="16384" width="8.71818181818182" style="63"/>
  </cols>
  <sheetData>
    <row r="1" s="63" customFormat="1" ht="28" customHeight="1" spans="1:23">
      <c r="A1" s="69" t="s">
        <v>637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98"/>
      <c r="M1" s="69"/>
      <c r="N1" s="69"/>
      <c r="O1" s="69"/>
      <c r="P1" s="69"/>
      <c r="Q1" s="69"/>
      <c r="R1" s="69"/>
      <c r="S1" s="69"/>
      <c r="T1" s="69"/>
      <c r="U1" s="69"/>
      <c r="V1" s="69"/>
      <c r="W1" s="112"/>
    </row>
    <row r="2" s="64" customFormat="1" customHeight="1" spans="1:23">
      <c r="A2" s="70" t="s">
        <v>638</v>
      </c>
      <c r="B2" s="70" t="s">
        <v>639</v>
      </c>
      <c r="C2" s="70" t="s">
        <v>640</v>
      </c>
      <c r="D2" s="70"/>
      <c r="E2" s="70"/>
      <c r="F2" s="70"/>
      <c r="G2" s="70"/>
      <c r="H2" s="70"/>
      <c r="I2" s="70"/>
      <c r="J2" s="70"/>
      <c r="K2" s="70"/>
      <c r="L2" s="99"/>
      <c r="M2" s="70"/>
      <c r="N2" s="70"/>
      <c r="O2" s="70"/>
      <c r="P2" s="70"/>
      <c r="Q2" s="70"/>
      <c r="R2" s="70"/>
      <c r="S2" s="70"/>
      <c r="T2" s="70" t="s">
        <v>641</v>
      </c>
      <c r="U2" s="70"/>
      <c r="V2" s="70"/>
      <c r="W2" s="113" t="s">
        <v>642</v>
      </c>
    </row>
    <row r="3" s="63" customFormat="1" customHeight="1" spans="1:23">
      <c r="A3" s="71"/>
      <c r="B3" s="71"/>
      <c r="C3" s="72" t="s">
        <v>114</v>
      </c>
      <c r="D3" s="72" t="s">
        <v>115</v>
      </c>
      <c r="E3" s="72" t="s">
        <v>116</v>
      </c>
      <c r="F3" s="73" t="s">
        <v>643</v>
      </c>
      <c r="G3" s="72" t="s">
        <v>31</v>
      </c>
      <c r="H3" s="72" t="s">
        <v>35</v>
      </c>
      <c r="I3" s="72" t="s">
        <v>51</v>
      </c>
      <c r="J3" s="73" t="s">
        <v>143</v>
      </c>
      <c r="K3" s="72" t="s">
        <v>64</v>
      </c>
      <c r="L3" s="100" t="s">
        <v>73</v>
      </c>
      <c r="M3" s="72" t="s">
        <v>623</v>
      </c>
      <c r="N3" s="73" t="s">
        <v>644</v>
      </c>
      <c r="O3" s="72" t="s">
        <v>624</v>
      </c>
      <c r="P3" s="72" t="s">
        <v>625</v>
      </c>
      <c r="Q3" s="72" t="s">
        <v>626</v>
      </c>
      <c r="R3" s="73" t="s">
        <v>645</v>
      </c>
      <c r="S3" s="72" t="s">
        <v>627</v>
      </c>
      <c r="T3" s="71" t="s">
        <v>207</v>
      </c>
      <c r="U3" s="71" t="s">
        <v>646</v>
      </c>
      <c r="V3" s="71" t="s">
        <v>176</v>
      </c>
      <c r="W3" s="114"/>
    </row>
    <row r="4" s="63" customFormat="1" customHeight="1" spans="1:23">
      <c r="A4" s="71" t="s">
        <v>273</v>
      </c>
      <c r="B4" s="71" t="s">
        <v>273</v>
      </c>
      <c r="C4" s="74">
        <v>95</v>
      </c>
      <c r="D4" s="74">
        <v>96</v>
      </c>
      <c r="E4" s="74">
        <v>152</v>
      </c>
      <c r="F4" s="71">
        <f t="shared" ref="F4:F9" si="0">SUM(C4:E4)</f>
        <v>343</v>
      </c>
      <c r="G4" s="74">
        <v>135</v>
      </c>
      <c r="H4" s="74">
        <v>141</v>
      </c>
      <c r="I4" s="74">
        <v>148</v>
      </c>
      <c r="J4" s="71">
        <f t="shared" ref="J4:J9" si="1">SUM(G4:I4)</f>
        <v>424</v>
      </c>
      <c r="K4" s="74">
        <v>122</v>
      </c>
      <c r="L4" s="101">
        <v>128</v>
      </c>
      <c r="M4" s="74">
        <v>141</v>
      </c>
      <c r="N4" s="71">
        <f t="shared" ref="N4:N9" si="2">SUM(K4:M4)</f>
        <v>391</v>
      </c>
      <c r="O4" s="74">
        <v>155</v>
      </c>
      <c r="P4" s="74">
        <v>157</v>
      </c>
      <c r="Q4" s="74">
        <v>160</v>
      </c>
      <c r="R4" s="71">
        <f t="shared" ref="R4:R9" si="3">SUM(O4:Q4)</f>
        <v>472</v>
      </c>
      <c r="S4" s="115">
        <f t="shared" ref="S4:S9" si="4">F4+J4+N4+R4</f>
        <v>1630</v>
      </c>
      <c r="T4" s="80">
        <v>1500</v>
      </c>
      <c r="U4" s="80">
        <v>1171.633515</v>
      </c>
      <c r="V4" s="116">
        <f t="shared" ref="V4:V10" si="5">U4/T4</f>
        <v>0.78108901</v>
      </c>
      <c r="W4" s="117">
        <f t="shared" ref="W4:W10" si="6">(S4-U4)/U4</f>
        <v>0.391220018147057</v>
      </c>
    </row>
    <row r="5" s="63" customFormat="1" customHeight="1" spans="1:26">
      <c r="A5" s="71" t="s">
        <v>54</v>
      </c>
      <c r="B5" s="71" t="s">
        <v>271</v>
      </c>
      <c r="C5" s="75">
        <v>40</v>
      </c>
      <c r="D5" s="75">
        <v>30</v>
      </c>
      <c r="E5" s="75">
        <v>48</v>
      </c>
      <c r="F5" s="71">
        <f t="shared" si="0"/>
        <v>118</v>
      </c>
      <c r="G5" s="75">
        <v>43</v>
      </c>
      <c r="H5" s="75">
        <v>49</v>
      </c>
      <c r="I5" s="75">
        <v>54</v>
      </c>
      <c r="J5" s="71">
        <f t="shared" si="1"/>
        <v>146</v>
      </c>
      <c r="K5" s="75">
        <v>38</v>
      </c>
      <c r="L5" s="102">
        <v>40</v>
      </c>
      <c r="M5" s="75">
        <v>54</v>
      </c>
      <c r="N5" s="71">
        <f t="shared" si="2"/>
        <v>132</v>
      </c>
      <c r="O5" s="75">
        <v>57</v>
      </c>
      <c r="P5" s="75">
        <v>52</v>
      </c>
      <c r="Q5" s="75">
        <v>55</v>
      </c>
      <c r="R5" s="71">
        <f t="shared" si="3"/>
        <v>164</v>
      </c>
      <c r="S5" s="115">
        <f t="shared" si="4"/>
        <v>560</v>
      </c>
      <c r="T5" s="80">
        <v>500</v>
      </c>
      <c r="U5" s="80">
        <v>365.5019</v>
      </c>
      <c r="V5" s="116">
        <f t="shared" si="5"/>
        <v>0.7310038</v>
      </c>
      <c r="W5" s="117">
        <f t="shared" si="6"/>
        <v>0.532139778206351</v>
      </c>
      <c r="X5" s="118"/>
      <c r="Y5" s="118"/>
      <c r="Z5" s="118"/>
    </row>
    <row r="6" s="63" customFormat="1" customHeight="1" spans="1:26">
      <c r="A6" s="71" t="s">
        <v>39</v>
      </c>
      <c r="B6" s="71" t="s">
        <v>196</v>
      </c>
      <c r="C6" s="75">
        <v>27</v>
      </c>
      <c r="D6" s="75">
        <v>21</v>
      </c>
      <c r="E6" s="75">
        <v>120</v>
      </c>
      <c r="F6" s="71">
        <f t="shared" si="0"/>
        <v>168</v>
      </c>
      <c r="G6" s="75">
        <v>60</v>
      </c>
      <c r="H6" s="75">
        <v>60</v>
      </c>
      <c r="I6" s="75">
        <v>88</v>
      </c>
      <c r="J6" s="71">
        <f t="shared" si="1"/>
        <v>208</v>
      </c>
      <c r="K6" s="75">
        <v>30</v>
      </c>
      <c r="L6" s="102">
        <v>40</v>
      </c>
      <c r="M6" s="75">
        <v>122</v>
      </c>
      <c r="N6" s="71">
        <f t="shared" si="2"/>
        <v>192</v>
      </c>
      <c r="O6" s="75">
        <v>82</v>
      </c>
      <c r="P6" s="75">
        <v>70</v>
      </c>
      <c r="Q6" s="75">
        <v>80</v>
      </c>
      <c r="R6" s="71">
        <f t="shared" si="3"/>
        <v>232</v>
      </c>
      <c r="S6" s="115">
        <f t="shared" si="4"/>
        <v>800</v>
      </c>
      <c r="T6" s="80">
        <v>750</v>
      </c>
      <c r="U6" s="80">
        <v>637.9102</v>
      </c>
      <c r="V6" s="116">
        <f t="shared" si="5"/>
        <v>0.850546933333333</v>
      </c>
      <c r="W6" s="117">
        <f t="shared" si="6"/>
        <v>0.254095012119261</v>
      </c>
      <c r="X6" s="118"/>
      <c r="Y6" s="118"/>
      <c r="Z6" s="118"/>
    </row>
    <row r="7" s="63" customFormat="1" customHeight="1" spans="1:23">
      <c r="A7" s="71" t="s">
        <v>198</v>
      </c>
      <c r="B7" s="71" t="s">
        <v>198</v>
      </c>
      <c r="C7" s="74">
        <v>60</v>
      </c>
      <c r="D7" s="76">
        <v>50</v>
      </c>
      <c r="E7" s="76">
        <v>70</v>
      </c>
      <c r="F7" s="71">
        <f t="shared" si="0"/>
        <v>180</v>
      </c>
      <c r="G7" s="76">
        <v>55</v>
      </c>
      <c r="H7" s="74">
        <v>60</v>
      </c>
      <c r="I7" s="74">
        <v>63</v>
      </c>
      <c r="J7" s="71">
        <f t="shared" si="1"/>
        <v>178</v>
      </c>
      <c r="K7" s="74">
        <v>58</v>
      </c>
      <c r="L7" s="101">
        <v>60</v>
      </c>
      <c r="M7" s="74">
        <v>64</v>
      </c>
      <c r="N7" s="71">
        <f t="shared" si="2"/>
        <v>182</v>
      </c>
      <c r="O7" s="74">
        <v>68</v>
      </c>
      <c r="P7" s="74">
        <v>72</v>
      </c>
      <c r="Q7" s="74">
        <v>80</v>
      </c>
      <c r="R7" s="71">
        <f t="shared" si="3"/>
        <v>220</v>
      </c>
      <c r="S7" s="115">
        <f t="shared" si="4"/>
        <v>760</v>
      </c>
      <c r="T7" s="119">
        <v>1200</v>
      </c>
      <c r="U7" s="120">
        <v>675.557288</v>
      </c>
      <c r="V7" s="116">
        <f t="shared" si="5"/>
        <v>0.562964406666667</v>
      </c>
      <c r="W7" s="117">
        <f t="shared" si="6"/>
        <v>0.124997114974504</v>
      </c>
    </row>
    <row r="8" s="63" customFormat="1" customHeight="1" spans="1:23">
      <c r="A8" s="71" t="s">
        <v>40</v>
      </c>
      <c r="B8" s="71" t="s">
        <v>274</v>
      </c>
      <c r="C8" s="74">
        <v>28</v>
      </c>
      <c r="D8" s="74">
        <v>15</v>
      </c>
      <c r="E8" s="74">
        <v>83</v>
      </c>
      <c r="F8" s="71">
        <f t="shared" si="0"/>
        <v>126</v>
      </c>
      <c r="G8" s="74">
        <v>50</v>
      </c>
      <c r="H8" s="74">
        <v>52</v>
      </c>
      <c r="I8" s="74">
        <v>54</v>
      </c>
      <c r="J8" s="71">
        <f t="shared" si="1"/>
        <v>156</v>
      </c>
      <c r="K8" s="74">
        <v>45</v>
      </c>
      <c r="L8" s="101">
        <v>49</v>
      </c>
      <c r="M8" s="74">
        <v>50</v>
      </c>
      <c r="N8" s="71">
        <f t="shared" si="2"/>
        <v>144</v>
      </c>
      <c r="O8" s="74">
        <v>56</v>
      </c>
      <c r="P8" s="74">
        <v>58</v>
      </c>
      <c r="Q8" s="74">
        <v>60</v>
      </c>
      <c r="R8" s="71">
        <f t="shared" si="3"/>
        <v>174</v>
      </c>
      <c r="S8" s="115">
        <f t="shared" si="4"/>
        <v>600</v>
      </c>
      <c r="T8" s="121">
        <v>500</v>
      </c>
      <c r="U8" s="120">
        <f>212.0265+58.4426</f>
        <v>270.4691</v>
      </c>
      <c r="V8" s="116">
        <f t="shared" si="5"/>
        <v>0.5409382</v>
      </c>
      <c r="W8" s="117">
        <f t="shared" si="6"/>
        <v>1.21836801320373</v>
      </c>
    </row>
    <row r="9" s="63" customFormat="1" customHeight="1" spans="1:23">
      <c r="A9" s="71" t="s">
        <v>374</v>
      </c>
      <c r="B9" s="77"/>
      <c r="C9" s="74"/>
      <c r="D9" s="74"/>
      <c r="E9" s="74"/>
      <c r="F9" s="78">
        <f t="shared" si="0"/>
        <v>0</v>
      </c>
      <c r="G9" s="74"/>
      <c r="H9" s="74"/>
      <c r="I9" s="74"/>
      <c r="J9" s="71">
        <f t="shared" si="1"/>
        <v>0</v>
      </c>
      <c r="K9" s="74"/>
      <c r="L9" s="101"/>
      <c r="M9" s="74"/>
      <c r="N9" s="71">
        <f t="shared" si="2"/>
        <v>0</v>
      </c>
      <c r="O9" s="74"/>
      <c r="P9" s="74"/>
      <c r="Q9" s="74"/>
      <c r="R9" s="71">
        <f t="shared" si="3"/>
        <v>0</v>
      </c>
      <c r="S9" s="122">
        <f t="shared" si="4"/>
        <v>0</v>
      </c>
      <c r="T9" s="77">
        <v>50</v>
      </c>
      <c r="U9" s="87">
        <f>197.654817-58.4426+58.3375</f>
        <v>197.549717</v>
      </c>
      <c r="V9" s="116">
        <f t="shared" si="5"/>
        <v>3.95099434</v>
      </c>
      <c r="W9" s="117">
        <f t="shared" si="6"/>
        <v>-1</v>
      </c>
    </row>
    <row r="10" s="63" customFormat="1" customHeight="1" spans="1:23">
      <c r="A10" s="71" t="s">
        <v>647</v>
      </c>
      <c r="B10" s="79" t="s">
        <v>648</v>
      </c>
      <c r="C10" s="80">
        <f t="shared" ref="C10:S10" si="7">C4+C5+C6+C7+C8</f>
        <v>250</v>
      </c>
      <c r="D10" s="80">
        <f t="shared" si="7"/>
        <v>212</v>
      </c>
      <c r="E10" s="80">
        <f t="shared" si="7"/>
        <v>473</v>
      </c>
      <c r="F10" s="78">
        <f t="shared" si="7"/>
        <v>935</v>
      </c>
      <c r="G10" s="80">
        <f t="shared" si="7"/>
        <v>343</v>
      </c>
      <c r="H10" s="80">
        <f t="shared" si="7"/>
        <v>362</v>
      </c>
      <c r="I10" s="80">
        <f t="shared" si="7"/>
        <v>407</v>
      </c>
      <c r="J10" s="78">
        <f t="shared" si="7"/>
        <v>1112</v>
      </c>
      <c r="K10" s="80">
        <f t="shared" si="7"/>
        <v>293</v>
      </c>
      <c r="L10" s="103">
        <f t="shared" si="7"/>
        <v>317</v>
      </c>
      <c r="M10" s="80">
        <f t="shared" si="7"/>
        <v>431</v>
      </c>
      <c r="N10" s="78">
        <f t="shared" si="7"/>
        <v>1041</v>
      </c>
      <c r="O10" s="80">
        <f t="shared" si="7"/>
        <v>418</v>
      </c>
      <c r="P10" s="80">
        <f t="shared" si="7"/>
        <v>409</v>
      </c>
      <c r="Q10" s="80">
        <f t="shared" si="7"/>
        <v>435</v>
      </c>
      <c r="R10" s="78">
        <f t="shared" si="7"/>
        <v>1262</v>
      </c>
      <c r="S10" s="122">
        <f t="shared" si="7"/>
        <v>4350</v>
      </c>
      <c r="T10" s="78">
        <f>T4+T5+T6+T7+T8+T9</f>
        <v>4500</v>
      </c>
      <c r="U10" s="78">
        <f>U4+U5+U6+U7+U8+U9</f>
        <v>3318.62172</v>
      </c>
      <c r="V10" s="116">
        <f t="shared" si="5"/>
        <v>0.737471493333333</v>
      </c>
      <c r="W10" s="117">
        <f t="shared" si="6"/>
        <v>0.310785129195141</v>
      </c>
    </row>
    <row r="11" s="63" customFormat="1" customHeight="1" spans="1:23">
      <c r="A11" s="71"/>
      <c r="B11" s="77" t="s">
        <v>649</v>
      </c>
      <c r="C11" s="81">
        <f>F10/S10</f>
        <v>0.214942528735632</v>
      </c>
      <c r="D11" s="81"/>
      <c r="E11" s="81"/>
      <c r="F11" s="81"/>
      <c r="G11" s="81">
        <f>J10/S10</f>
        <v>0.255632183908046</v>
      </c>
      <c r="H11" s="81"/>
      <c r="I11" s="81"/>
      <c r="J11" s="81"/>
      <c r="K11" s="89">
        <f>N10/S10</f>
        <v>0.239310344827586</v>
      </c>
      <c r="L11" s="104"/>
      <c r="M11" s="89"/>
      <c r="N11" s="89"/>
      <c r="O11" s="89">
        <f>R10/S10</f>
        <v>0.290114942528736</v>
      </c>
      <c r="P11" s="89"/>
      <c r="Q11" s="89"/>
      <c r="R11" s="89"/>
      <c r="S11" s="77"/>
      <c r="T11" s="77"/>
      <c r="U11" s="77"/>
      <c r="V11" s="123"/>
      <c r="W11" s="124"/>
    </row>
    <row r="12" s="63" customFormat="1" customHeight="1" spans="1:23">
      <c r="A12" s="82"/>
      <c r="B12" s="83" t="s">
        <v>650</v>
      </c>
      <c r="C12" s="84">
        <f>SUM(C11:J11)</f>
        <v>0.470574712643678</v>
      </c>
      <c r="D12" s="84"/>
      <c r="E12" s="84"/>
      <c r="F12" s="84"/>
      <c r="G12" s="84"/>
      <c r="H12" s="84"/>
      <c r="I12" s="84"/>
      <c r="J12" s="84"/>
      <c r="K12" s="84">
        <f>SUM(K11:R11)</f>
        <v>0.529425287356322</v>
      </c>
      <c r="L12" s="105"/>
      <c r="M12" s="84"/>
      <c r="N12" s="84"/>
      <c r="O12" s="84"/>
      <c r="P12" s="84"/>
      <c r="Q12" s="84"/>
      <c r="R12" s="84"/>
      <c r="S12" s="83"/>
      <c r="T12" s="83"/>
      <c r="U12" s="83"/>
      <c r="V12" s="125"/>
      <c r="W12" s="126"/>
    </row>
    <row r="13" customHeight="1"/>
    <row r="14" s="64" customFormat="1" customHeight="1" spans="1:23">
      <c r="A14" s="85" t="s">
        <v>638</v>
      </c>
      <c r="B14" s="85" t="s">
        <v>639</v>
      </c>
      <c r="C14" s="85" t="s">
        <v>640</v>
      </c>
      <c r="D14" s="85"/>
      <c r="E14" s="85"/>
      <c r="F14" s="85"/>
      <c r="G14" s="85"/>
      <c r="H14" s="85"/>
      <c r="I14" s="85"/>
      <c r="J14" s="85"/>
      <c r="K14" s="85"/>
      <c r="L14" s="106"/>
      <c r="M14" s="85"/>
      <c r="N14" s="85"/>
      <c r="O14" s="85"/>
      <c r="P14" s="85"/>
      <c r="Q14" s="85"/>
      <c r="R14" s="85"/>
      <c r="S14" s="85"/>
      <c r="T14" s="85" t="s">
        <v>641</v>
      </c>
      <c r="U14" s="85"/>
      <c r="V14" s="85"/>
      <c r="W14" s="114" t="s">
        <v>642</v>
      </c>
    </row>
    <row r="15" s="63" customFormat="1" customHeight="1" spans="1:23">
      <c r="A15" s="71"/>
      <c r="B15" s="71"/>
      <c r="C15" s="72" t="s">
        <v>114</v>
      </c>
      <c r="D15" s="72" t="s">
        <v>115</v>
      </c>
      <c r="E15" s="72" t="s">
        <v>116</v>
      </c>
      <c r="F15" s="71" t="s">
        <v>643</v>
      </c>
      <c r="G15" s="72" t="s">
        <v>31</v>
      </c>
      <c r="H15" s="72" t="s">
        <v>35</v>
      </c>
      <c r="I15" s="72" t="s">
        <v>51</v>
      </c>
      <c r="J15" s="71" t="s">
        <v>143</v>
      </c>
      <c r="K15" s="72" t="s">
        <v>64</v>
      </c>
      <c r="L15" s="100" t="s">
        <v>73</v>
      </c>
      <c r="M15" s="72" t="s">
        <v>623</v>
      </c>
      <c r="N15" s="71" t="s">
        <v>644</v>
      </c>
      <c r="O15" s="72" t="s">
        <v>624</v>
      </c>
      <c r="P15" s="72" t="s">
        <v>625</v>
      </c>
      <c r="Q15" s="72" t="s">
        <v>626</v>
      </c>
      <c r="R15" s="71" t="s">
        <v>645</v>
      </c>
      <c r="S15" s="72" t="s">
        <v>627</v>
      </c>
      <c r="T15" s="71" t="s">
        <v>207</v>
      </c>
      <c r="U15" s="71" t="s">
        <v>646</v>
      </c>
      <c r="V15" s="71" t="s">
        <v>176</v>
      </c>
      <c r="W15" s="114"/>
    </row>
    <row r="16" s="63" customFormat="1" customHeight="1" spans="1:23">
      <c r="A16" s="71" t="s">
        <v>651</v>
      </c>
      <c r="B16" s="77"/>
      <c r="C16" s="86">
        <f>(2000000*0.074)/10000</f>
        <v>14.8</v>
      </c>
      <c r="D16" s="86">
        <f>(2000000*0.043)/10000</f>
        <v>8.6</v>
      </c>
      <c r="E16" s="86">
        <f>(2000000*0.087)/10000</f>
        <v>17.4</v>
      </c>
      <c r="F16" s="77">
        <f>SUM(C16:E16)</f>
        <v>40.8</v>
      </c>
      <c r="G16" s="86">
        <f>(2000000*0.082)/10000</f>
        <v>16.4</v>
      </c>
      <c r="H16" s="86">
        <f>(2000000*0.092)/10000</f>
        <v>18.4</v>
      </c>
      <c r="I16" s="86">
        <f>(2000000*0.087)/10000</f>
        <v>17.4</v>
      </c>
      <c r="J16" s="77">
        <f>SUM(G16:I16)</f>
        <v>52.2</v>
      </c>
      <c r="K16" s="86">
        <f>(2000000*0.073)/10000</f>
        <v>14.6</v>
      </c>
      <c r="L16" s="107">
        <f>(2000000*0.069)/10000</f>
        <v>13.8</v>
      </c>
      <c r="M16" s="86">
        <f>(2000000*0.093)/10000</f>
        <v>18.6</v>
      </c>
      <c r="N16" s="77">
        <f>SUM(K16:M16)</f>
        <v>47</v>
      </c>
      <c r="O16" s="86">
        <f>(2000000*0.098)/10000</f>
        <v>19.6</v>
      </c>
      <c r="P16" s="86">
        <f>(2000000*0.097)/10000</f>
        <v>19.4</v>
      </c>
      <c r="Q16" s="86">
        <f>(2000000*0.105)/10000</f>
        <v>21</v>
      </c>
      <c r="R16" s="77">
        <f>SUM(O16:Q16)</f>
        <v>60</v>
      </c>
      <c r="S16" s="127">
        <f t="shared" ref="S16:S21" si="8">F16+J16+N16+R16</f>
        <v>200</v>
      </c>
      <c r="T16" s="120">
        <v>200</v>
      </c>
      <c r="U16" s="120">
        <v>171.31</v>
      </c>
      <c r="V16" s="89">
        <f t="shared" ref="V16:V21" si="9">U16/T16</f>
        <v>0.85655</v>
      </c>
      <c r="W16" s="117">
        <f t="shared" ref="W16:W21" si="10">(S16-U16)/U16</f>
        <v>0.167474169633997</v>
      </c>
    </row>
    <row r="17" s="63" customFormat="1" customHeight="1" spans="1:26">
      <c r="A17" s="71" t="s">
        <v>44</v>
      </c>
      <c r="B17" s="77"/>
      <c r="C17" s="86">
        <f>(3100000*0.074)/10000</f>
        <v>22.94</v>
      </c>
      <c r="D17" s="86">
        <f>(3100000*0.043)/10000</f>
        <v>13.33</v>
      </c>
      <c r="E17" s="86">
        <f>(3100000*0.087)/10000</f>
        <v>26.97</v>
      </c>
      <c r="F17" s="87">
        <f>SUM(C17:E17)</f>
        <v>63.24</v>
      </c>
      <c r="G17" s="86">
        <f>(3100000*0.082)/10000</f>
        <v>25.42</v>
      </c>
      <c r="H17" s="86">
        <f>(3100000*0.092)/10000</f>
        <v>28.52</v>
      </c>
      <c r="I17" s="86">
        <f>(3100000*0.087)/10000</f>
        <v>26.97</v>
      </c>
      <c r="J17" s="87">
        <f>SUM(G17:I17)</f>
        <v>80.91</v>
      </c>
      <c r="K17" s="86">
        <f>(3100000*0.073)/10000</f>
        <v>22.63</v>
      </c>
      <c r="L17" s="107">
        <f>(3100000*0.069)/10000</f>
        <v>21.39</v>
      </c>
      <c r="M17" s="86">
        <f>(3100000*0.093)/10000</f>
        <v>28.83</v>
      </c>
      <c r="N17" s="87">
        <f>SUM(K17:M17)</f>
        <v>72.85</v>
      </c>
      <c r="O17" s="86">
        <f>(3100000*0.098)/10000</f>
        <v>30.38</v>
      </c>
      <c r="P17" s="86">
        <f>(3100000*0.097)/10000</f>
        <v>30.07</v>
      </c>
      <c r="Q17" s="86">
        <f>(3100000*0.105)/10000</f>
        <v>32.55</v>
      </c>
      <c r="R17" s="87">
        <f>SUM(O17:Q17)</f>
        <v>93</v>
      </c>
      <c r="S17" s="127">
        <f t="shared" si="8"/>
        <v>310</v>
      </c>
      <c r="T17" s="120">
        <v>244</v>
      </c>
      <c r="U17" s="120">
        <v>228.6636</v>
      </c>
      <c r="V17" s="89">
        <f t="shared" si="9"/>
        <v>0.937145901639344</v>
      </c>
      <c r="W17" s="117">
        <f t="shared" si="10"/>
        <v>0.355703312639178</v>
      </c>
      <c r="X17" s="118"/>
      <c r="Y17" s="118"/>
      <c r="Z17" s="118"/>
    </row>
    <row r="18" s="63" customFormat="1" customHeight="1" spans="1:26">
      <c r="A18" s="71" t="s">
        <v>45</v>
      </c>
      <c r="B18" s="77"/>
      <c r="C18" s="86">
        <v>21.7728</v>
      </c>
      <c r="D18" s="86">
        <v>12.9551</v>
      </c>
      <c r="E18" s="86">
        <v>27.8181</v>
      </c>
      <c r="F18" s="87">
        <f>SUM(C18:E18)</f>
        <v>62.546</v>
      </c>
      <c r="G18" s="86">
        <v>23.7</v>
      </c>
      <c r="H18" s="86">
        <v>24.9</v>
      </c>
      <c r="I18" s="86">
        <v>31.5</v>
      </c>
      <c r="J18" s="87">
        <f>SUM(G18:I18)</f>
        <v>80.1</v>
      </c>
      <c r="K18" s="86">
        <v>22.5</v>
      </c>
      <c r="L18" s="107">
        <v>20.1</v>
      </c>
      <c r="M18" s="86">
        <v>24.92</v>
      </c>
      <c r="N18" s="87">
        <f>SUM(K18:M18)</f>
        <v>67.52</v>
      </c>
      <c r="O18" s="86">
        <v>27.52</v>
      </c>
      <c r="P18" s="86">
        <v>28.63</v>
      </c>
      <c r="Q18" s="86">
        <v>33.684</v>
      </c>
      <c r="R18" s="87">
        <f>SUM(O18:Q18)</f>
        <v>89.834</v>
      </c>
      <c r="S18" s="127">
        <f t="shared" si="8"/>
        <v>300</v>
      </c>
      <c r="T18" s="120">
        <v>270</v>
      </c>
      <c r="U18" s="120">
        <v>217.3237</v>
      </c>
      <c r="V18" s="89">
        <f t="shared" si="9"/>
        <v>0.804902592592593</v>
      </c>
      <c r="W18" s="117">
        <f t="shared" si="10"/>
        <v>0.380429285899329</v>
      </c>
      <c r="X18" s="118"/>
      <c r="Y18" s="118"/>
      <c r="Z18" s="118"/>
    </row>
    <row r="19" s="63" customFormat="1" customHeight="1" spans="1:23">
      <c r="A19" s="71" t="s">
        <v>147</v>
      </c>
      <c r="B19" s="77"/>
      <c r="C19" s="86">
        <f>(3300000*0.074)/10000</f>
        <v>24.42</v>
      </c>
      <c r="D19" s="86">
        <f>(3300000*0.043)/10000</f>
        <v>14.19</v>
      </c>
      <c r="E19" s="86">
        <f>(3300000*0.087)/10000</f>
        <v>28.71</v>
      </c>
      <c r="F19" s="77">
        <f>SUM(C19:E19)</f>
        <v>67.32</v>
      </c>
      <c r="G19" s="86">
        <f>(3300000*0.082)/10000</f>
        <v>27.06</v>
      </c>
      <c r="H19" s="86">
        <f>(3300000*0.092)/10000</f>
        <v>30.36</v>
      </c>
      <c r="I19" s="86">
        <f>(3300000*0.087)/10000</f>
        <v>28.71</v>
      </c>
      <c r="J19" s="77">
        <f>SUM(G19:I19)</f>
        <v>86.13</v>
      </c>
      <c r="K19" s="86">
        <f>(3300000*0.073)/10000</f>
        <v>24.09</v>
      </c>
      <c r="L19" s="107">
        <f>(3300000*0.069)/10000</f>
        <v>22.77</v>
      </c>
      <c r="M19" s="86">
        <f>(3300000*0.093)/10000</f>
        <v>30.69</v>
      </c>
      <c r="N19" s="77">
        <f>SUM(K19:M19)</f>
        <v>77.55</v>
      </c>
      <c r="O19" s="86">
        <f>(3300000*0.098)/10000</f>
        <v>32.34</v>
      </c>
      <c r="P19" s="86">
        <f>(3300000*0.097)/10000</f>
        <v>32.01</v>
      </c>
      <c r="Q19" s="86">
        <f>(3300000*0.105)/10000</f>
        <v>34.65</v>
      </c>
      <c r="R19" s="77">
        <f>SUM(O19:Q19)</f>
        <v>99</v>
      </c>
      <c r="S19" s="127">
        <f t="shared" si="8"/>
        <v>330</v>
      </c>
      <c r="T19" s="119">
        <v>375</v>
      </c>
      <c r="U19" s="120">
        <v>248.345</v>
      </c>
      <c r="V19" s="89">
        <f t="shared" si="9"/>
        <v>0.662253333333333</v>
      </c>
      <c r="W19" s="117">
        <f t="shared" si="10"/>
        <v>0.328796633715195</v>
      </c>
    </row>
    <row r="20" s="63" customFormat="1" customHeight="1" spans="1:23">
      <c r="A20" s="71" t="s">
        <v>374</v>
      </c>
      <c r="B20" s="77"/>
      <c r="C20" s="86">
        <f>(600000*0.074)/10000</f>
        <v>4.44</v>
      </c>
      <c r="D20" s="86">
        <f>(600000*0.043)/10000</f>
        <v>2.58</v>
      </c>
      <c r="E20" s="86">
        <f>(600000*0.087)/10000</f>
        <v>5.22</v>
      </c>
      <c r="F20" s="80">
        <f>SUM(C20:E20)</f>
        <v>12.24</v>
      </c>
      <c r="G20" s="86">
        <f>(600000*0.082)/10000</f>
        <v>4.92</v>
      </c>
      <c r="H20" s="86">
        <f>(600000*0.0921)/10000</f>
        <v>5.526</v>
      </c>
      <c r="I20" s="86">
        <f>(600000*0.087)/10000</f>
        <v>5.22</v>
      </c>
      <c r="J20" s="87">
        <f>SUM(G20:I20)</f>
        <v>15.666</v>
      </c>
      <c r="K20" s="86">
        <f>(600000*0.073)/10000</f>
        <v>4.38</v>
      </c>
      <c r="L20" s="107">
        <f>(600000*0.069)/10000</f>
        <v>4.14</v>
      </c>
      <c r="M20" s="86">
        <f>(600000*0.093)/10000</f>
        <v>5.58</v>
      </c>
      <c r="N20" s="87">
        <f>SUM(K20:M20)</f>
        <v>14.1</v>
      </c>
      <c r="O20" s="86">
        <f>(600000*0.098)/10000</f>
        <v>5.88</v>
      </c>
      <c r="P20" s="86">
        <f>(600000*0.097)/10000</f>
        <v>5.82</v>
      </c>
      <c r="Q20" s="86">
        <v>6.294</v>
      </c>
      <c r="R20" s="87">
        <f>SUM(O20:Q20)</f>
        <v>17.994</v>
      </c>
      <c r="S20" s="128">
        <f t="shared" si="8"/>
        <v>60</v>
      </c>
      <c r="T20" s="77">
        <v>11</v>
      </c>
      <c r="U20" s="87">
        <v>7.1855</v>
      </c>
      <c r="V20" s="89">
        <f t="shared" si="9"/>
        <v>0.653227272727273</v>
      </c>
      <c r="W20" s="117">
        <f t="shared" si="10"/>
        <v>7.35014960684712</v>
      </c>
    </row>
    <row r="21" s="63" customFormat="1" customHeight="1" spans="1:23">
      <c r="A21" s="71" t="s">
        <v>648</v>
      </c>
      <c r="B21" s="88" t="s">
        <v>648</v>
      </c>
      <c r="C21" s="80">
        <f t="shared" ref="C21:R21" si="11">C19+C17+C16+C20+C18</f>
        <v>88.3728</v>
      </c>
      <c r="D21" s="80">
        <f t="shared" si="11"/>
        <v>51.6551</v>
      </c>
      <c r="E21" s="80">
        <f t="shared" si="11"/>
        <v>106.1181</v>
      </c>
      <c r="F21" s="80">
        <f t="shared" si="11"/>
        <v>246.146</v>
      </c>
      <c r="G21" s="80">
        <f t="shared" si="11"/>
        <v>97.5</v>
      </c>
      <c r="H21" s="80">
        <f t="shared" si="11"/>
        <v>107.706</v>
      </c>
      <c r="I21" s="80">
        <f t="shared" si="11"/>
        <v>109.8</v>
      </c>
      <c r="J21" s="80">
        <f t="shared" si="11"/>
        <v>315.006</v>
      </c>
      <c r="K21" s="80">
        <f t="shared" si="11"/>
        <v>88.2</v>
      </c>
      <c r="L21" s="103">
        <f t="shared" si="11"/>
        <v>82.2</v>
      </c>
      <c r="M21" s="80">
        <f t="shared" si="11"/>
        <v>108.62</v>
      </c>
      <c r="N21" s="80">
        <f t="shared" si="11"/>
        <v>279.02</v>
      </c>
      <c r="O21" s="80">
        <f t="shared" si="11"/>
        <v>115.72</v>
      </c>
      <c r="P21" s="80">
        <f t="shared" si="11"/>
        <v>115.93</v>
      </c>
      <c r="Q21" s="80">
        <f t="shared" si="11"/>
        <v>128.178</v>
      </c>
      <c r="R21" s="80">
        <f t="shared" si="11"/>
        <v>359.828</v>
      </c>
      <c r="S21" s="128">
        <f t="shared" si="8"/>
        <v>1200</v>
      </c>
      <c r="T21" s="80">
        <f>T19+T17+T16+T20+T18</f>
        <v>1100</v>
      </c>
      <c r="U21" s="80">
        <f>U19+U17+U16+U20+U18</f>
        <v>872.8278</v>
      </c>
      <c r="V21" s="89">
        <f t="shared" si="9"/>
        <v>0.793479818181818</v>
      </c>
      <c r="W21" s="117">
        <f t="shared" si="10"/>
        <v>0.374841635429119</v>
      </c>
    </row>
    <row r="22" s="63" customFormat="1" customHeight="1" spans="1:23">
      <c r="A22" s="71"/>
      <c r="B22" s="77" t="s">
        <v>649</v>
      </c>
      <c r="C22" s="89">
        <f>F21/S21</f>
        <v>0.205121666666667</v>
      </c>
      <c r="D22" s="89"/>
      <c r="E22" s="89"/>
      <c r="F22" s="89"/>
      <c r="G22" s="89">
        <f>J21/S21</f>
        <v>0.262505</v>
      </c>
      <c r="H22" s="89"/>
      <c r="I22" s="89"/>
      <c r="J22" s="89"/>
      <c r="K22" s="89">
        <f>N21/S21</f>
        <v>0.232516666666667</v>
      </c>
      <c r="L22" s="104"/>
      <c r="M22" s="89"/>
      <c r="N22" s="89"/>
      <c r="O22" s="89">
        <f>R21/S21</f>
        <v>0.299856666666667</v>
      </c>
      <c r="P22" s="89"/>
      <c r="Q22" s="89"/>
      <c r="R22" s="89"/>
      <c r="S22" s="77"/>
      <c r="T22" s="77"/>
      <c r="U22" s="77"/>
      <c r="V22" s="123"/>
      <c r="W22" s="124"/>
    </row>
    <row r="23" s="63" customFormat="1" customHeight="1" spans="1:23">
      <c r="A23" s="90"/>
      <c r="B23" s="91" t="s">
        <v>650</v>
      </c>
      <c r="C23" s="92">
        <f>SUM(C22:J22)</f>
        <v>0.467626666666667</v>
      </c>
      <c r="D23" s="92"/>
      <c r="E23" s="92"/>
      <c r="F23" s="92"/>
      <c r="G23" s="92"/>
      <c r="H23" s="92"/>
      <c r="I23" s="92"/>
      <c r="J23" s="92"/>
      <c r="K23" s="92">
        <f>SUM(K22:R22)</f>
        <v>0.532373333333333</v>
      </c>
      <c r="L23" s="108"/>
      <c r="M23" s="92"/>
      <c r="N23" s="92"/>
      <c r="O23" s="92"/>
      <c r="P23" s="92"/>
      <c r="Q23" s="92"/>
      <c r="R23" s="92"/>
      <c r="S23" s="91"/>
      <c r="T23" s="91"/>
      <c r="U23" s="91"/>
      <c r="V23" s="129"/>
      <c r="W23" s="130"/>
    </row>
    <row r="24" customHeight="1"/>
    <row r="25" s="65" customFormat="1" customHeight="1" spans="1:23">
      <c r="A25" s="85" t="s">
        <v>638</v>
      </c>
      <c r="B25" s="85" t="s">
        <v>639</v>
      </c>
      <c r="C25" s="85" t="s">
        <v>640</v>
      </c>
      <c r="D25" s="85"/>
      <c r="E25" s="85"/>
      <c r="F25" s="85"/>
      <c r="G25" s="85"/>
      <c r="H25" s="85"/>
      <c r="I25" s="85"/>
      <c r="J25" s="85"/>
      <c r="K25" s="85"/>
      <c r="L25" s="106"/>
      <c r="M25" s="85"/>
      <c r="N25" s="85"/>
      <c r="O25" s="85"/>
      <c r="P25" s="85"/>
      <c r="Q25" s="85"/>
      <c r="R25" s="85"/>
      <c r="S25" s="85"/>
      <c r="T25" s="85" t="s">
        <v>641</v>
      </c>
      <c r="U25" s="85"/>
      <c r="V25" s="85"/>
      <c r="W25" s="131" t="s">
        <v>642</v>
      </c>
    </row>
    <row r="26" s="65" customFormat="1" customHeight="1" spans="1:23">
      <c r="A26" s="71"/>
      <c r="B26" s="71"/>
      <c r="C26" s="72" t="s">
        <v>114</v>
      </c>
      <c r="D26" s="72" t="s">
        <v>115</v>
      </c>
      <c r="E26" s="72" t="s">
        <v>116</v>
      </c>
      <c r="F26" s="71" t="s">
        <v>643</v>
      </c>
      <c r="G26" s="72" t="s">
        <v>31</v>
      </c>
      <c r="H26" s="72" t="s">
        <v>35</v>
      </c>
      <c r="I26" s="72" t="s">
        <v>51</v>
      </c>
      <c r="J26" s="71" t="s">
        <v>143</v>
      </c>
      <c r="K26" s="72" t="s">
        <v>64</v>
      </c>
      <c r="L26" s="100" t="s">
        <v>73</v>
      </c>
      <c r="M26" s="72" t="s">
        <v>623</v>
      </c>
      <c r="N26" s="71" t="s">
        <v>644</v>
      </c>
      <c r="O26" s="72" t="s">
        <v>624</v>
      </c>
      <c r="P26" s="72" t="s">
        <v>625</v>
      </c>
      <c r="Q26" s="72" t="s">
        <v>626</v>
      </c>
      <c r="R26" s="71" t="s">
        <v>645</v>
      </c>
      <c r="S26" s="72" t="s">
        <v>627</v>
      </c>
      <c r="T26" s="71" t="s">
        <v>207</v>
      </c>
      <c r="U26" s="71" t="s">
        <v>646</v>
      </c>
      <c r="V26" s="71" t="s">
        <v>176</v>
      </c>
      <c r="W26" s="131"/>
    </row>
    <row r="27" s="65" customFormat="1" customHeight="1" spans="1:26">
      <c r="A27" s="71"/>
      <c r="B27" s="71" t="s">
        <v>467</v>
      </c>
      <c r="C27" s="93">
        <v>5</v>
      </c>
      <c r="D27" s="93">
        <v>3</v>
      </c>
      <c r="E27" s="93">
        <v>8</v>
      </c>
      <c r="F27" s="94">
        <f>C27+D27+E27</f>
        <v>16</v>
      </c>
      <c r="G27" s="93">
        <v>6</v>
      </c>
      <c r="H27" s="93">
        <v>9</v>
      </c>
      <c r="I27" s="93">
        <v>7</v>
      </c>
      <c r="J27" s="94">
        <f>G27+H27+I27</f>
        <v>22</v>
      </c>
      <c r="K27" s="93">
        <v>6</v>
      </c>
      <c r="L27" s="109">
        <v>7</v>
      </c>
      <c r="M27" s="93">
        <v>6</v>
      </c>
      <c r="N27" s="94">
        <f>K27+L27+M27</f>
        <v>19</v>
      </c>
      <c r="O27" s="93">
        <v>6</v>
      </c>
      <c r="P27" s="93">
        <v>8</v>
      </c>
      <c r="Q27" s="93">
        <v>9</v>
      </c>
      <c r="R27" s="94">
        <f>O27+P27+Q27</f>
        <v>23</v>
      </c>
      <c r="S27" s="93">
        <f>F27+J27+N27+R27</f>
        <v>80</v>
      </c>
      <c r="T27" s="80"/>
      <c r="U27" s="80"/>
      <c r="V27" s="116"/>
      <c r="W27" s="132"/>
      <c r="X27" s="133"/>
      <c r="Y27" s="133"/>
      <c r="Z27" s="133"/>
    </row>
    <row r="28" s="65" customFormat="1" customHeight="1" spans="1:23">
      <c r="A28" s="71" t="s">
        <v>68</v>
      </c>
      <c r="B28" s="71" t="s">
        <v>652</v>
      </c>
      <c r="C28" s="95">
        <v>40</v>
      </c>
      <c r="D28" s="95">
        <v>33</v>
      </c>
      <c r="E28" s="95">
        <v>22</v>
      </c>
      <c r="F28" s="96">
        <f t="shared" ref="F28:F33" si="12">SUM(C28:E28)</f>
        <v>95</v>
      </c>
      <c r="G28" s="95">
        <v>40</v>
      </c>
      <c r="H28" s="95">
        <v>40</v>
      </c>
      <c r="I28" s="95">
        <v>65</v>
      </c>
      <c r="J28" s="94">
        <f t="shared" ref="J28:J33" si="13">SUM(G28:I28)</f>
        <v>145</v>
      </c>
      <c r="K28" s="95">
        <v>35</v>
      </c>
      <c r="L28" s="110">
        <v>40</v>
      </c>
      <c r="M28" s="95">
        <v>35</v>
      </c>
      <c r="N28" s="94">
        <f t="shared" ref="N28:N33" si="14">SUM(K28:M28)</f>
        <v>110</v>
      </c>
      <c r="O28" s="95">
        <v>40</v>
      </c>
      <c r="P28" s="95">
        <v>60</v>
      </c>
      <c r="Q28" s="95">
        <v>60</v>
      </c>
      <c r="R28" s="94">
        <f t="shared" ref="R28:R33" si="15">SUM(O28:Q28)</f>
        <v>160</v>
      </c>
      <c r="S28" s="94">
        <f t="shared" ref="S28:S33" si="16">R28+N28+J28+F28</f>
        <v>510</v>
      </c>
      <c r="T28" s="80">
        <v>650</v>
      </c>
      <c r="U28" s="80">
        <v>402.939314</v>
      </c>
      <c r="V28" s="116">
        <f>U28/T28</f>
        <v>0.619906636923077</v>
      </c>
      <c r="W28" s="132">
        <f>(S28-U28)/U28</f>
        <v>0.265699280959217</v>
      </c>
    </row>
    <row r="29" s="65" customFormat="1" customHeight="1" spans="1:26">
      <c r="A29" s="71" t="s">
        <v>70</v>
      </c>
      <c r="B29" s="71" t="s">
        <v>281</v>
      </c>
      <c r="C29" s="95">
        <v>9</v>
      </c>
      <c r="D29" s="95">
        <v>5</v>
      </c>
      <c r="E29" s="95">
        <v>14</v>
      </c>
      <c r="F29" s="96">
        <f t="shared" si="12"/>
        <v>28</v>
      </c>
      <c r="G29" s="95">
        <v>8</v>
      </c>
      <c r="H29" s="95">
        <v>14</v>
      </c>
      <c r="I29" s="95">
        <v>16</v>
      </c>
      <c r="J29" s="94">
        <f t="shared" si="13"/>
        <v>38</v>
      </c>
      <c r="K29" s="95">
        <v>10</v>
      </c>
      <c r="L29" s="110">
        <v>5</v>
      </c>
      <c r="M29" s="95">
        <v>12</v>
      </c>
      <c r="N29" s="94">
        <f t="shared" si="14"/>
        <v>27</v>
      </c>
      <c r="O29" s="95">
        <v>17</v>
      </c>
      <c r="P29" s="95">
        <v>22</v>
      </c>
      <c r="Q29" s="95">
        <v>8</v>
      </c>
      <c r="R29" s="94">
        <f t="shared" si="15"/>
        <v>47</v>
      </c>
      <c r="S29" s="96">
        <f t="shared" si="16"/>
        <v>140</v>
      </c>
      <c r="T29" s="80">
        <v>130</v>
      </c>
      <c r="U29" s="80">
        <v>102.344182</v>
      </c>
      <c r="V29" s="116">
        <f>U29/T29</f>
        <v>0.787262938461538</v>
      </c>
      <c r="W29" s="132">
        <f>(S29-U29)/U29</f>
        <v>0.367933157157873</v>
      </c>
      <c r="X29" s="133"/>
      <c r="Y29" s="133"/>
      <c r="Z29" s="133"/>
    </row>
    <row r="30" s="65" customFormat="1" customHeight="1" spans="1:26">
      <c r="A30" s="71"/>
      <c r="B30" s="71" t="s">
        <v>653</v>
      </c>
      <c r="C30" s="95">
        <v>4</v>
      </c>
      <c r="D30" s="95">
        <v>2</v>
      </c>
      <c r="E30" s="95">
        <v>4.5</v>
      </c>
      <c r="F30" s="96">
        <f t="shared" si="12"/>
        <v>10.5</v>
      </c>
      <c r="G30" s="95">
        <v>4</v>
      </c>
      <c r="H30" s="95">
        <v>5</v>
      </c>
      <c r="I30" s="95">
        <v>4</v>
      </c>
      <c r="J30" s="94">
        <f t="shared" si="13"/>
        <v>13</v>
      </c>
      <c r="K30" s="95">
        <v>4</v>
      </c>
      <c r="L30" s="110">
        <v>3</v>
      </c>
      <c r="M30" s="95">
        <v>5</v>
      </c>
      <c r="N30" s="94">
        <f t="shared" si="14"/>
        <v>12</v>
      </c>
      <c r="O30" s="95">
        <v>5</v>
      </c>
      <c r="P30" s="95">
        <v>4.5</v>
      </c>
      <c r="Q30" s="95">
        <v>5</v>
      </c>
      <c r="R30" s="94">
        <f t="shared" si="15"/>
        <v>14.5</v>
      </c>
      <c r="S30" s="71">
        <f t="shared" si="16"/>
        <v>50</v>
      </c>
      <c r="T30" s="80"/>
      <c r="U30" s="80"/>
      <c r="V30" s="116"/>
      <c r="W30" s="132"/>
      <c r="X30" s="133"/>
      <c r="Y30" s="133"/>
      <c r="Z30" s="133"/>
    </row>
    <row r="31" s="65" customFormat="1" customHeight="1" spans="1:26">
      <c r="A31" s="71"/>
      <c r="B31" s="71" t="s">
        <v>654</v>
      </c>
      <c r="C31" s="95">
        <v>7</v>
      </c>
      <c r="D31" s="95">
        <v>4</v>
      </c>
      <c r="E31" s="95">
        <v>9</v>
      </c>
      <c r="F31" s="96">
        <f t="shared" si="12"/>
        <v>20</v>
      </c>
      <c r="G31" s="95">
        <v>8</v>
      </c>
      <c r="H31" s="95">
        <v>9</v>
      </c>
      <c r="I31" s="95">
        <v>10</v>
      </c>
      <c r="J31" s="94">
        <f t="shared" si="13"/>
        <v>27</v>
      </c>
      <c r="K31" s="95">
        <v>7</v>
      </c>
      <c r="L31" s="110">
        <v>7</v>
      </c>
      <c r="M31" s="95">
        <v>9</v>
      </c>
      <c r="N31" s="94">
        <f t="shared" si="14"/>
        <v>23</v>
      </c>
      <c r="O31" s="95">
        <v>10</v>
      </c>
      <c r="P31" s="95">
        <v>10</v>
      </c>
      <c r="Q31" s="95">
        <v>10</v>
      </c>
      <c r="R31" s="94">
        <f t="shared" si="15"/>
        <v>30</v>
      </c>
      <c r="S31" s="94">
        <f t="shared" si="16"/>
        <v>100</v>
      </c>
      <c r="T31" s="80"/>
      <c r="U31" s="80"/>
      <c r="V31" s="116"/>
      <c r="W31" s="132"/>
      <c r="X31" s="133"/>
      <c r="Y31" s="133"/>
      <c r="Z31" s="133"/>
    </row>
    <row r="32" s="65" customFormat="1" customHeight="1" spans="1:26">
      <c r="A32" s="71"/>
      <c r="B32" s="71" t="s">
        <v>655</v>
      </c>
      <c r="C32" s="95">
        <v>5</v>
      </c>
      <c r="D32" s="95">
        <v>3</v>
      </c>
      <c r="E32" s="95">
        <v>7</v>
      </c>
      <c r="F32" s="96">
        <f t="shared" si="12"/>
        <v>15</v>
      </c>
      <c r="G32" s="95">
        <v>6</v>
      </c>
      <c r="H32" s="95">
        <v>6</v>
      </c>
      <c r="I32" s="95">
        <v>6</v>
      </c>
      <c r="J32" s="94">
        <f t="shared" si="13"/>
        <v>18</v>
      </c>
      <c r="K32" s="95">
        <v>5</v>
      </c>
      <c r="L32" s="110">
        <v>5</v>
      </c>
      <c r="M32" s="95">
        <v>7</v>
      </c>
      <c r="N32" s="94">
        <f t="shared" si="14"/>
        <v>17</v>
      </c>
      <c r="O32" s="95">
        <v>7</v>
      </c>
      <c r="P32" s="95">
        <v>7</v>
      </c>
      <c r="Q32" s="95">
        <v>6</v>
      </c>
      <c r="R32" s="94">
        <f t="shared" si="15"/>
        <v>20</v>
      </c>
      <c r="S32" s="94">
        <f t="shared" si="16"/>
        <v>70</v>
      </c>
      <c r="T32" s="80"/>
      <c r="U32" s="80"/>
      <c r="V32" s="116"/>
      <c r="W32" s="132"/>
      <c r="X32" s="133"/>
      <c r="Y32" s="133"/>
      <c r="Z32" s="133"/>
    </row>
    <row r="33" s="65" customFormat="1" customHeight="1" spans="1:23">
      <c r="A33" s="71" t="s">
        <v>374</v>
      </c>
      <c r="B33" s="77"/>
      <c r="C33" s="74">
        <v>4</v>
      </c>
      <c r="D33" s="74">
        <v>2</v>
      </c>
      <c r="E33" s="74">
        <v>4</v>
      </c>
      <c r="F33" s="78">
        <f t="shared" si="12"/>
        <v>10</v>
      </c>
      <c r="G33" s="74">
        <v>4</v>
      </c>
      <c r="H33" s="74">
        <v>5</v>
      </c>
      <c r="I33" s="74">
        <v>4</v>
      </c>
      <c r="J33" s="71">
        <f t="shared" si="13"/>
        <v>13</v>
      </c>
      <c r="K33" s="74">
        <v>4</v>
      </c>
      <c r="L33" s="101">
        <v>3</v>
      </c>
      <c r="M33" s="74">
        <v>5</v>
      </c>
      <c r="N33" s="71">
        <f t="shared" si="14"/>
        <v>12</v>
      </c>
      <c r="O33" s="74">
        <v>5</v>
      </c>
      <c r="P33" s="74">
        <v>5</v>
      </c>
      <c r="Q33" s="74">
        <v>5</v>
      </c>
      <c r="R33" s="71">
        <f t="shared" si="15"/>
        <v>15</v>
      </c>
      <c r="S33" s="71">
        <f t="shared" si="16"/>
        <v>50</v>
      </c>
      <c r="T33" s="77">
        <v>100</v>
      </c>
      <c r="U33" s="80">
        <v>44.695074</v>
      </c>
      <c r="V33" s="116">
        <f>U33/T33</f>
        <v>0.44695074</v>
      </c>
      <c r="W33" s="132">
        <f>(S33-U33)/U33</f>
        <v>0.118691513968631</v>
      </c>
    </row>
    <row r="34" s="65" customFormat="1" customHeight="1" spans="1:24">
      <c r="A34" s="71" t="s">
        <v>648</v>
      </c>
      <c r="B34" s="79" t="s">
        <v>648</v>
      </c>
      <c r="C34" s="80">
        <f>SUM(C27:C33)</f>
        <v>74</v>
      </c>
      <c r="D34" s="80">
        <f t="shared" ref="D34:W34" si="17">SUM(D27:D33)</f>
        <v>52</v>
      </c>
      <c r="E34" s="80">
        <f t="shared" si="17"/>
        <v>68.5</v>
      </c>
      <c r="F34" s="80">
        <f t="shared" si="17"/>
        <v>194.5</v>
      </c>
      <c r="G34" s="80">
        <f t="shared" si="17"/>
        <v>76</v>
      </c>
      <c r="H34" s="80">
        <f t="shared" si="17"/>
        <v>88</v>
      </c>
      <c r="I34" s="80">
        <f t="shared" si="17"/>
        <v>112</v>
      </c>
      <c r="J34" s="80">
        <f t="shared" si="17"/>
        <v>276</v>
      </c>
      <c r="K34" s="80">
        <f t="shared" si="17"/>
        <v>71</v>
      </c>
      <c r="L34" s="103">
        <f t="shared" si="17"/>
        <v>70</v>
      </c>
      <c r="M34" s="80">
        <f t="shared" si="17"/>
        <v>79</v>
      </c>
      <c r="N34" s="80">
        <f t="shared" si="17"/>
        <v>220</v>
      </c>
      <c r="O34" s="80">
        <f t="shared" si="17"/>
        <v>90</v>
      </c>
      <c r="P34" s="80">
        <f t="shared" si="17"/>
        <v>116.5</v>
      </c>
      <c r="Q34" s="80">
        <f t="shared" si="17"/>
        <v>103</v>
      </c>
      <c r="R34" s="80">
        <f t="shared" si="17"/>
        <v>309.5</v>
      </c>
      <c r="S34" s="80">
        <f t="shared" si="17"/>
        <v>1000</v>
      </c>
      <c r="T34" s="80">
        <f t="shared" si="17"/>
        <v>880</v>
      </c>
      <c r="U34" s="80">
        <f t="shared" si="17"/>
        <v>549.97857</v>
      </c>
      <c r="V34" s="134">
        <f>U34/T34</f>
        <v>0.624975647727273</v>
      </c>
      <c r="W34" s="132">
        <f>(S34-U34)/U34</f>
        <v>0.818252663917432</v>
      </c>
      <c r="X34" s="80"/>
    </row>
    <row r="35" s="65" customFormat="1" customHeight="1" spans="1:23">
      <c r="A35" s="71"/>
      <c r="B35" s="77" t="s">
        <v>649</v>
      </c>
      <c r="C35" s="81">
        <f>F34/S34</f>
        <v>0.1945</v>
      </c>
      <c r="D35" s="81"/>
      <c r="E35" s="81"/>
      <c r="F35" s="81"/>
      <c r="G35" s="81">
        <f>J34/S34</f>
        <v>0.276</v>
      </c>
      <c r="H35" s="81"/>
      <c r="I35" s="81"/>
      <c r="J35" s="81"/>
      <c r="K35" s="81">
        <f>N34/S34</f>
        <v>0.22</v>
      </c>
      <c r="L35" s="111"/>
      <c r="M35" s="81"/>
      <c r="N35" s="81"/>
      <c r="O35" s="81">
        <f>R34/S34</f>
        <v>0.3095</v>
      </c>
      <c r="P35" s="81"/>
      <c r="Q35" s="81"/>
      <c r="R35" s="81"/>
      <c r="S35" s="77"/>
      <c r="T35" s="77"/>
      <c r="U35" s="77"/>
      <c r="V35" s="123"/>
      <c r="W35" s="135"/>
    </row>
    <row r="36" s="65" customFormat="1" customHeight="1" spans="1:23">
      <c r="A36" s="90"/>
      <c r="B36" s="91" t="s">
        <v>650</v>
      </c>
      <c r="C36" s="97">
        <f>SUM(C35:J35)</f>
        <v>0.4705</v>
      </c>
      <c r="D36" s="97"/>
      <c r="E36" s="97"/>
      <c r="F36" s="97"/>
      <c r="G36" s="97"/>
      <c r="H36" s="97"/>
      <c r="I36" s="97"/>
      <c r="J36" s="97"/>
      <c r="K36" s="92">
        <f>SUM(K35:R35)</f>
        <v>0.5295</v>
      </c>
      <c r="L36" s="108"/>
      <c r="M36" s="92"/>
      <c r="N36" s="92"/>
      <c r="O36" s="92"/>
      <c r="P36" s="92"/>
      <c r="Q36" s="92"/>
      <c r="R36" s="92"/>
      <c r="S36" s="91"/>
      <c r="T36" s="91"/>
      <c r="U36" s="91"/>
      <c r="V36" s="129"/>
      <c r="W36" s="136"/>
    </row>
    <row r="37" s="63" customFormat="1" spans="1:23">
      <c r="A37" s="66"/>
      <c r="B37" s="63" t="s">
        <v>656</v>
      </c>
      <c r="C37" s="95">
        <v>3</v>
      </c>
      <c r="D37" s="95">
        <v>3</v>
      </c>
      <c r="E37" s="95">
        <v>4</v>
      </c>
      <c r="F37" s="96">
        <f>C37+D37+E37</f>
        <v>10</v>
      </c>
      <c r="G37" s="95">
        <v>4</v>
      </c>
      <c r="H37" s="95">
        <v>5</v>
      </c>
      <c r="I37" s="95">
        <v>4</v>
      </c>
      <c r="J37" s="94">
        <f>G37+H37+I37</f>
        <v>13</v>
      </c>
      <c r="K37" s="95">
        <v>5</v>
      </c>
      <c r="L37" s="110">
        <v>5</v>
      </c>
      <c r="M37" s="95">
        <v>10</v>
      </c>
      <c r="N37" s="94">
        <f>K37+L37+M37</f>
        <v>20</v>
      </c>
      <c r="O37" s="95">
        <v>8</v>
      </c>
      <c r="P37" s="95">
        <v>9</v>
      </c>
      <c r="Q37" s="95">
        <v>10</v>
      </c>
      <c r="R37" s="94">
        <f>O37+P37+Q37</f>
        <v>27</v>
      </c>
      <c r="S37" s="96">
        <f>F37+J37+N37+R37</f>
        <v>70</v>
      </c>
      <c r="W37" s="68"/>
    </row>
  </sheetData>
  <mergeCells count="37">
    <mergeCell ref="A1:V1"/>
    <mergeCell ref="C2:S2"/>
    <mergeCell ref="T2:V2"/>
    <mergeCell ref="C11:F11"/>
    <mergeCell ref="G11:J11"/>
    <mergeCell ref="K11:N11"/>
    <mergeCell ref="O11:R11"/>
    <mergeCell ref="C12:J12"/>
    <mergeCell ref="K12:R12"/>
    <mergeCell ref="C14:S14"/>
    <mergeCell ref="T14:V14"/>
    <mergeCell ref="C22:F22"/>
    <mergeCell ref="G22:J22"/>
    <mergeCell ref="K22:N22"/>
    <mergeCell ref="O22:R22"/>
    <mergeCell ref="C23:J23"/>
    <mergeCell ref="K23:R23"/>
    <mergeCell ref="C25:S25"/>
    <mergeCell ref="T25:V25"/>
    <mergeCell ref="C35:F35"/>
    <mergeCell ref="G35:J35"/>
    <mergeCell ref="K35:N35"/>
    <mergeCell ref="O35:R35"/>
    <mergeCell ref="C36:J36"/>
    <mergeCell ref="K36:R36"/>
    <mergeCell ref="A2:A3"/>
    <mergeCell ref="A10:A12"/>
    <mergeCell ref="A14:A15"/>
    <mergeCell ref="A21:A23"/>
    <mergeCell ref="A25:A26"/>
    <mergeCell ref="A34:A36"/>
    <mergeCell ref="B2:B3"/>
    <mergeCell ref="B14:B15"/>
    <mergeCell ref="B25:B26"/>
    <mergeCell ref="W2:W3"/>
    <mergeCell ref="W14:W15"/>
    <mergeCell ref="W25:W26"/>
  </mergeCells>
  <pageMargins left="0.75" right="0.75" top="1" bottom="1" header="0.5" footer="0.5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33"/>
  <sheetViews>
    <sheetView workbookViewId="0">
      <selection activeCell="B1" sqref="B1:O12"/>
    </sheetView>
  </sheetViews>
  <sheetFormatPr defaultColWidth="9" defaultRowHeight="14"/>
  <cols>
    <col min="1" max="1" width="9" style="45"/>
    <col min="2" max="2" width="22.5" style="45" customWidth="1"/>
    <col min="3" max="3" width="10.3727272727273" style="45"/>
    <col min="4" max="14" width="9" style="45"/>
    <col min="15" max="15" width="9.37272727272727" style="45"/>
    <col min="16" max="16384" width="9" style="45"/>
  </cols>
  <sheetData>
    <row r="1" ht="21.95" customHeight="1" spans="1:15">
      <c r="A1" s="46" t="s">
        <v>639</v>
      </c>
      <c r="B1" s="47" t="s">
        <v>630</v>
      </c>
      <c r="C1" s="48" t="s">
        <v>657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ht="21.95" customHeight="1" spans="1:30">
      <c r="A2" s="46"/>
      <c r="B2" s="47"/>
      <c r="C2" s="49" t="s">
        <v>114</v>
      </c>
      <c r="D2" s="49" t="s">
        <v>115</v>
      </c>
      <c r="E2" s="49" t="s">
        <v>116</v>
      </c>
      <c r="F2" s="49" t="s">
        <v>31</v>
      </c>
      <c r="G2" s="49" t="s">
        <v>35</v>
      </c>
      <c r="H2" s="49" t="s">
        <v>51</v>
      </c>
      <c r="I2" s="49" t="s">
        <v>64</v>
      </c>
      <c r="J2" s="49" t="s">
        <v>73</v>
      </c>
      <c r="K2" s="49" t="s">
        <v>623</v>
      </c>
      <c r="L2" s="49" t="s">
        <v>624</v>
      </c>
      <c r="M2" s="49" t="s">
        <v>625</v>
      </c>
      <c r="N2" s="49" t="s">
        <v>626</v>
      </c>
      <c r="O2" s="49" t="s">
        <v>627</v>
      </c>
      <c r="R2" s="49" t="s">
        <v>114</v>
      </c>
      <c r="S2" s="49" t="s">
        <v>115</v>
      </c>
      <c r="T2" s="49" t="s">
        <v>116</v>
      </c>
      <c r="U2" s="49" t="s">
        <v>31</v>
      </c>
      <c r="V2" s="49" t="s">
        <v>35</v>
      </c>
      <c r="W2" s="49" t="s">
        <v>51</v>
      </c>
      <c r="X2" s="49" t="s">
        <v>64</v>
      </c>
      <c r="Y2" s="49" t="s">
        <v>73</v>
      </c>
      <c r="Z2" s="49" t="s">
        <v>623</v>
      </c>
      <c r="AA2" s="49" t="s">
        <v>624</v>
      </c>
      <c r="AB2" s="49" t="s">
        <v>625</v>
      </c>
      <c r="AC2" s="49" t="s">
        <v>626</v>
      </c>
      <c r="AD2" s="49" t="s">
        <v>627</v>
      </c>
    </row>
    <row r="3" ht="21.95" hidden="1" customHeight="1" spans="1:15">
      <c r="A3" s="50"/>
      <c r="B3" s="51"/>
      <c r="C3" s="52">
        <v>0.05</v>
      </c>
      <c r="D3" s="52">
        <v>0.06</v>
      </c>
      <c r="E3" s="52">
        <v>0.09</v>
      </c>
      <c r="F3" s="52">
        <v>0.08</v>
      </c>
      <c r="G3" s="52">
        <v>0.1</v>
      </c>
      <c r="H3" s="52">
        <v>0.08</v>
      </c>
      <c r="I3" s="52">
        <v>0.07</v>
      </c>
      <c r="J3" s="52">
        <v>0.06</v>
      </c>
      <c r="K3" s="52">
        <v>0.09</v>
      </c>
      <c r="L3" s="52">
        <v>0.11</v>
      </c>
      <c r="M3" s="52">
        <v>0.1</v>
      </c>
      <c r="N3" s="52">
        <v>0.11</v>
      </c>
      <c r="O3" s="61">
        <f>N3+M3+L3+K3+J3+I3+H3+G3+F3+E3+D3+C3</f>
        <v>1</v>
      </c>
    </row>
    <row r="4" ht="21.95" customHeight="1" spans="1:30">
      <c r="A4" s="51" t="s">
        <v>658</v>
      </c>
      <c r="Q4" s="54" t="s">
        <v>628</v>
      </c>
      <c r="R4" s="54">
        <f>C3*AD4</f>
        <v>35000</v>
      </c>
      <c r="S4" s="54">
        <f>D3*AD4</f>
        <v>42000</v>
      </c>
      <c r="T4" s="54">
        <f>E3*AD4</f>
        <v>63000</v>
      </c>
      <c r="U4" s="54">
        <f>F3*AD4</f>
        <v>56000</v>
      </c>
      <c r="V4" s="54">
        <f>G3*AD4</f>
        <v>70000</v>
      </c>
      <c r="W4" s="54">
        <f>H3*AD4</f>
        <v>56000</v>
      </c>
      <c r="X4" s="54">
        <f>I3*AD4</f>
        <v>49000</v>
      </c>
      <c r="Y4" s="54">
        <f>J3*AD4</f>
        <v>42000</v>
      </c>
      <c r="Z4" s="54">
        <f>K3*AD4</f>
        <v>63000</v>
      </c>
      <c r="AA4" s="54">
        <f>L3*AD4</f>
        <v>77000</v>
      </c>
      <c r="AB4" s="54">
        <f>M3*AD4</f>
        <v>70000</v>
      </c>
      <c r="AC4" s="54">
        <f>N3*AD4</f>
        <v>77000</v>
      </c>
      <c r="AD4" s="54">
        <v>700000</v>
      </c>
    </row>
    <row r="5" ht="21.95" customHeight="1" spans="1:30">
      <c r="A5" s="51"/>
      <c r="Q5" s="54" t="s">
        <v>629</v>
      </c>
      <c r="R5" s="54">
        <f>C3*AD5</f>
        <v>85000</v>
      </c>
      <c r="S5" s="54">
        <f>D3*AD5</f>
        <v>102000</v>
      </c>
      <c r="T5" s="54">
        <f>E3*AD5</f>
        <v>153000</v>
      </c>
      <c r="U5" s="54">
        <f>F3*AD5</f>
        <v>136000</v>
      </c>
      <c r="V5" s="54">
        <f>G3*AD5</f>
        <v>170000</v>
      </c>
      <c r="W5" s="54">
        <f>H3*AD5</f>
        <v>136000</v>
      </c>
      <c r="X5" s="54">
        <f>I3*AD5</f>
        <v>119000</v>
      </c>
      <c r="Y5" s="54">
        <f>J3*AD5</f>
        <v>102000</v>
      </c>
      <c r="Z5" s="54">
        <f>K3*AD5</f>
        <v>153000</v>
      </c>
      <c r="AA5" s="54">
        <f>L3*AD5</f>
        <v>187000</v>
      </c>
      <c r="AB5" s="54">
        <f>M3*AD5</f>
        <v>170000</v>
      </c>
      <c r="AC5" s="54">
        <f>N3*AD5</f>
        <v>187000</v>
      </c>
      <c r="AD5" s="54">
        <v>1700000</v>
      </c>
    </row>
    <row r="6" ht="21.95" customHeight="1" spans="1:30">
      <c r="A6" s="51"/>
      <c r="B6" s="54" t="s">
        <v>632</v>
      </c>
      <c r="C6" s="62">
        <f>C3*O6</f>
        <v>15000</v>
      </c>
      <c r="D6" s="62">
        <f>D3*O6</f>
        <v>18000</v>
      </c>
      <c r="E6" s="62">
        <f>E3*O6</f>
        <v>27000</v>
      </c>
      <c r="F6" s="54">
        <f>F3*O6</f>
        <v>24000</v>
      </c>
      <c r="G6" s="54">
        <f>G3*O6</f>
        <v>30000</v>
      </c>
      <c r="H6" s="54">
        <f>H3*O6</f>
        <v>24000</v>
      </c>
      <c r="I6" s="54">
        <f>I3*O6</f>
        <v>21000</v>
      </c>
      <c r="J6" s="54">
        <f>J3*O6</f>
        <v>18000</v>
      </c>
      <c r="K6" s="54">
        <f>K3*O6</f>
        <v>27000</v>
      </c>
      <c r="L6" s="54">
        <f>L3*O6</f>
        <v>33000</v>
      </c>
      <c r="M6" s="54">
        <f>M3*O6</f>
        <v>30000</v>
      </c>
      <c r="N6" s="54">
        <f>N3*O6</f>
        <v>33000</v>
      </c>
      <c r="O6" s="54">
        <v>300000</v>
      </c>
      <c r="R6" s="45">
        <f>SUM(R4:R5)</f>
        <v>120000</v>
      </c>
      <c r="S6" s="45">
        <f t="shared" ref="S6:AD6" si="0">SUM(S4:S5)</f>
        <v>144000</v>
      </c>
      <c r="T6" s="45">
        <f t="shared" si="0"/>
        <v>216000</v>
      </c>
      <c r="U6" s="45">
        <f t="shared" si="0"/>
        <v>192000</v>
      </c>
      <c r="V6" s="45">
        <f t="shared" si="0"/>
        <v>240000</v>
      </c>
      <c r="W6" s="45">
        <f t="shared" si="0"/>
        <v>192000</v>
      </c>
      <c r="X6" s="45">
        <f t="shared" si="0"/>
        <v>168000</v>
      </c>
      <c r="Y6" s="45">
        <f t="shared" si="0"/>
        <v>144000</v>
      </c>
      <c r="Z6" s="45">
        <f t="shared" si="0"/>
        <v>216000</v>
      </c>
      <c r="AA6" s="45">
        <f t="shared" si="0"/>
        <v>264000</v>
      </c>
      <c r="AB6" s="45">
        <f t="shared" si="0"/>
        <v>240000</v>
      </c>
      <c r="AC6" s="45">
        <f t="shared" si="0"/>
        <v>264000</v>
      </c>
      <c r="AD6" s="45">
        <f t="shared" si="0"/>
        <v>2400000</v>
      </c>
    </row>
    <row r="7" ht="21.95" customHeight="1" spans="1:15">
      <c r="A7" s="51"/>
      <c r="B7" s="54" t="s">
        <v>396</v>
      </c>
      <c r="C7" s="62"/>
      <c r="D7" s="62"/>
      <c r="E7" s="62"/>
      <c r="F7" s="54"/>
      <c r="G7" s="54"/>
      <c r="H7" s="54"/>
      <c r="I7" s="54"/>
      <c r="J7" s="54"/>
      <c r="K7" s="54"/>
      <c r="L7" s="54"/>
      <c r="M7" s="54"/>
      <c r="N7" s="54"/>
      <c r="O7" s="54"/>
    </row>
    <row r="8" ht="21.95" customHeight="1" spans="1:30">
      <c r="A8" s="51"/>
      <c r="B8" s="54" t="s">
        <v>633</v>
      </c>
      <c r="C8" s="62">
        <f>C3*O8</f>
        <v>70000</v>
      </c>
      <c r="D8" s="62">
        <f>D3*O8</f>
        <v>84000</v>
      </c>
      <c r="E8" s="62">
        <f>E3*O8</f>
        <v>126000</v>
      </c>
      <c r="F8" s="54">
        <f>F3*O8</f>
        <v>112000</v>
      </c>
      <c r="G8" s="54">
        <f>G3*O8</f>
        <v>140000</v>
      </c>
      <c r="H8" s="54">
        <f>H3*O8</f>
        <v>112000</v>
      </c>
      <c r="I8" s="54">
        <f>I3*O8</f>
        <v>98000</v>
      </c>
      <c r="J8" s="54">
        <f>J3*O8</f>
        <v>84000</v>
      </c>
      <c r="K8" s="54">
        <f>K3*O8</f>
        <v>126000</v>
      </c>
      <c r="L8" s="54">
        <f>L3*O8</f>
        <v>154000</v>
      </c>
      <c r="M8" s="54">
        <f>M3*O8</f>
        <v>140000</v>
      </c>
      <c r="N8" s="54">
        <f>N3*O8</f>
        <v>154000</v>
      </c>
      <c r="O8" s="54">
        <v>1400000</v>
      </c>
      <c r="R8" s="45">
        <v>120000</v>
      </c>
      <c r="S8" s="45">
        <v>144000</v>
      </c>
      <c r="T8" s="45">
        <v>216000</v>
      </c>
      <c r="U8" s="45">
        <v>192000</v>
      </c>
      <c r="V8" s="45">
        <v>240000</v>
      </c>
      <c r="W8" s="45">
        <v>192000</v>
      </c>
      <c r="X8" s="45">
        <v>168000</v>
      </c>
      <c r="Y8" s="45">
        <v>144000</v>
      </c>
      <c r="Z8" s="45">
        <v>216000</v>
      </c>
      <c r="AA8" s="45">
        <v>264000</v>
      </c>
      <c r="AB8" s="45">
        <v>240000</v>
      </c>
      <c r="AC8" s="45">
        <v>264000</v>
      </c>
      <c r="AD8" s="45">
        <v>2400000</v>
      </c>
    </row>
    <row r="9" ht="21.95" customHeight="1" spans="1:30">
      <c r="A9" s="51"/>
      <c r="B9" s="54" t="s">
        <v>634</v>
      </c>
      <c r="C9" s="62">
        <f>C3*O9</f>
        <v>20000</v>
      </c>
      <c r="D9" s="62">
        <f>D3*O9</f>
        <v>24000</v>
      </c>
      <c r="E9" s="62">
        <f>E3*O9</f>
        <v>36000</v>
      </c>
      <c r="F9" s="54">
        <f>F3*O9</f>
        <v>32000</v>
      </c>
      <c r="G9" s="54">
        <f>G3*O9</f>
        <v>40000</v>
      </c>
      <c r="H9" s="54">
        <f>H3*O9</f>
        <v>32000</v>
      </c>
      <c r="I9" s="54">
        <f>I3*O9</f>
        <v>28000</v>
      </c>
      <c r="J9" s="54">
        <f>J3*O9</f>
        <v>24000</v>
      </c>
      <c r="K9" s="54">
        <f>K3*O9</f>
        <v>36000</v>
      </c>
      <c r="L9" s="54">
        <f>L3*O9</f>
        <v>44000</v>
      </c>
      <c r="M9" s="54">
        <f>M3*O9</f>
        <v>40000</v>
      </c>
      <c r="N9" s="54">
        <f>O9*N3</f>
        <v>44000</v>
      </c>
      <c r="O9" s="54">
        <v>400000</v>
      </c>
      <c r="R9" s="45">
        <f>SUM(R6:R8)</f>
        <v>240000</v>
      </c>
      <c r="S9" s="45">
        <f t="shared" ref="S9:AD9" si="1">SUM(S6:S8)</f>
        <v>288000</v>
      </c>
      <c r="T9" s="45">
        <f t="shared" si="1"/>
        <v>432000</v>
      </c>
      <c r="U9" s="45">
        <f t="shared" si="1"/>
        <v>384000</v>
      </c>
      <c r="V9" s="45">
        <f t="shared" si="1"/>
        <v>480000</v>
      </c>
      <c r="W9" s="45">
        <f t="shared" si="1"/>
        <v>384000</v>
      </c>
      <c r="X9" s="45">
        <f t="shared" si="1"/>
        <v>336000</v>
      </c>
      <c r="Y9" s="45">
        <f t="shared" si="1"/>
        <v>288000</v>
      </c>
      <c r="Z9" s="45">
        <f t="shared" si="1"/>
        <v>432000</v>
      </c>
      <c r="AA9" s="45">
        <f t="shared" si="1"/>
        <v>528000</v>
      </c>
      <c r="AB9" s="45">
        <f t="shared" si="1"/>
        <v>480000</v>
      </c>
      <c r="AC9" s="45">
        <f t="shared" si="1"/>
        <v>528000</v>
      </c>
      <c r="AD9" s="45">
        <f t="shared" si="1"/>
        <v>4800000</v>
      </c>
    </row>
    <row r="10" ht="21.95" customHeight="1" spans="1:15">
      <c r="A10" s="51"/>
      <c r="B10" s="54" t="s">
        <v>635</v>
      </c>
      <c r="C10" s="62">
        <f>C3*O10</f>
        <v>5000</v>
      </c>
      <c r="D10" s="62">
        <f>D3*O10</f>
        <v>6000</v>
      </c>
      <c r="E10" s="62">
        <f>O10*E3</f>
        <v>9000</v>
      </c>
      <c r="F10" s="54">
        <f>O10*F3</f>
        <v>8000</v>
      </c>
      <c r="G10" s="54">
        <f>O10*G3</f>
        <v>10000</v>
      </c>
      <c r="H10" s="54">
        <f>O10*H3</f>
        <v>8000</v>
      </c>
      <c r="I10" s="54">
        <f>O10*I3</f>
        <v>7000</v>
      </c>
      <c r="J10" s="54">
        <f>O10*J3</f>
        <v>6000</v>
      </c>
      <c r="K10" s="54">
        <f>O10*K3</f>
        <v>9000</v>
      </c>
      <c r="L10" s="54">
        <f>O10*L3</f>
        <v>11000</v>
      </c>
      <c r="M10" s="54">
        <f>O10*M3</f>
        <v>10000</v>
      </c>
      <c r="N10" s="54">
        <f>O10*N3</f>
        <v>11000</v>
      </c>
      <c r="O10" s="54">
        <v>100000</v>
      </c>
    </row>
    <row r="11" ht="21.95" customHeight="1" spans="1:15">
      <c r="A11" s="51"/>
      <c r="B11" s="54" t="s">
        <v>636</v>
      </c>
      <c r="C11" s="62">
        <f>C3*O11</f>
        <v>10000</v>
      </c>
      <c r="D11" s="62">
        <f>D3*O11</f>
        <v>12000</v>
      </c>
      <c r="E11" s="62">
        <f>O11*E3</f>
        <v>18000</v>
      </c>
      <c r="F11" s="54">
        <f>O11*F3</f>
        <v>16000</v>
      </c>
      <c r="G11" s="54">
        <f>O11*G3</f>
        <v>20000</v>
      </c>
      <c r="H11" s="54">
        <f>O11*H3</f>
        <v>16000</v>
      </c>
      <c r="I11" s="54">
        <f>O11*I3</f>
        <v>14000</v>
      </c>
      <c r="J11" s="54">
        <f>O11*J3</f>
        <v>12000</v>
      </c>
      <c r="K11" s="54">
        <f>O11*K3</f>
        <v>18000</v>
      </c>
      <c r="L11" s="54">
        <f>O11*L3</f>
        <v>22000</v>
      </c>
      <c r="M11" s="54">
        <f>O11*M3</f>
        <v>20000</v>
      </c>
      <c r="N11" s="54">
        <f>O11*N3</f>
        <v>22000</v>
      </c>
      <c r="O11" s="54">
        <v>200000</v>
      </c>
    </row>
    <row r="12" ht="21.95" customHeight="1" spans="1:15">
      <c r="A12" s="51"/>
      <c r="B12" s="54"/>
      <c r="C12" s="62">
        <f>SUM(C6:C11)</f>
        <v>120000</v>
      </c>
      <c r="D12" s="62">
        <f t="shared" ref="D12:O12" si="2">SUM(D6:D11)</f>
        <v>144000</v>
      </c>
      <c r="E12" s="62">
        <f t="shared" si="2"/>
        <v>216000</v>
      </c>
      <c r="F12" s="54">
        <f t="shared" si="2"/>
        <v>192000</v>
      </c>
      <c r="G12" s="54">
        <f t="shared" si="2"/>
        <v>240000</v>
      </c>
      <c r="H12" s="54">
        <f t="shared" si="2"/>
        <v>192000</v>
      </c>
      <c r="I12" s="54">
        <f t="shared" si="2"/>
        <v>168000</v>
      </c>
      <c r="J12" s="54">
        <f t="shared" si="2"/>
        <v>144000</v>
      </c>
      <c r="K12" s="54">
        <f t="shared" si="2"/>
        <v>216000</v>
      </c>
      <c r="L12" s="54">
        <f t="shared" si="2"/>
        <v>264000</v>
      </c>
      <c r="M12" s="54">
        <f t="shared" si="2"/>
        <v>240000</v>
      </c>
      <c r="N12" s="54">
        <f t="shared" si="2"/>
        <v>264000</v>
      </c>
      <c r="O12" s="54">
        <f t="shared" si="2"/>
        <v>2400000</v>
      </c>
    </row>
    <row r="13" ht="21.95" customHeight="1" spans="1:15">
      <c r="A13" s="51"/>
      <c r="B13" s="49" t="s">
        <v>659</v>
      </c>
      <c r="C13" s="59">
        <f>C33*O13</f>
        <v>240000</v>
      </c>
      <c r="D13" s="59">
        <f>D33*O13</f>
        <v>288000</v>
      </c>
      <c r="E13" s="59">
        <f>E33*O13</f>
        <v>432000</v>
      </c>
      <c r="F13" s="59">
        <f>F33*O13</f>
        <v>384000</v>
      </c>
      <c r="G13" s="59">
        <f>G33*O13</f>
        <v>480000</v>
      </c>
      <c r="H13" s="59">
        <f>H33*O13</f>
        <v>384000</v>
      </c>
      <c r="I13" s="59">
        <f>I33*O13</f>
        <v>336000</v>
      </c>
      <c r="J13" s="59">
        <f>J33*O13</f>
        <v>288000</v>
      </c>
      <c r="K13" s="59">
        <f>K33*O13</f>
        <v>432000</v>
      </c>
      <c r="L13" s="59">
        <f>L33*O13</f>
        <v>528000</v>
      </c>
      <c r="M13" s="59">
        <f>M33*O13</f>
        <v>480000</v>
      </c>
      <c r="N13" s="59">
        <f>O13*N33</f>
        <v>528000</v>
      </c>
      <c r="O13" s="49">
        <v>4800000</v>
      </c>
    </row>
    <row r="14" ht="21.95" hidden="1" customHeight="1" spans="1:15">
      <c r="A14" s="51"/>
      <c r="B14" s="54"/>
      <c r="C14" s="52">
        <v>0.05</v>
      </c>
      <c r="D14" s="52">
        <v>0.06</v>
      </c>
      <c r="E14" s="52">
        <v>0.09</v>
      </c>
      <c r="F14" s="52">
        <v>0.08</v>
      </c>
      <c r="G14" s="52">
        <v>0.1</v>
      </c>
      <c r="H14" s="52">
        <v>0.08</v>
      </c>
      <c r="I14" s="52">
        <v>0.07</v>
      </c>
      <c r="J14" s="52">
        <v>0.06</v>
      </c>
      <c r="K14" s="52">
        <v>0.09</v>
      </c>
      <c r="L14" s="52">
        <v>0.11</v>
      </c>
      <c r="M14" s="52">
        <v>0.1</v>
      </c>
      <c r="N14" s="52">
        <v>0.11</v>
      </c>
      <c r="O14" s="61">
        <f>N14+M14+L14+K14+J14+I14+H14+G14+F14+E14+D14+C14</f>
        <v>1</v>
      </c>
    </row>
    <row r="15" ht="21.95" customHeight="1" spans="1:15">
      <c r="A15" s="51" t="s">
        <v>660</v>
      </c>
      <c r="B15" s="54" t="s">
        <v>661</v>
      </c>
      <c r="C15" s="54">
        <f>C14*O15</f>
        <v>20000</v>
      </c>
      <c r="D15" s="54">
        <f>D14*O15</f>
        <v>24000</v>
      </c>
      <c r="E15" s="54">
        <f>E14*O15</f>
        <v>36000</v>
      </c>
      <c r="F15" s="54">
        <f>F14*O15</f>
        <v>32000</v>
      </c>
      <c r="G15" s="54">
        <f>G14*O15</f>
        <v>40000</v>
      </c>
      <c r="H15" s="54">
        <f>H14*O15</f>
        <v>32000</v>
      </c>
      <c r="I15" s="54">
        <f>I14*O15</f>
        <v>28000</v>
      </c>
      <c r="J15" s="54">
        <f>J14*O15</f>
        <v>24000</v>
      </c>
      <c r="K15" s="54">
        <f>K14*O15</f>
        <v>36000</v>
      </c>
      <c r="L15" s="54">
        <f>L14*O15</f>
        <v>44000</v>
      </c>
      <c r="M15" s="54">
        <f>M14*O15</f>
        <v>40000</v>
      </c>
      <c r="N15" s="54">
        <f>N14*O15</f>
        <v>44000</v>
      </c>
      <c r="O15" s="54">
        <v>400000</v>
      </c>
    </row>
    <row r="16" ht="21.95" customHeight="1" spans="1:15">
      <c r="A16" s="51"/>
      <c r="B16" s="54" t="s">
        <v>662</v>
      </c>
      <c r="C16" s="54">
        <f>C14*O16</f>
        <v>15000</v>
      </c>
      <c r="D16" s="54">
        <f>D14*O16</f>
        <v>18000</v>
      </c>
      <c r="E16" s="54">
        <f>E14*O16</f>
        <v>27000</v>
      </c>
      <c r="F16" s="54">
        <f>F14*O16</f>
        <v>24000</v>
      </c>
      <c r="G16" s="54">
        <f>G14*O16</f>
        <v>30000</v>
      </c>
      <c r="H16" s="54">
        <f>H14*O16</f>
        <v>24000</v>
      </c>
      <c r="I16" s="54">
        <f>I14*O16</f>
        <v>21000</v>
      </c>
      <c r="J16" s="54">
        <f>J14*O16</f>
        <v>18000</v>
      </c>
      <c r="K16" s="54">
        <f>K14*O16</f>
        <v>27000</v>
      </c>
      <c r="L16" s="54">
        <f>L14*O16</f>
        <v>33000</v>
      </c>
      <c r="M16" s="54">
        <f>M14*O16</f>
        <v>30000</v>
      </c>
      <c r="N16" s="54">
        <f>N14*O16</f>
        <v>33000</v>
      </c>
      <c r="O16" s="54">
        <v>300000</v>
      </c>
    </row>
    <row r="17" ht="21.95" customHeight="1" spans="1:15">
      <c r="A17" s="51"/>
      <c r="B17" s="54" t="s">
        <v>663</v>
      </c>
      <c r="C17" s="54">
        <f>C14*O17</f>
        <v>5000</v>
      </c>
      <c r="D17" s="54">
        <f>D14*O17</f>
        <v>6000</v>
      </c>
      <c r="E17" s="54">
        <f>E14*O17</f>
        <v>9000</v>
      </c>
      <c r="F17" s="54">
        <f>F14*O17</f>
        <v>8000</v>
      </c>
      <c r="G17" s="54">
        <f>G14*O17</f>
        <v>10000</v>
      </c>
      <c r="H17" s="54">
        <f>H14*O17</f>
        <v>8000</v>
      </c>
      <c r="I17" s="54">
        <f>I14*O17</f>
        <v>7000</v>
      </c>
      <c r="J17" s="54">
        <f>J14*O17</f>
        <v>6000</v>
      </c>
      <c r="K17" s="54">
        <f>K14*O17</f>
        <v>9000</v>
      </c>
      <c r="L17" s="54">
        <f>L14*O17</f>
        <v>11000</v>
      </c>
      <c r="M17" s="54">
        <f>M14*O17</f>
        <v>10000</v>
      </c>
      <c r="N17" s="54">
        <f>N14*O17</f>
        <v>11000</v>
      </c>
      <c r="O17" s="54">
        <v>100000</v>
      </c>
    </row>
    <row r="18" ht="21.95" customHeight="1" spans="1:15">
      <c r="A18" s="51"/>
      <c r="B18" s="54" t="s">
        <v>664</v>
      </c>
      <c r="C18" s="54">
        <f>C14*O18</f>
        <v>85000</v>
      </c>
      <c r="D18" s="54">
        <f>D14*O18</f>
        <v>102000</v>
      </c>
      <c r="E18" s="54">
        <f>E14*O18</f>
        <v>153000</v>
      </c>
      <c r="F18" s="54">
        <f>F14*O18</f>
        <v>136000</v>
      </c>
      <c r="G18" s="54">
        <f>G14*O18</f>
        <v>170000</v>
      </c>
      <c r="H18" s="54">
        <f>H14*O18</f>
        <v>136000</v>
      </c>
      <c r="I18" s="54">
        <f>I14*O18</f>
        <v>119000</v>
      </c>
      <c r="J18" s="54">
        <f>J14*O18</f>
        <v>102000</v>
      </c>
      <c r="K18" s="54">
        <f>K14*O18</f>
        <v>153000</v>
      </c>
      <c r="L18" s="54">
        <f>L14*O18</f>
        <v>187000</v>
      </c>
      <c r="M18" s="54">
        <f>M14*O18</f>
        <v>170000</v>
      </c>
      <c r="N18" s="54">
        <f>N14*O18</f>
        <v>187000</v>
      </c>
      <c r="O18" s="54">
        <v>1700000</v>
      </c>
    </row>
    <row r="19" ht="21.95" customHeight="1" spans="1:15">
      <c r="A19" s="51"/>
      <c r="B19" s="54" t="s">
        <v>665</v>
      </c>
      <c r="C19" s="54">
        <f>C14*O19</f>
        <v>2500</v>
      </c>
      <c r="D19" s="54">
        <f>D14*O19</f>
        <v>3000</v>
      </c>
      <c r="E19" s="54">
        <f>E14*O19</f>
        <v>4500</v>
      </c>
      <c r="F19" s="54">
        <f>F14*O19</f>
        <v>4000</v>
      </c>
      <c r="G19" s="54">
        <f>G14*O19</f>
        <v>5000</v>
      </c>
      <c r="H19" s="54">
        <f>H14*O19</f>
        <v>4000</v>
      </c>
      <c r="I19" s="54">
        <f>I14*O19</f>
        <v>3500</v>
      </c>
      <c r="J19" s="54">
        <f>J14*O19</f>
        <v>3000</v>
      </c>
      <c r="K19" s="54">
        <f>K14*O19</f>
        <v>4500</v>
      </c>
      <c r="L19" s="54">
        <f>L14*O19</f>
        <v>5500</v>
      </c>
      <c r="M19" s="54">
        <f>M14*O19</f>
        <v>5000</v>
      </c>
      <c r="N19" s="54">
        <f>N14*O19</f>
        <v>5500</v>
      </c>
      <c r="O19" s="54">
        <v>50000</v>
      </c>
    </row>
    <row r="20" ht="21.95" customHeight="1" spans="1:15">
      <c r="A20" s="51"/>
      <c r="B20" s="54" t="s">
        <v>666</v>
      </c>
      <c r="C20" s="54">
        <f>C14*O20</f>
        <v>40000</v>
      </c>
      <c r="D20" s="54">
        <f>D14*O20</f>
        <v>48000</v>
      </c>
      <c r="E20" s="54">
        <f>E14*O20</f>
        <v>72000</v>
      </c>
      <c r="F20" s="54">
        <f>F14*O20</f>
        <v>64000</v>
      </c>
      <c r="G20" s="54">
        <f>G14*O20</f>
        <v>80000</v>
      </c>
      <c r="H20" s="54">
        <f>H14*O20</f>
        <v>64000</v>
      </c>
      <c r="I20" s="54">
        <f>I14*O20</f>
        <v>56000</v>
      </c>
      <c r="J20" s="54">
        <f>J14*O20</f>
        <v>48000</v>
      </c>
      <c r="K20" s="54">
        <f>K14*O20</f>
        <v>72000</v>
      </c>
      <c r="L20" s="54">
        <f>L14*O20</f>
        <v>88000</v>
      </c>
      <c r="M20" s="54">
        <f>M14*O20</f>
        <v>80000</v>
      </c>
      <c r="N20" s="54">
        <f>N14*O20</f>
        <v>88000</v>
      </c>
      <c r="O20" s="54">
        <v>800000</v>
      </c>
    </row>
    <row r="21" ht="21.95" customHeight="1" spans="1:15">
      <c r="A21" s="51"/>
      <c r="B21" s="54" t="s">
        <v>667</v>
      </c>
      <c r="C21" s="54">
        <f>C14*O21</f>
        <v>2500</v>
      </c>
      <c r="D21" s="54">
        <f>D14*O21</f>
        <v>3000</v>
      </c>
      <c r="E21" s="54">
        <f>E14*O21</f>
        <v>4500</v>
      </c>
      <c r="F21" s="54">
        <f>F14*O21</f>
        <v>4000</v>
      </c>
      <c r="G21" s="54">
        <f>G14*O21</f>
        <v>5000</v>
      </c>
      <c r="H21" s="54">
        <f>H14*O21</f>
        <v>4000</v>
      </c>
      <c r="I21" s="54">
        <f>I14*O21</f>
        <v>3500</v>
      </c>
      <c r="J21" s="54">
        <f>J14*O21</f>
        <v>3000</v>
      </c>
      <c r="K21" s="54">
        <f>K14*O21</f>
        <v>4500</v>
      </c>
      <c r="L21" s="54">
        <f>L14*O21</f>
        <v>5500</v>
      </c>
      <c r="M21" s="54">
        <f>M14*O21</f>
        <v>5000</v>
      </c>
      <c r="N21" s="54">
        <f>N14*O21</f>
        <v>5500</v>
      </c>
      <c r="O21" s="54">
        <v>50000</v>
      </c>
    </row>
    <row r="22" ht="21.95" customHeight="1" spans="1:15">
      <c r="A22" s="51"/>
      <c r="B22" s="54" t="s">
        <v>668</v>
      </c>
      <c r="C22" s="54">
        <v>2500</v>
      </c>
      <c r="D22" s="54">
        <v>3000</v>
      </c>
      <c r="E22" s="54">
        <v>4500</v>
      </c>
      <c r="F22" s="54">
        <v>4000</v>
      </c>
      <c r="G22" s="54">
        <v>5000</v>
      </c>
      <c r="H22" s="54">
        <v>4000</v>
      </c>
      <c r="I22" s="54">
        <v>3500</v>
      </c>
      <c r="J22" s="54">
        <v>3000</v>
      </c>
      <c r="K22" s="54">
        <v>4500</v>
      </c>
      <c r="L22" s="54">
        <v>5500</v>
      </c>
      <c r="M22" s="54">
        <v>5000</v>
      </c>
      <c r="N22" s="54">
        <v>5500</v>
      </c>
      <c r="O22" s="54">
        <v>50000</v>
      </c>
    </row>
    <row r="23" ht="21.95" customHeight="1" spans="1:15">
      <c r="A23" s="51"/>
      <c r="B23" s="54" t="s">
        <v>669</v>
      </c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</row>
    <row r="24" ht="21.95" customHeight="1" spans="1:15">
      <c r="A24" s="51"/>
      <c r="B24" s="54" t="s">
        <v>670</v>
      </c>
      <c r="C24" s="54">
        <v>2500</v>
      </c>
      <c r="D24" s="54">
        <v>3000</v>
      </c>
      <c r="E24" s="54">
        <v>4500</v>
      </c>
      <c r="F24" s="54">
        <v>4000</v>
      </c>
      <c r="G24" s="54">
        <v>5000</v>
      </c>
      <c r="H24" s="54">
        <v>4000</v>
      </c>
      <c r="I24" s="54">
        <v>3500</v>
      </c>
      <c r="J24" s="54">
        <v>3000</v>
      </c>
      <c r="K24" s="54">
        <v>4500</v>
      </c>
      <c r="L24" s="54">
        <v>5500</v>
      </c>
      <c r="M24" s="54">
        <v>5000</v>
      </c>
      <c r="N24" s="54">
        <v>5500</v>
      </c>
      <c r="O24" s="54">
        <v>50000</v>
      </c>
    </row>
    <row r="25" ht="21.95" customHeight="1" spans="1:15">
      <c r="A25" s="51"/>
      <c r="B25" s="49" t="s">
        <v>671</v>
      </c>
      <c r="C25" s="49">
        <f>C14*O25</f>
        <v>175000</v>
      </c>
      <c r="D25" s="49">
        <f>D14*O25</f>
        <v>210000</v>
      </c>
      <c r="E25" s="49">
        <f>E14*O25</f>
        <v>315000</v>
      </c>
      <c r="F25" s="49">
        <f>F14*O25</f>
        <v>280000</v>
      </c>
      <c r="G25" s="49">
        <f>G14*O25</f>
        <v>350000</v>
      </c>
      <c r="H25" s="49">
        <f>H14*O25</f>
        <v>280000</v>
      </c>
      <c r="I25" s="49">
        <f>I14*O25</f>
        <v>245000</v>
      </c>
      <c r="J25" s="49">
        <f>J14*O25</f>
        <v>210000</v>
      </c>
      <c r="K25" s="49">
        <f>K14*O25</f>
        <v>315000</v>
      </c>
      <c r="L25" s="49">
        <f>L14*O25</f>
        <v>385000</v>
      </c>
      <c r="M25" s="49">
        <f>M14*O25</f>
        <v>350000</v>
      </c>
      <c r="N25" s="49">
        <f>N14*O25</f>
        <v>385000</v>
      </c>
      <c r="O25" s="49">
        <v>3500000</v>
      </c>
    </row>
    <row r="26" ht="21.95" hidden="1" customHeight="1" spans="1:15">
      <c r="A26" s="51" t="s">
        <v>672</v>
      </c>
      <c r="B26" s="54" t="s">
        <v>673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</row>
    <row r="27" ht="21.95" hidden="1" customHeight="1" spans="1:15">
      <c r="A27" s="51"/>
      <c r="B27" s="54" t="s">
        <v>674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</row>
    <row r="28" ht="21.95" customHeight="1" spans="1:15">
      <c r="A28" s="51"/>
      <c r="B28" s="54" t="s">
        <v>675</v>
      </c>
      <c r="C28" s="54">
        <f>C33*O28</f>
        <v>40000</v>
      </c>
      <c r="D28" s="54">
        <f>D33*O28</f>
        <v>48000</v>
      </c>
      <c r="E28" s="54">
        <f>E33*O28</f>
        <v>72000</v>
      </c>
      <c r="F28" s="54">
        <f>F33*O28</f>
        <v>64000</v>
      </c>
      <c r="G28" s="54">
        <f>G33*O28</f>
        <v>80000</v>
      </c>
      <c r="H28" s="54">
        <f>H33*O28</f>
        <v>64000</v>
      </c>
      <c r="I28" s="54">
        <f>I33*O28</f>
        <v>56000</v>
      </c>
      <c r="J28" s="54">
        <f>J33*O28</f>
        <v>48000</v>
      </c>
      <c r="K28" s="54">
        <f>K33*O28</f>
        <v>72000</v>
      </c>
      <c r="L28" s="54">
        <f>L33*O28</f>
        <v>88000</v>
      </c>
      <c r="M28" s="54">
        <f>M33*O28</f>
        <v>80000</v>
      </c>
      <c r="N28" s="54">
        <f>N33*O28</f>
        <v>88000</v>
      </c>
      <c r="O28" s="54">
        <v>800000</v>
      </c>
    </row>
    <row r="29" ht="21.95" customHeight="1" spans="1:15">
      <c r="A29" s="51"/>
      <c r="B29" s="54" t="s">
        <v>676</v>
      </c>
      <c r="C29" s="54">
        <f>C33*O29</f>
        <v>85000</v>
      </c>
      <c r="D29" s="54">
        <f>D33*O29</f>
        <v>102000</v>
      </c>
      <c r="E29" s="54">
        <f>E33*O29</f>
        <v>153000</v>
      </c>
      <c r="F29" s="54">
        <f>F33*O29</f>
        <v>136000</v>
      </c>
      <c r="G29" s="54">
        <f>G33*O29</f>
        <v>170000</v>
      </c>
      <c r="H29" s="54">
        <f>H33*O29</f>
        <v>136000</v>
      </c>
      <c r="I29" s="54">
        <f>I33*O29</f>
        <v>119000</v>
      </c>
      <c r="J29" s="54">
        <f>J33*O29</f>
        <v>102000</v>
      </c>
      <c r="K29" s="54">
        <f>K33*O29</f>
        <v>153000</v>
      </c>
      <c r="L29" s="54">
        <f>L33*O29</f>
        <v>187000</v>
      </c>
      <c r="M29" s="54">
        <f>M33*O29</f>
        <v>170000</v>
      </c>
      <c r="N29" s="54">
        <f>N33*O29</f>
        <v>187000</v>
      </c>
      <c r="O29" s="54">
        <v>1700000</v>
      </c>
    </row>
    <row r="30" ht="21.95" customHeight="1" spans="1:15">
      <c r="A30" s="51"/>
      <c r="B30" s="54" t="s">
        <v>677</v>
      </c>
      <c r="C30" s="54">
        <f>O30*C33</f>
        <v>10000</v>
      </c>
      <c r="D30" s="54">
        <f>D33*O30</f>
        <v>12000</v>
      </c>
      <c r="E30" s="54">
        <f>O30*E33</f>
        <v>18000</v>
      </c>
      <c r="F30" s="54">
        <f>O30*F33</f>
        <v>16000</v>
      </c>
      <c r="G30" s="54">
        <f>O30*G33</f>
        <v>20000</v>
      </c>
      <c r="H30" s="54">
        <f>O30*H33</f>
        <v>16000</v>
      </c>
      <c r="I30" s="54">
        <f>O30*I33</f>
        <v>14000</v>
      </c>
      <c r="J30" s="54">
        <f>O30*J33</f>
        <v>12000</v>
      </c>
      <c r="K30" s="54">
        <f>O30*K33</f>
        <v>18000</v>
      </c>
      <c r="L30" s="54">
        <f>O30*L33</f>
        <v>22000</v>
      </c>
      <c r="M30" s="54">
        <f>O30*M33</f>
        <v>20000</v>
      </c>
      <c r="N30" s="54">
        <f>O30*N33</f>
        <v>22000</v>
      </c>
      <c r="O30" s="54">
        <v>200000</v>
      </c>
    </row>
    <row r="31" ht="21.95" customHeight="1" spans="1:15">
      <c r="A31" s="51"/>
      <c r="B31" s="49" t="s">
        <v>678</v>
      </c>
      <c r="C31" s="49">
        <f>C33*O31</f>
        <v>135000</v>
      </c>
      <c r="D31" s="49">
        <f>D33*O31</f>
        <v>162000</v>
      </c>
      <c r="E31" s="49">
        <f>E33*O31</f>
        <v>243000</v>
      </c>
      <c r="F31" s="49">
        <f>F33*O31</f>
        <v>216000</v>
      </c>
      <c r="G31" s="49">
        <f>G33*O31</f>
        <v>270000</v>
      </c>
      <c r="H31" s="49">
        <f>H33*O31</f>
        <v>216000</v>
      </c>
      <c r="I31" s="49">
        <f>I33*O31</f>
        <v>189000</v>
      </c>
      <c r="J31" s="49">
        <f>J33*O31</f>
        <v>162000</v>
      </c>
      <c r="K31" s="49">
        <f>K33*O31</f>
        <v>243000</v>
      </c>
      <c r="L31" s="49">
        <f>L33*O31</f>
        <v>297000</v>
      </c>
      <c r="M31" s="49">
        <f>M33*O31</f>
        <v>270000</v>
      </c>
      <c r="N31" s="49">
        <f>N33*O31</f>
        <v>297000</v>
      </c>
      <c r="O31" s="49">
        <v>2700000</v>
      </c>
    </row>
    <row r="32" ht="21.95" customHeight="1" spans="1:15">
      <c r="A32" s="54" t="s">
        <v>679</v>
      </c>
      <c r="B32" s="60"/>
      <c r="C32" s="60">
        <f t="shared" ref="C32:O32" si="3">C31+C25+C13</f>
        <v>550000</v>
      </c>
      <c r="D32" s="60">
        <f t="shared" si="3"/>
        <v>660000</v>
      </c>
      <c r="E32" s="60">
        <f t="shared" si="3"/>
        <v>990000</v>
      </c>
      <c r="F32" s="60">
        <f t="shared" si="3"/>
        <v>880000</v>
      </c>
      <c r="G32" s="60">
        <f t="shared" si="3"/>
        <v>1100000</v>
      </c>
      <c r="H32" s="60">
        <f t="shared" si="3"/>
        <v>880000</v>
      </c>
      <c r="I32" s="60">
        <f t="shared" si="3"/>
        <v>770000</v>
      </c>
      <c r="J32" s="60">
        <f t="shared" si="3"/>
        <v>660000</v>
      </c>
      <c r="K32" s="60">
        <f t="shared" si="3"/>
        <v>990000</v>
      </c>
      <c r="L32" s="60">
        <f t="shared" si="3"/>
        <v>1210000</v>
      </c>
      <c r="M32" s="60">
        <f t="shared" si="3"/>
        <v>1100000</v>
      </c>
      <c r="N32" s="60">
        <f t="shared" si="3"/>
        <v>1210000</v>
      </c>
      <c r="O32" s="60">
        <f t="shared" si="3"/>
        <v>11000000</v>
      </c>
    </row>
    <row r="33" ht="15" hidden="1" spans="3:14">
      <c r="C33" s="52">
        <v>0.05</v>
      </c>
      <c r="D33" s="52">
        <v>0.06</v>
      </c>
      <c r="E33" s="52">
        <v>0.09</v>
      </c>
      <c r="F33" s="52">
        <v>0.08</v>
      </c>
      <c r="G33" s="52">
        <v>0.1</v>
      </c>
      <c r="H33" s="52">
        <v>0.08</v>
      </c>
      <c r="I33" s="52">
        <v>0.07</v>
      </c>
      <c r="J33" s="52">
        <v>0.06</v>
      </c>
      <c r="K33" s="52">
        <v>0.09</v>
      </c>
      <c r="L33" s="52">
        <v>0.11</v>
      </c>
      <c r="M33" s="52">
        <v>0.1</v>
      </c>
      <c r="N33" s="52">
        <v>0.11</v>
      </c>
    </row>
  </sheetData>
  <mergeCells count="6">
    <mergeCell ref="C1:O1"/>
    <mergeCell ref="A1:A2"/>
    <mergeCell ref="A4:A13"/>
    <mergeCell ref="A15:A25"/>
    <mergeCell ref="A26:A31"/>
    <mergeCell ref="B1:B2"/>
  </mergeCells>
  <pageMargins left="0.75" right="0.75" top="1" bottom="1" header="0.5" footer="0.5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workbookViewId="0">
      <selection activeCell="G28" sqref="G28"/>
    </sheetView>
  </sheetViews>
  <sheetFormatPr defaultColWidth="9" defaultRowHeight="14"/>
  <cols>
    <col min="1" max="1" width="9" style="45"/>
    <col min="2" max="2" width="22.5" style="45" customWidth="1"/>
    <col min="3" max="3" width="10.3727272727273" style="45"/>
    <col min="4" max="14" width="9" style="45"/>
    <col min="15" max="15" width="9.37272727272727" style="45"/>
    <col min="16" max="16384" width="9" style="45"/>
  </cols>
  <sheetData>
    <row r="1" ht="21.95" customHeight="1" spans="1:15">
      <c r="A1" s="46" t="s">
        <v>639</v>
      </c>
      <c r="B1" s="47" t="s">
        <v>630</v>
      </c>
      <c r="C1" s="48" t="s">
        <v>657</v>
      </c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</row>
    <row r="2" ht="21.95" customHeight="1" spans="1:15">
      <c r="A2" s="46"/>
      <c r="B2" s="47"/>
      <c r="C2" s="49" t="s">
        <v>114</v>
      </c>
      <c r="D2" s="49" t="s">
        <v>115</v>
      </c>
      <c r="E2" s="49" t="s">
        <v>116</v>
      </c>
      <c r="F2" s="49" t="s">
        <v>31</v>
      </c>
      <c r="G2" s="49" t="s">
        <v>35</v>
      </c>
      <c r="H2" s="49" t="s">
        <v>51</v>
      </c>
      <c r="I2" s="49" t="s">
        <v>64</v>
      </c>
      <c r="J2" s="49" t="s">
        <v>73</v>
      </c>
      <c r="K2" s="49" t="s">
        <v>623</v>
      </c>
      <c r="L2" s="49" t="s">
        <v>624</v>
      </c>
      <c r="M2" s="49" t="s">
        <v>625</v>
      </c>
      <c r="N2" s="49" t="s">
        <v>626</v>
      </c>
      <c r="O2" s="49" t="s">
        <v>627</v>
      </c>
    </row>
    <row r="3" ht="21.95" hidden="1" customHeight="1" spans="1:15">
      <c r="A3" s="50"/>
      <c r="B3" s="51"/>
      <c r="C3" s="52">
        <v>0.05</v>
      </c>
      <c r="D3" s="52">
        <v>0.06</v>
      </c>
      <c r="E3" s="52">
        <v>0.09</v>
      </c>
      <c r="F3" s="52">
        <v>0.08</v>
      </c>
      <c r="G3" s="52">
        <v>0.1</v>
      </c>
      <c r="H3" s="52">
        <v>0.08</v>
      </c>
      <c r="I3" s="52">
        <v>0.07</v>
      </c>
      <c r="J3" s="52">
        <v>0.06</v>
      </c>
      <c r="K3" s="52">
        <v>0.09</v>
      </c>
      <c r="L3" s="52">
        <v>0.11</v>
      </c>
      <c r="M3" s="52">
        <v>0.1</v>
      </c>
      <c r="N3" s="52">
        <v>0.11</v>
      </c>
      <c r="O3" s="61">
        <f>N3+M3+L3+K3+J3+I3+H3+G3+F3+E3+D3+C3</f>
        <v>1</v>
      </c>
    </row>
    <row r="4" ht="21.95" customHeight="1" spans="1:15">
      <c r="A4" s="53" t="s">
        <v>658</v>
      </c>
      <c r="B4" s="54" t="s">
        <v>628</v>
      </c>
      <c r="C4" s="54">
        <f>C3*O4</f>
        <v>35000</v>
      </c>
      <c r="D4" s="54">
        <f>D3*O4</f>
        <v>42000</v>
      </c>
      <c r="E4" s="54">
        <f>E3*O4</f>
        <v>63000</v>
      </c>
      <c r="F4" s="54">
        <f>F3*O4</f>
        <v>56000</v>
      </c>
      <c r="G4" s="54">
        <f>G3*O4</f>
        <v>70000</v>
      </c>
      <c r="H4" s="54">
        <f>H3*O4</f>
        <v>56000</v>
      </c>
      <c r="I4" s="54">
        <f>I3*O4</f>
        <v>49000</v>
      </c>
      <c r="J4" s="54">
        <f>J3*O4</f>
        <v>42000</v>
      </c>
      <c r="K4" s="54">
        <f>K3*O4</f>
        <v>63000</v>
      </c>
      <c r="L4" s="54">
        <f>L3*O4</f>
        <v>77000</v>
      </c>
      <c r="M4" s="54">
        <f>M3*O4</f>
        <v>70000</v>
      </c>
      <c r="N4" s="54">
        <f>N3*O4</f>
        <v>77000</v>
      </c>
      <c r="O4" s="54">
        <v>700000</v>
      </c>
    </row>
    <row r="5" ht="21.95" customHeight="1" spans="1:15">
      <c r="A5" s="55"/>
      <c r="B5" s="54" t="s">
        <v>629</v>
      </c>
      <c r="C5" s="54">
        <f>C3*O5</f>
        <v>85000</v>
      </c>
      <c r="D5" s="54">
        <f>D3*O5</f>
        <v>102000</v>
      </c>
      <c r="E5" s="54">
        <f>E3*O5</f>
        <v>153000</v>
      </c>
      <c r="F5" s="54">
        <f>F3*O5</f>
        <v>136000</v>
      </c>
      <c r="G5" s="54">
        <f>G3*O5</f>
        <v>170000</v>
      </c>
      <c r="H5" s="54">
        <f>H3*O5</f>
        <v>136000</v>
      </c>
      <c r="I5" s="54">
        <f>I3*O5</f>
        <v>119000</v>
      </c>
      <c r="J5" s="54">
        <f>J3*O5</f>
        <v>102000</v>
      </c>
      <c r="K5" s="54">
        <f>K3*O5</f>
        <v>153000</v>
      </c>
      <c r="L5" s="54">
        <f>L3*O5</f>
        <v>187000</v>
      </c>
      <c r="M5" s="54">
        <f>M3*O5</f>
        <v>170000</v>
      </c>
      <c r="N5" s="54">
        <f>N3*O5</f>
        <v>187000</v>
      </c>
      <c r="O5" s="54">
        <v>1700000</v>
      </c>
    </row>
    <row r="6" ht="21.95" customHeight="1" spans="1:15">
      <c r="A6" s="55"/>
      <c r="B6" s="54" t="s">
        <v>632</v>
      </c>
      <c r="C6" s="54">
        <f>C3*O6</f>
        <v>15000</v>
      </c>
      <c r="D6" s="54">
        <f>D3*O6</f>
        <v>18000</v>
      </c>
      <c r="E6" s="54">
        <f>E3*O6</f>
        <v>27000</v>
      </c>
      <c r="F6" s="54">
        <f>F3*O6</f>
        <v>24000</v>
      </c>
      <c r="G6" s="54">
        <f>G3*O6</f>
        <v>30000</v>
      </c>
      <c r="H6" s="54">
        <f>H3*O6</f>
        <v>24000</v>
      </c>
      <c r="I6" s="54">
        <f>I3*O6</f>
        <v>21000</v>
      </c>
      <c r="J6" s="54">
        <f>J3*O6</f>
        <v>18000</v>
      </c>
      <c r="K6" s="54">
        <f>K3*O6</f>
        <v>27000</v>
      </c>
      <c r="L6" s="54">
        <f>L3*O6</f>
        <v>33000</v>
      </c>
      <c r="M6" s="54">
        <f>M3*O6</f>
        <v>30000</v>
      </c>
      <c r="N6" s="54">
        <f>N3*O6</f>
        <v>33000</v>
      </c>
      <c r="O6" s="54">
        <v>300000</v>
      </c>
    </row>
    <row r="7" ht="21.95" hidden="1" customHeight="1" spans="1:15">
      <c r="A7" s="55"/>
      <c r="B7" s="54" t="s">
        <v>396</v>
      </c>
      <c r="C7" s="54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</row>
    <row r="8" ht="21.95" customHeight="1" spans="1:15">
      <c r="A8" s="55"/>
      <c r="B8" s="54" t="s">
        <v>633</v>
      </c>
      <c r="C8" s="54">
        <f>C3*O8</f>
        <v>70000</v>
      </c>
      <c r="D8" s="54">
        <f>D3*O8</f>
        <v>84000</v>
      </c>
      <c r="E8" s="54">
        <f>E3*O8</f>
        <v>126000</v>
      </c>
      <c r="F8" s="54">
        <f>F3*O8</f>
        <v>112000</v>
      </c>
      <c r="G8" s="54">
        <f>G3*O8</f>
        <v>140000</v>
      </c>
      <c r="H8" s="54">
        <f>H3*O8</f>
        <v>112000</v>
      </c>
      <c r="I8" s="54">
        <f>I3*O8</f>
        <v>98000</v>
      </c>
      <c r="J8" s="54">
        <f>J3*O8</f>
        <v>84000</v>
      </c>
      <c r="K8" s="54">
        <f>K3*O8</f>
        <v>126000</v>
      </c>
      <c r="L8" s="54">
        <f>L3*O8</f>
        <v>154000</v>
      </c>
      <c r="M8" s="54">
        <f>M3*O8</f>
        <v>140000</v>
      </c>
      <c r="N8" s="54">
        <f>N3*O8</f>
        <v>154000</v>
      </c>
      <c r="O8" s="54">
        <v>1400000</v>
      </c>
    </row>
    <row r="9" ht="21.95" customHeight="1" spans="1:15">
      <c r="A9" s="55"/>
      <c r="B9" s="54" t="s">
        <v>634</v>
      </c>
      <c r="C9" s="54">
        <f>C3*O9</f>
        <v>20000</v>
      </c>
      <c r="D9" s="54">
        <f>D3*O9</f>
        <v>24000</v>
      </c>
      <c r="E9" s="54">
        <f>E3*O9</f>
        <v>36000</v>
      </c>
      <c r="F9" s="54">
        <f>F3*O9</f>
        <v>32000</v>
      </c>
      <c r="G9" s="54">
        <f>G3*O9</f>
        <v>40000</v>
      </c>
      <c r="H9" s="54">
        <f>H3*O9</f>
        <v>32000</v>
      </c>
      <c r="I9" s="54">
        <f>I3*O9</f>
        <v>28000</v>
      </c>
      <c r="J9" s="54">
        <f>J3*O9</f>
        <v>24000</v>
      </c>
      <c r="K9" s="54">
        <f>K3*O9</f>
        <v>36000</v>
      </c>
      <c r="L9" s="54">
        <f>L3*O9</f>
        <v>44000</v>
      </c>
      <c r="M9" s="54">
        <f>M3*O9</f>
        <v>40000</v>
      </c>
      <c r="N9" s="54">
        <f>O9*N3</f>
        <v>44000</v>
      </c>
      <c r="O9" s="54">
        <v>400000</v>
      </c>
    </row>
    <row r="10" ht="21.95" customHeight="1" spans="1:15">
      <c r="A10" s="55"/>
      <c r="B10" s="54" t="s">
        <v>635</v>
      </c>
      <c r="C10" s="54">
        <f>C3*O10</f>
        <v>5000</v>
      </c>
      <c r="D10" s="54">
        <f>D3*O10</f>
        <v>6000</v>
      </c>
      <c r="E10" s="54">
        <f>O10*E3</f>
        <v>9000</v>
      </c>
      <c r="F10" s="54">
        <f>O10*F3</f>
        <v>8000</v>
      </c>
      <c r="G10" s="54">
        <f>O10*G3</f>
        <v>10000</v>
      </c>
      <c r="H10" s="54">
        <f>O10*H3</f>
        <v>8000</v>
      </c>
      <c r="I10" s="54">
        <f>O10*I3</f>
        <v>7000</v>
      </c>
      <c r="J10" s="54">
        <f>O10*J3</f>
        <v>6000</v>
      </c>
      <c r="K10" s="54">
        <f>O10*K3</f>
        <v>9000</v>
      </c>
      <c r="L10" s="54">
        <f>O10*L3</f>
        <v>11000</v>
      </c>
      <c r="M10" s="54">
        <f>O10*M3</f>
        <v>10000</v>
      </c>
      <c r="N10" s="54">
        <f>O10*N3</f>
        <v>11000</v>
      </c>
      <c r="O10" s="54">
        <v>100000</v>
      </c>
    </row>
    <row r="11" ht="21.95" customHeight="1" spans="1:15">
      <c r="A11" s="56"/>
      <c r="B11" s="54" t="s">
        <v>636</v>
      </c>
      <c r="C11" s="54">
        <f>C3*O11</f>
        <v>10000</v>
      </c>
      <c r="D11" s="54">
        <f>D3*O11</f>
        <v>12000</v>
      </c>
      <c r="E11" s="54">
        <f>O11*E3</f>
        <v>18000</v>
      </c>
      <c r="F11" s="54">
        <f>O11*F3</f>
        <v>16000</v>
      </c>
      <c r="G11" s="54">
        <f>O11*G3</f>
        <v>20000</v>
      </c>
      <c r="H11" s="54">
        <f>O11*H3</f>
        <v>16000</v>
      </c>
      <c r="I11" s="54">
        <f>O11*I3</f>
        <v>14000</v>
      </c>
      <c r="J11" s="54">
        <f>O11*J3</f>
        <v>12000</v>
      </c>
      <c r="K11" s="54">
        <f>O11*K3</f>
        <v>18000</v>
      </c>
      <c r="L11" s="54">
        <f>O11*L3</f>
        <v>22000</v>
      </c>
      <c r="M11" s="54">
        <f>O11*M3</f>
        <v>20000</v>
      </c>
      <c r="N11" s="54">
        <f>O11*N3</f>
        <v>22000</v>
      </c>
      <c r="O11" s="54">
        <v>200000</v>
      </c>
    </row>
    <row r="12" ht="21.95" customHeight="1" spans="1:15">
      <c r="A12" s="57" t="s">
        <v>659</v>
      </c>
      <c r="B12" s="58"/>
      <c r="C12" s="59">
        <f>C32*O12</f>
        <v>240000</v>
      </c>
      <c r="D12" s="59">
        <f>D32*O12</f>
        <v>288000</v>
      </c>
      <c r="E12" s="59">
        <f>E32*O12</f>
        <v>432000</v>
      </c>
      <c r="F12" s="59">
        <f>F32*O12</f>
        <v>384000</v>
      </c>
      <c r="G12" s="59">
        <f>G32*O12</f>
        <v>480000</v>
      </c>
      <c r="H12" s="59">
        <f>H32*O12</f>
        <v>384000</v>
      </c>
      <c r="I12" s="59">
        <f>I32*O12</f>
        <v>336000</v>
      </c>
      <c r="J12" s="59">
        <f>J32*O12</f>
        <v>288000</v>
      </c>
      <c r="K12" s="59">
        <f>K32*O12</f>
        <v>432000</v>
      </c>
      <c r="L12" s="59">
        <f>L32*O12</f>
        <v>528000</v>
      </c>
      <c r="M12" s="59">
        <f>M32*O12</f>
        <v>480000</v>
      </c>
      <c r="N12" s="59">
        <f>O12*N32</f>
        <v>528000</v>
      </c>
      <c r="O12" s="49">
        <v>4800000</v>
      </c>
    </row>
    <row r="13" ht="21.95" hidden="1" customHeight="1" spans="1:15">
      <c r="A13" s="51"/>
      <c r="B13" s="54"/>
      <c r="C13" s="52">
        <v>0.05</v>
      </c>
      <c r="D13" s="52">
        <v>0.06</v>
      </c>
      <c r="E13" s="52">
        <v>0.09</v>
      </c>
      <c r="F13" s="52">
        <v>0.08</v>
      </c>
      <c r="G13" s="52">
        <v>0.1</v>
      </c>
      <c r="H13" s="52">
        <v>0.08</v>
      </c>
      <c r="I13" s="52">
        <v>0.07</v>
      </c>
      <c r="J13" s="52">
        <v>0.06</v>
      </c>
      <c r="K13" s="52">
        <v>0.09</v>
      </c>
      <c r="L13" s="52">
        <v>0.11</v>
      </c>
      <c r="M13" s="52">
        <v>0.1</v>
      </c>
      <c r="N13" s="52">
        <v>0.11</v>
      </c>
      <c r="O13" s="61">
        <f>N13+M13+L13+K13+J13+I13+H13+G13+F13+E13+D13+C13</f>
        <v>1</v>
      </c>
    </row>
    <row r="14" ht="21.95" customHeight="1" spans="1:15">
      <c r="A14" s="51" t="s">
        <v>660</v>
      </c>
      <c r="B14" s="54" t="s">
        <v>661</v>
      </c>
      <c r="C14" s="54">
        <f>C13*O14</f>
        <v>20000</v>
      </c>
      <c r="D14" s="54">
        <f>D13*O14</f>
        <v>24000</v>
      </c>
      <c r="E14" s="54">
        <f>E13*O14</f>
        <v>36000</v>
      </c>
      <c r="F14" s="54">
        <f>F13*O14</f>
        <v>32000</v>
      </c>
      <c r="G14" s="54">
        <f>G13*O14</f>
        <v>40000</v>
      </c>
      <c r="H14" s="54">
        <f>H13*O14</f>
        <v>32000</v>
      </c>
      <c r="I14" s="54">
        <f>I13*O14</f>
        <v>28000</v>
      </c>
      <c r="J14" s="54">
        <f>J13*O14</f>
        <v>24000</v>
      </c>
      <c r="K14" s="54">
        <f>K13*O14</f>
        <v>36000</v>
      </c>
      <c r="L14" s="54">
        <f>L13*O14</f>
        <v>44000</v>
      </c>
      <c r="M14" s="54">
        <f>M13*O14</f>
        <v>40000</v>
      </c>
      <c r="N14" s="54">
        <f>N13*O14</f>
        <v>44000</v>
      </c>
      <c r="O14" s="54">
        <v>400000</v>
      </c>
    </row>
    <row r="15" ht="21.95" customHeight="1" spans="1:15">
      <c r="A15" s="51"/>
      <c r="B15" s="54" t="s">
        <v>662</v>
      </c>
      <c r="C15" s="54">
        <f>C13*O15</f>
        <v>15000</v>
      </c>
      <c r="D15" s="54">
        <f>D13*O15</f>
        <v>18000</v>
      </c>
      <c r="E15" s="54">
        <f>E13*O15</f>
        <v>27000</v>
      </c>
      <c r="F15" s="54">
        <f>F13*O15</f>
        <v>24000</v>
      </c>
      <c r="G15" s="54">
        <f>G13*O15</f>
        <v>30000</v>
      </c>
      <c r="H15" s="54">
        <f>H13*O15</f>
        <v>24000</v>
      </c>
      <c r="I15" s="54">
        <f>I13*O15</f>
        <v>21000</v>
      </c>
      <c r="J15" s="54">
        <f>J13*O15</f>
        <v>18000</v>
      </c>
      <c r="K15" s="54">
        <f>K13*O15</f>
        <v>27000</v>
      </c>
      <c r="L15" s="54">
        <f>L13*O15</f>
        <v>33000</v>
      </c>
      <c r="M15" s="54">
        <f>M13*O15</f>
        <v>30000</v>
      </c>
      <c r="N15" s="54">
        <f>N13*O15</f>
        <v>33000</v>
      </c>
      <c r="O15" s="54">
        <v>300000</v>
      </c>
    </row>
    <row r="16" ht="21.95" customHeight="1" spans="1:15">
      <c r="A16" s="51"/>
      <c r="B16" s="54" t="s">
        <v>663</v>
      </c>
      <c r="C16" s="54">
        <f>C13*O16</f>
        <v>5000</v>
      </c>
      <c r="D16" s="54">
        <f>D13*O16</f>
        <v>6000</v>
      </c>
      <c r="E16" s="54">
        <f>E13*O16</f>
        <v>9000</v>
      </c>
      <c r="F16" s="54">
        <f>F13*O16</f>
        <v>8000</v>
      </c>
      <c r="G16" s="54">
        <f>G13*O16</f>
        <v>10000</v>
      </c>
      <c r="H16" s="54">
        <f>H13*O16</f>
        <v>8000</v>
      </c>
      <c r="I16" s="54">
        <f>I13*O16</f>
        <v>7000</v>
      </c>
      <c r="J16" s="54">
        <f>J13*O16</f>
        <v>6000</v>
      </c>
      <c r="K16" s="54">
        <f>K13*O16</f>
        <v>9000</v>
      </c>
      <c r="L16" s="54">
        <f>L13*O16</f>
        <v>11000</v>
      </c>
      <c r="M16" s="54">
        <f>M13*O16</f>
        <v>10000</v>
      </c>
      <c r="N16" s="54">
        <f>N13*O16</f>
        <v>11000</v>
      </c>
      <c r="O16" s="54">
        <v>100000</v>
      </c>
    </row>
    <row r="17" ht="21.95" customHeight="1" spans="1:15">
      <c r="A17" s="51"/>
      <c r="B17" s="54" t="s">
        <v>664</v>
      </c>
      <c r="C17" s="54">
        <f>C13*O17</f>
        <v>85000</v>
      </c>
      <c r="D17" s="54">
        <f>D13*O17</f>
        <v>102000</v>
      </c>
      <c r="E17" s="54">
        <f>E13*O17</f>
        <v>153000</v>
      </c>
      <c r="F17" s="54">
        <f>F13*O17</f>
        <v>136000</v>
      </c>
      <c r="G17" s="54">
        <f>G13*O17</f>
        <v>170000</v>
      </c>
      <c r="H17" s="54">
        <f>H13*O17</f>
        <v>136000</v>
      </c>
      <c r="I17" s="54">
        <f>I13*O17</f>
        <v>119000</v>
      </c>
      <c r="J17" s="54">
        <f>J13*O17</f>
        <v>102000</v>
      </c>
      <c r="K17" s="54">
        <f>K13*O17</f>
        <v>153000</v>
      </c>
      <c r="L17" s="54">
        <f>L13*O17</f>
        <v>187000</v>
      </c>
      <c r="M17" s="54">
        <f>M13*O17</f>
        <v>170000</v>
      </c>
      <c r="N17" s="54">
        <f>N13*O17</f>
        <v>187000</v>
      </c>
      <c r="O17" s="54">
        <v>1700000</v>
      </c>
    </row>
    <row r="18" ht="21.95" customHeight="1" spans="1:15">
      <c r="A18" s="51"/>
      <c r="B18" s="54" t="s">
        <v>665</v>
      </c>
      <c r="C18" s="54">
        <f>C13*O18</f>
        <v>2500</v>
      </c>
      <c r="D18" s="54">
        <f>D13*O18</f>
        <v>3000</v>
      </c>
      <c r="E18" s="54">
        <f>E13*O18</f>
        <v>4500</v>
      </c>
      <c r="F18" s="54">
        <f>F13*O18</f>
        <v>4000</v>
      </c>
      <c r="G18" s="54">
        <f>G13*O18</f>
        <v>5000</v>
      </c>
      <c r="H18" s="54">
        <f>H13*O18</f>
        <v>4000</v>
      </c>
      <c r="I18" s="54">
        <f>I13*O18</f>
        <v>3500</v>
      </c>
      <c r="J18" s="54">
        <f>J13*O18</f>
        <v>3000</v>
      </c>
      <c r="K18" s="54">
        <f>K13*O18</f>
        <v>4500</v>
      </c>
      <c r="L18" s="54">
        <f>L13*O18</f>
        <v>5500</v>
      </c>
      <c r="M18" s="54">
        <f>M13*O18</f>
        <v>5000</v>
      </c>
      <c r="N18" s="54">
        <f>N13*O18</f>
        <v>5500</v>
      </c>
      <c r="O18" s="54">
        <v>50000</v>
      </c>
    </row>
    <row r="19" ht="21.95" customHeight="1" spans="1:15">
      <c r="A19" s="51"/>
      <c r="B19" s="54" t="s">
        <v>666</v>
      </c>
      <c r="C19" s="54">
        <f>C13*O19</f>
        <v>40000</v>
      </c>
      <c r="D19" s="54">
        <f>D13*O19</f>
        <v>48000</v>
      </c>
      <c r="E19" s="54">
        <f>E13*O19</f>
        <v>72000</v>
      </c>
      <c r="F19" s="54">
        <f>F13*O19</f>
        <v>64000</v>
      </c>
      <c r="G19" s="54">
        <f>G13*O19</f>
        <v>80000</v>
      </c>
      <c r="H19" s="54">
        <f>H13*O19</f>
        <v>64000</v>
      </c>
      <c r="I19" s="54">
        <f>I13*O19</f>
        <v>56000</v>
      </c>
      <c r="J19" s="54">
        <f>J13*O19</f>
        <v>48000</v>
      </c>
      <c r="K19" s="54">
        <f>K13*O19</f>
        <v>72000</v>
      </c>
      <c r="L19" s="54">
        <f>L13*O19</f>
        <v>88000</v>
      </c>
      <c r="M19" s="54">
        <f>M13*O19</f>
        <v>80000</v>
      </c>
      <c r="N19" s="54">
        <f>N13*O19</f>
        <v>88000</v>
      </c>
      <c r="O19" s="54">
        <v>800000</v>
      </c>
    </row>
    <row r="20" ht="21.95" customHeight="1" spans="1:15">
      <c r="A20" s="51"/>
      <c r="B20" s="54" t="s">
        <v>667</v>
      </c>
      <c r="C20" s="54">
        <f>C13*O20</f>
        <v>2500</v>
      </c>
      <c r="D20" s="54">
        <f>D13*O20</f>
        <v>3000</v>
      </c>
      <c r="E20" s="54">
        <f>E13*O20</f>
        <v>4500</v>
      </c>
      <c r="F20" s="54">
        <f>F13*O20</f>
        <v>4000</v>
      </c>
      <c r="G20" s="54">
        <f>G13*O20</f>
        <v>5000</v>
      </c>
      <c r="H20" s="54">
        <f>H13*O20</f>
        <v>4000</v>
      </c>
      <c r="I20" s="54">
        <f>I13*O20</f>
        <v>3500</v>
      </c>
      <c r="J20" s="54">
        <f>J13*O20</f>
        <v>3000</v>
      </c>
      <c r="K20" s="54">
        <f>K13*O20</f>
        <v>4500</v>
      </c>
      <c r="L20" s="54">
        <f>L13*O20</f>
        <v>5500</v>
      </c>
      <c r="M20" s="54">
        <f>M13*O20</f>
        <v>5000</v>
      </c>
      <c r="N20" s="54">
        <f>N13*O20</f>
        <v>5500</v>
      </c>
      <c r="O20" s="54">
        <v>50000</v>
      </c>
    </row>
    <row r="21" ht="21.95" customHeight="1" spans="1:15">
      <c r="A21" s="51"/>
      <c r="B21" s="54" t="s">
        <v>668</v>
      </c>
      <c r="C21" s="54">
        <v>2500</v>
      </c>
      <c r="D21" s="54">
        <v>3000</v>
      </c>
      <c r="E21" s="54">
        <v>4500</v>
      </c>
      <c r="F21" s="54">
        <v>4000</v>
      </c>
      <c r="G21" s="54">
        <v>5000</v>
      </c>
      <c r="H21" s="54">
        <v>4000</v>
      </c>
      <c r="I21" s="54">
        <v>3500</v>
      </c>
      <c r="J21" s="54">
        <v>3000</v>
      </c>
      <c r="K21" s="54">
        <v>4500</v>
      </c>
      <c r="L21" s="54">
        <v>5500</v>
      </c>
      <c r="M21" s="54">
        <v>5000</v>
      </c>
      <c r="N21" s="54">
        <v>5500</v>
      </c>
      <c r="O21" s="54">
        <v>50000</v>
      </c>
    </row>
    <row r="22" ht="21.95" customHeight="1" spans="1:15">
      <c r="A22" s="51"/>
      <c r="B22" s="54" t="s">
        <v>669</v>
      </c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</row>
    <row r="23" ht="21.95" customHeight="1" spans="1:15">
      <c r="A23" s="51"/>
      <c r="B23" s="54" t="s">
        <v>670</v>
      </c>
      <c r="C23" s="54">
        <v>2500</v>
      </c>
      <c r="D23" s="54">
        <v>3000</v>
      </c>
      <c r="E23" s="54">
        <v>4500</v>
      </c>
      <c r="F23" s="54">
        <v>4000</v>
      </c>
      <c r="G23" s="54">
        <v>5000</v>
      </c>
      <c r="H23" s="54">
        <v>4000</v>
      </c>
      <c r="I23" s="54">
        <v>3500</v>
      </c>
      <c r="J23" s="54">
        <v>3000</v>
      </c>
      <c r="K23" s="54">
        <v>4500</v>
      </c>
      <c r="L23" s="54">
        <v>5500</v>
      </c>
      <c r="M23" s="54">
        <v>5000</v>
      </c>
      <c r="N23" s="54">
        <v>5500</v>
      </c>
      <c r="O23" s="54">
        <v>50000</v>
      </c>
    </row>
    <row r="24" ht="21.95" customHeight="1" spans="1:15">
      <c r="A24" s="51"/>
      <c r="B24" s="49" t="s">
        <v>671</v>
      </c>
      <c r="C24" s="49">
        <f>C13*O24</f>
        <v>175000</v>
      </c>
      <c r="D24" s="49">
        <f>D13*O24</f>
        <v>210000</v>
      </c>
      <c r="E24" s="49">
        <f>E13*O24</f>
        <v>315000</v>
      </c>
      <c r="F24" s="49">
        <f>F13*O24</f>
        <v>280000</v>
      </c>
      <c r="G24" s="49">
        <f>G13*O24</f>
        <v>350000</v>
      </c>
      <c r="H24" s="49">
        <f>H13*O24</f>
        <v>280000</v>
      </c>
      <c r="I24" s="49">
        <f>I13*O24</f>
        <v>245000</v>
      </c>
      <c r="J24" s="49">
        <f>J13*O24</f>
        <v>210000</v>
      </c>
      <c r="K24" s="49">
        <f>K13*O24</f>
        <v>315000</v>
      </c>
      <c r="L24" s="49">
        <f>L13*O24</f>
        <v>385000</v>
      </c>
      <c r="M24" s="49">
        <f>M13*O24</f>
        <v>350000</v>
      </c>
      <c r="N24" s="49">
        <f>N13*O24</f>
        <v>385000</v>
      </c>
      <c r="O24" s="49">
        <v>3500000</v>
      </c>
    </row>
    <row r="25" ht="21.95" hidden="1" customHeight="1" spans="1:15">
      <c r="A25" s="51" t="s">
        <v>672</v>
      </c>
      <c r="B25" s="54" t="s">
        <v>673</v>
      </c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</row>
    <row r="26" ht="21.95" hidden="1" customHeight="1" spans="1:15">
      <c r="A26" s="51"/>
      <c r="B26" s="54" t="s">
        <v>674</v>
      </c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</row>
    <row r="27" ht="21.95" customHeight="1" spans="1:15">
      <c r="A27" s="51"/>
      <c r="B27" s="54" t="s">
        <v>675</v>
      </c>
      <c r="C27" s="54">
        <f>C32*O27</f>
        <v>40000</v>
      </c>
      <c r="D27" s="54">
        <f>D32*O27</f>
        <v>48000</v>
      </c>
      <c r="E27" s="54">
        <f>E32*O27</f>
        <v>72000</v>
      </c>
      <c r="F27" s="54">
        <f>F32*O27</f>
        <v>64000</v>
      </c>
      <c r="G27" s="54">
        <f>G32*O27</f>
        <v>80000</v>
      </c>
      <c r="H27" s="54">
        <f>H32*O27</f>
        <v>64000</v>
      </c>
      <c r="I27" s="54">
        <f>I32*O27</f>
        <v>56000</v>
      </c>
      <c r="J27" s="54">
        <f>J32*O27</f>
        <v>48000</v>
      </c>
      <c r="K27" s="54">
        <f>K32*O27</f>
        <v>72000</v>
      </c>
      <c r="L27" s="54">
        <f>L32*O27</f>
        <v>88000</v>
      </c>
      <c r="M27" s="54">
        <f>M32*O27</f>
        <v>80000</v>
      </c>
      <c r="N27" s="54">
        <f>N32*O27</f>
        <v>88000</v>
      </c>
      <c r="O27" s="54">
        <v>800000</v>
      </c>
    </row>
    <row r="28" ht="21.95" customHeight="1" spans="1:15">
      <c r="A28" s="51"/>
      <c r="B28" s="54" t="s">
        <v>676</v>
      </c>
      <c r="C28" s="54">
        <f>C32*O28</f>
        <v>85000</v>
      </c>
      <c r="D28" s="54">
        <f>D32*O28</f>
        <v>102000</v>
      </c>
      <c r="E28" s="54">
        <f>E32*O28</f>
        <v>153000</v>
      </c>
      <c r="F28" s="54">
        <f>F32*O28</f>
        <v>136000</v>
      </c>
      <c r="G28" s="54">
        <f>G32*O28</f>
        <v>170000</v>
      </c>
      <c r="H28" s="54">
        <f>H32*O28</f>
        <v>136000</v>
      </c>
      <c r="I28" s="54">
        <f>I32*O28</f>
        <v>119000</v>
      </c>
      <c r="J28" s="54">
        <f>J32*O28</f>
        <v>102000</v>
      </c>
      <c r="K28" s="54">
        <f>K32*O28</f>
        <v>153000</v>
      </c>
      <c r="L28" s="54">
        <f>L32*O28</f>
        <v>187000</v>
      </c>
      <c r="M28" s="54">
        <f>M32*O28</f>
        <v>170000</v>
      </c>
      <c r="N28" s="54">
        <f>N32*O28</f>
        <v>187000</v>
      </c>
      <c r="O28" s="54">
        <v>1700000</v>
      </c>
    </row>
    <row r="29" ht="21.95" customHeight="1" spans="1:15">
      <c r="A29" s="51"/>
      <c r="B29" s="54" t="s">
        <v>677</v>
      </c>
      <c r="C29" s="54">
        <f>O29*C32</f>
        <v>10000</v>
      </c>
      <c r="D29" s="54">
        <f>D32*O29</f>
        <v>12000</v>
      </c>
      <c r="E29" s="54">
        <f>O29*E32</f>
        <v>18000</v>
      </c>
      <c r="F29" s="54">
        <f>O29*F32</f>
        <v>16000</v>
      </c>
      <c r="G29" s="54">
        <f>O29*G32</f>
        <v>20000</v>
      </c>
      <c r="H29" s="54">
        <f>O29*H32</f>
        <v>16000</v>
      </c>
      <c r="I29" s="54">
        <f>O29*I32</f>
        <v>14000</v>
      </c>
      <c r="J29" s="54">
        <f>O29*J32</f>
        <v>12000</v>
      </c>
      <c r="K29" s="54">
        <f>O29*K32</f>
        <v>18000</v>
      </c>
      <c r="L29" s="54">
        <f>O29*L32</f>
        <v>22000</v>
      </c>
      <c r="M29" s="54">
        <f>O29*M32</f>
        <v>20000</v>
      </c>
      <c r="N29" s="54">
        <f>O29*N32</f>
        <v>22000</v>
      </c>
      <c r="O29" s="54">
        <v>200000</v>
      </c>
    </row>
    <row r="30" ht="21.95" customHeight="1" spans="1:15">
      <c r="A30" s="51"/>
      <c r="B30" s="49" t="s">
        <v>678</v>
      </c>
      <c r="C30" s="49">
        <f>C32*O30</f>
        <v>135000</v>
      </c>
      <c r="D30" s="49">
        <f>D32*O30</f>
        <v>162000</v>
      </c>
      <c r="E30" s="49">
        <f>E32*O30</f>
        <v>243000</v>
      </c>
      <c r="F30" s="49">
        <f>F32*O30</f>
        <v>216000</v>
      </c>
      <c r="G30" s="49">
        <f>G32*O30</f>
        <v>270000</v>
      </c>
      <c r="H30" s="49">
        <f>H32*O30</f>
        <v>216000</v>
      </c>
      <c r="I30" s="49">
        <f>I32*O30</f>
        <v>189000</v>
      </c>
      <c r="J30" s="49">
        <f>J32*O30</f>
        <v>162000</v>
      </c>
      <c r="K30" s="49">
        <f>K32*O30</f>
        <v>243000</v>
      </c>
      <c r="L30" s="49">
        <f>L32*O30</f>
        <v>297000</v>
      </c>
      <c r="M30" s="49">
        <f>M32*O30</f>
        <v>270000</v>
      </c>
      <c r="N30" s="49">
        <f>N32*O30</f>
        <v>297000</v>
      </c>
      <c r="O30" s="49">
        <v>2700000</v>
      </c>
    </row>
    <row r="31" ht="21.95" customHeight="1" spans="1:15">
      <c r="A31" s="54" t="s">
        <v>679</v>
      </c>
      <c r="B31" s="60"/>
      <c r="C31" s="60">
        <f t="shared" ref="C31:O31" si="0">C30+C24+C12</f>
        <v>550000</v>
      </c>
      <c r="D31" s="60">
        <f t="shared" si="0"/>
        <v>660000</v>
      </c>
      <c r="E31" s="60">
        <f t="shared" si="0"/>
        <v>990000</v>
      </c>
      <c r="F31" s="60">
        <f t="shared" si="0"/>
        <v>880000</v>
      </c>
      <c r="G31" s="60">
        <f t="shared" si="0"/>
        <v>1100000</v>
      </c>
      <c r="H31" s="60">
        <f t="shared" si="0"/>
        <v>880000</v>
      </c>
      <c r="I31" s="60">
        <f t="shared" si="0"/>
        <v>770000</v>
      </c>
      <c r="J31" s="60">
        <f t="shared" si="0"/>
        <v>660000</v>
      </c>
      <c r="K31" s="60">
        <f t="shared" si="0"/>
        <v>990000</v>
      </c>
      <c r="L31" s="60">
        <f t="shared" si="0"/>
        <v>1210000</v>
      </c>
      <c r="M31" s="60">
        <f t="shared" si="0"/>
        <v>1100000</v>
      </c>
      <c r="N31" s="60">
        <f t="shared" si="0"/>
        <v>1210000</v>
      </c>
      <c r="O31" s="60">
        <f t="shared" si="0"/>
        <v>11000000</v>
      </c>
    </row>
    <row r="32" ht="15" hidden="1" spans="3:14">
      <c r="C32" s="52">
        <v>0.05</v>
      </c>
      <c r="D32" s="52">
        <v>0.06</v>
      </c>
      <c r="E32" s="52">
        <v>0.09</v>
      </c>
      <c r="F32" s="52">
        <v>0.08</v>
      </c>
      <c r="G32" s="52">
        <v>0.1</v>
      </c>
      <c r="H32" s="52">
        <v>0.08</v>
      </c>
      <c r="I32" s="52">
        <v>0.07</v>
      </c>
      <c r="J32" s="52">
        <v>0.06</v>
      </c>
      <c r="K32" s="52">
        <v>0.09</v>
      </c>
      <c r="L32" s="52">
        <v>0.11</v>
      </c>
      <c r="M32" s="52">
        <v>0.1</v>
      </c>
      <c r="N32" s="52">
        <v>0.11</v>
      </c>
    </row>
  </sheetData>
  <mergeCells count="7">
    <mergeCell ref="C1:O1"/>
    <mergeCell ref="A12:B12"/>
    <mergeCell ref="A1:A2"/>
    <mergeCell ref="A4:A11"/>
    <mergeCell ref="A14:A24"/>
    <mergeCell ref="A25:A30"/>
    <mergeCell ref="B1:B2"/>
  </mergeCells>
  <pageMargins left="0.75" right="0.75" top="1" bottom="1" header="0.5" footer="0.5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3"/>
  <sheetViews>
    <sheetView view="pageBreakPreview" zoomScale="55" zoomScaleNormal="80" workbookViewId="0">
      <pane xSplit="1" ySplit="1" topLeftCell="B2" activePane="bottomRight" state="frozen"/>
      <selection/>
      <selection pane="topRight"/>
      <selection pane="bottomLeft"/>
      <selection pane="bottomRight" activeCell="J8" sqref="J8"/>
    </sheetView>
  </sheetViews>
  <sheetFormatPr defaultColWidth="9" defaultRowHeight="14" outlineLevelCol="4"/>
  <cols>
    <col min="1" max="1" width="32.7545454545455" customWidth="1"/>
    <col min="2" max="2" width="27.3727272727273" customWidth="1"/>
    <col min="3" max="3" width="27.7545454545455" customWidth="1"/>
    <col min="4" max="4" width="66.5" customWidth="1"/>
    <col min="5" max="5" width="54.1272727272727" customWidth="1"/>
  </cols>
  <sheetData>
    <row r="1" ht="44.1" customHeight="1" spans="1:5">
      <c r="A1" s="32" t="s">
        <v>680</v>
      </c>
      <c r="B1" s="33" t="s">
        <v>681</v>
      </c>
      <c r="C1" s="32" t="s">
        <v>682</v>
      </c>
      <c r="D1" s="34" t="s">
        <v>683</v>
      </c>
      <c r="E1" s="32" t="s">
        <v>12</v>
      </c>
    </row>
    <row r="2" ht="162" customHeight="1" spans="1:5">
      <c r="A2" s="34" t="s">
        <v>684</v>
      </c>
      <c r="B2" s="33" t="s">
        <v>685</v>
      </c>
      <c r="C2" s="35">
        <v>1</v>
      </c>
      <c r="D2" s="33" t="s">
        <v>686</v>
      </c>
      <c r="E2" s="33" t="s">
        <v>687</v>
      </c>
    </row>
    <row r="3" ht="19" spans="1:5">
      <c r="A3" s="36" t="s">
        <v>186</v>
      </c>
      <c r="B3" s="37"/>
      <c r="C3" s="37"/>
      <c r="D3" s="37"/>
      <c r="E3" s="38"/>
    </row>
    <row r="4" ht="19" spans="1:5">
      <c r="A4" s="39" t="s">
        <v>127</v>
      </c>
      <c r="B4" s="39"/>
      <c r="C4" s="39"/>
      <c r="D4" s="39"/>
      <c r="E4" s="39"/>
    </row>
    <row r="5" ht="20" spans="1:5">
      <c r="A5" s="40" t="s">
        <v>128</v>
      </c>
      <c r="B5" s="40"/>
      <c r="C5" s="40"/>
      <c r="D5" s="40"/>
      <c r="E5" s="40"/>
    </row>
    <row r="6" ht="19" spans="1:5">
      <c r="A6" s="41"/>
      <c r="B6" s="41"/>
      <c r="C6" s="41"/>
      <c r="D6" s="41"/>
      <c r="E6" s="41"/>
    </row>
    <row r="7" ht="19" spans="1:5">
      <c r="A7" s="32" t="s">
        <v>680</v>
      </c>
      <c r="B7" s="33" t="s">
        <v>681</v>
      </c>
      <c r="C7" s="32" t="s">
        <v>682</v>
      </c>
      <c r="D7" s="34" t="s">
        <v>683</v>
      </c>
      <c r="E7" s="32" t="s">
        <v>12</v>
      </c>
    </row>
    <row r="8" ht="137.1" customHeight="1" spans="1:5">
      <c r="A8" s="34" t="s">
        <v>688</v>
      </c>
      <c r="B8" s="33" t="s">
        <v>685</v>
      </c>
      <c r="C8" s="35">
        <v>1</v>
      </c>
      <c r="D8" s="33" t="s">
        <v>689</v>
      </c>
      <c r="E8" s="42" t="s">
        <v>690</v>
      </c>
    </row>
    <row r="9" ht="19" spans="1:5">
      <c r="A9" s="36" t="s">
        <v>186</v>
      </c>
      <c r="B9" s="37"/>
      <c r="C9" s="37"/>
      <c r="D9" s="37"/>
      <c r="E9" s="38"/>
    </row>
    <row r="10" ht="19" spans="1:5">
      <c r="A10" s="39" t="s">
        <v>127</v>
      </c>
      <c r="B10" s="39"/>
      <c r="C10" s="39"/>
      <c r="D10" s="39"/>
      <c r="E10" s="39"/>
    </row>
    <row r="11" ht="20" spans="1:5">
      <c r="A11" s="40" t="s">
        <v>128</v>
      </c>
      <c r="B11" s="40"/>
      <c r="C11" s="40"/>
      <c r="D11" s="40"/>
      <c r="E11" s="40"/>
    </row>
    <row r="12" ht="19" spans="1:5">
      <c r="A12" s="41"/>
      <c r="B12" s="41"/>
      <c r="C12" s="41"/>
      <c r="D12" s="41"/>
      <c r="E12" s="41"/>
    </row>
    <row r="13" ht="19" spans="1:5">
      <c r="A13" s="32" t="s">
        <v>680</v>
      </c>
      <c r="B13" s="33" t="s">
        <v>681</v>
      </c>
      <c r="C13" s="32" t="s">
        <v>682</v>
      </c>
      <c r="D13" s="34" t="s">
        <v>683</v>
      </c>
      <c r="E13" s="32" t="s">
        <v>12</v>
      </c>
    </row>
    <row r="14" ht="110.1" customHeight="1" spans="1:5">
      <c r="A14" s="34" t="s">
        <v>691</v>
      </c>
      <c r="B14" s="33" t="s">
        <v>685</v>
      </c>
      <c r="C14" s="35">
        <v>1</v>
      </c>
      <c r="D14" s="33" t="s">
        <v>689</v>
      </c>
      <c r="E14" s="43" t="s">
        <v>687</v>
      </c>
    </row>
    <row r="15" ht="19" spans="1:5">
      <c r="A15" s="36" t="s">
        <v>186</v>
      </c>
      <c r="B15" s="37"/>
      <c r="C15" s="37"/>
      <c r="D15" s="37"/>
      <c r="E15" s="38"/>
    </row>
    <row r="16" ht="19" spans="1:5">
      <c r="A16" s="39" t="s">
        <v>127</v>
      </c>
      <c r="B16" s="39"/>
      <c r="C16" s="39"/>
      <c r="D16" s="39"/>
      <c r="E16" s="39"/>
    </row>
    <row r="17" ht="20" spans="1:5">
      <c r="A17" s="40" t="s">
        <v>128</v>
      </c>
      <c r="B17" s="40"/>
      <c r="C17" s="40"/>
      <c r="D17" s="40"/>
      <c r="E17" s="40"/>
    </row>
    <row r="18" ht="19" spans="1:5">
      <c r="A18" s="41"/>
      <c r="B18" s="41"/>
      <c r="C18" s="41"/>
      <c r="D18" s="41"/>
      <c r="E18" s="41"/>
    </row>
    <row r="19" ht="19" spans="1:5">
      <c r="A19" s="32" t="s">
        <v>680</v>
      </c>
      <c r="B19" s="33" t="s">
        <v>681</v>
      </c>
      <c r="C19" s="32" t="s">
        <v>682</v>
      </c>
      <c r="D19" s="34" t="s">
        <v>683</v>
      </c>
      <c r="E19" s="32" t="s">
        <v>12</v>
      </c>
    </row>
    <row r="20" ht="114.95" customHeight="1" spans="1:5">
      <c r="A20" s="44" t="s">
        <v>692</v>
      </c>
      <c r="B20" s="33" t="s">
        <v>685</v>
      </c>
      <c r="C20" s="35">
        <v>1</v>
      </c>
      <c r="D20" s="33" t="s">
        <v>689</v>
      </c>
      <c r="E20" s="43" t="s">
        <v>687</v>
      </c>
    </row>
    <row r="21" ht="19" spans="1:5">
      <c r="A21" s="36" t="s">
        <v>186</v>
      </c>
      <c r="B21" s="37"/>
      <c r="C21" s="37"/>
      <c r="D21" s="37"/>
      <c r="E21" s="38"/>
    </row>
    <row r="22" ht="19" spans="1:5">
      <c r="A22" s="39" t="s">
        <v>127</v>
      </c>
      <c r="B22" s="39"/>
      <c r="C22" s="39"/>
      <c r="D22" s="39"/>
      <c r="E22" s="39"/>
    </row>
    <row r="23" ht="20" spans="1:5">
      <c r="A23" s="40" t="s">
        <v>128</v>
      </c>
      <c r="B23" s="40"/>
      <c r="C23" s="40"/>
      <c r="D23" s="40"/>
      <c r="E23" s="40"/>
    </row>
  </sheetData>
  <mergeCells count="12">
    <mergeCell ref="A3:E3"/>
    <mergeCell ref="A4:E4"/>
    <mergeCell ref="A5:E5"/>
    <mergeCell ref="A9:E9"/>
    <mergeCell ref="A10:E10"/>
    <mergeCell ref="A11:E11"/>
    <mergeCell ref="A15:E15"/>
    <mergeCell ref="A16:E16"/>
    <mergeCell ref="A17:E17"/>
    <mergeCell ref="A21:E21"/>
    <mergeCell ref="A22:E22"/>
    <mergeCell ref="A23:E23"/>
  </mergeCells>
  <pageMargins left="0.196527777777778" right="0.196527777777778" top="0.2125" bottom="0.2125" header="0.10625" footer="0.10625"/>
  <pageSetup paperSize="9" scale="55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9"/>
  <sheetViews>
    <sheetView topLeftCell="A41" workbookViewId="0">
      <selection activeCell="B60" sqref="B60"/>
    </sheetView>
  </sheetViews>
  <sheetFormatPr defaultColWidth="9" defaultRowHeight="14"/>
  <cols>
    <col min="1" max="16384" width="9" style="1"/>
  </cols>
  <sheetData>
    <row r="1" spans="1:20">
      <c r="A1" s="2"/>
      <c r="B1" s="3" t="s">
        <v>492</v>
      </c>
      <c r="C1" s="3" t="s">
        <v>493</v>
      </c>
      <c r="D1" s="3" t="s">
        <v>494</v>
      </c>
      <c r="E1" s="3" t="s">
        <v>495</v>
      </c>
      <c r="F1" s="4" t="s">
        <v>496</v>
      </c>
      <c r="G1" s="4"/>
      <c r="H1" s="2"/>
      <c r="M1"/>
      <c r="N1" s="3" t="s">
        <v>492</v>
      </c>
      <c r="O1" s="3" t="s">
        <v>493</v>
      </c>
      <c r="P1" s="3" t="s">
        <v>494</v>
      </c>
      <c r="Q1" s="3" t="s">
        <v>495</v>
      </c>
      <c r="R1" s="30" t="s">
        <v>496</v>
      </c>
      <c r="S1"/>
      <c r="T1"/>
    </row>
    <row r="2" spans="1:20">
      <c r="A2" s="2" t="s">
        <v>114</v>
      </c>
      <c r="B2" s="5" t="s">
        <v>353</v>
      </c>
      <c r="C2" s="5">
        <v>160958</v>
      </c>
      <c r="D2" s="5">
        <v>114538</v>
      </c>
      <c r="E2" s="5">
        <f t="shared" ref="E2:E32" si="0">C2-D2</f>
        <v>46420</v>
      </c>
      <c r="F2" s="6">
        <v>155330</v>
      </c>
      <c r="G2" s="2">
        <f t="shared" ref="G2:G32" si="1">E2-F2</f>
        <v>-108910</v>
      </c>
      <c r="H2" s="7" t="s">
        <v>693</v>
      </c>
      <c r="M2" t="s">
        <v>114</v>
      </c>
      <c r="N2" s="16" t="s">
        <v>406</v>
      </c>
      <c r="O2" s="16">
        <v>17958</v>
      </c>
      <c r="P2" s="5"/>
      <c r="Q2" s="5">
        <f t="shared" ref="Q2:Q14" si="2">O2-P2</f>
        <v>17958</v>
      </c>
      <c r="R2">
        <v>17958</v>
      </c>
      <c r="S2">
        <f t="shared" ref="S2:S14" si="3">Q2-R2</f>
        <v>0</v>
      </c>
      <c r="T2"/>
    </row>
    <row r="3" spans="1:20">
      <c r="A3" s="2"/>
      <c r="B3" s="5" t="s">
        <v>347</v>
      </c>
      <c r="C3" s="5">
        <v>3246</v>
      </c>
      <c r="D3" s="5">
        <v>19842</v>
      </c>
      <c r="E3" s="5">
        <f t="shared" si="0"/>
        <v>-16596</v>
      </c>
      <c r="F3" s="6">
        <v>-16596</v>
      </c>
      <c r="G3" s="2">
        <f t="shared" si="1"/>
        <v>0</v>
      </c>
      <c r="H3" s="2"/>
      <c r="M3"/>
      <c r="N3" s="16" t="s">
        <v>446</v>
      </c>
      <c r="O3" s="16">
        <v>1690</v>
      </c>
      <c r="P3" s="5"/>
      <c r="Q3" s="5">
        <f t="shared" si="2"/>
        <v>1690</v>
      </c>
      <c r="R3">
        <v>1690</v>
      </c>
      <c r="S3">
        <f t="shared" si="3"/>
        <v>0</v>
      </c>
      <c r="T3"/>
    </row>
    <row r="4" spans="1:20">
      <c r="A4" s="2"/>
      <c r="B4" s="8" t="s">
        <v>499</v>
      </c>
      <c r="C4" s="8">
        <v>579539.32</v>
      </c>
      <c r="D4" s="8"/>
      <c r="E4" s="8">
        <f t="shared" si="0"/>
        <v>579539.32</v>
      </c>
      <c r="F4" s="9"/>
      <c r="G4" s="2">
        <f t="shared" si="1"/>
        <v>579539.32</v>
      </c>
      <c r="H4" s="2"/>
      <c r="M4"/>
      <c r="N4" s="16" t="s">
        <v>447</v>
      </c>
      <c r="O4" s="16">
        <v>25000</v>
      </c>
      <c r="P4" s="5"/>
      <c r="Q4" s="5">
        <f t="shared" si="2"/>
        <v>25000</v>
      </c>
      <c r="R4">
        <v>25000</v>
      </c>
      <c r="S4">
        <f t="shared" si="3"/>
        <v>0</v>
      </c>
      <c r="T4"/>
    </row>
    <row r="5" spans="1:20">
      <c r="A5"/>
      <c r="B5" s="5" t="s">
        <v>340</v>
      </c>
      <c r="C5" s="5">
        <v>10980</v>
      </c>
      <c r="D5" s="5"/>
      <c r="E5" s="5">
        <f t="shared" si="0"/>
        <v>10980</v>
      </c>
      <c r="F5" s="6">
        <v>10980</v>
      </c>
      <c r="G5" s="2">
        <f t="shared" si="1"/>
        <v>0</v>
      </c>
      <c r="H5"/>
      <c r="M5"/>
      <c r="N5" s="16" t="s">
        <v>458</v>
      </c>
      <c r="O5" s="16">
        <v>3850</v>
      </c>
      <c r="P5" s="5"/>
      <c r="Q5" s="5">
        <f t="shared" si="2"/>
        <v>3850</v>
      </c>
      <c r="R5">
        <v>3850</v>
      </c>
      <c r="S5">
        <f t="shared" si="3"/>
        <v>0</v>
      </c>
      <c r="T5"/>
    </row>
    <row r="6" spans="1:20">
      <c r="A6"/>
      <c r="B6" s="5" t="s">
        <v>357</v>
      </c>
      <c r="C6" s="5">
        <v>78855</v>
      </c>
      <c r="D6" s="5"/>
      <c r="E6" s="5">
        <f t="shared" si="0"/>
        <v>78855</v>
      </c>
      <c r="F6" s="6">
        <v>78855</v>
      </c>
      <c r="G6" s="2">
        <f t="shared" si="1"/>
        <v>0</v>
      </c>
      <c r="H6"/>
      <c r="M6"/>
      <c r="N6" s="16" t="s">
        <v>407</v>
      </c>
      <c r="O6" s="16">
        <v>95622</v>
      </c>
      <c r="P6" s="5">
        <v>11078</v>
      </c>
      <c r="Q6" s="5">
        <f t="shared" si="2"/>
        <v>84544</v>
      </c>
      <c r="R6">
        <v>84544</v>
      </c>
      <c r="S6">
        <f t="shared" si="3"/>
        <v>0</v>
      </c>
      <c r="T6"/>
    </row>
    <row r="7" spans="1:20">
      <c r="A7" s="2"/>
      <c r="B7" s="5" t="s">
        <v>330</v>
      </c>
      <c r="C7" s="5">
        <v>4124</v>
      </c>
      <c r="D7" s="5"/>
      <c r="E7" s="5">
        <f t="shared" si="0"/>
        <v>4124</v>
      </c>
      <c r="F7" s="6">
        <v>4124</v>
      </c>
      <c r="G7" s="2">
        <f t="shared" si="1"/>
        <v>0</v>
      </c>
      <c r="H7" s="2"/>
      <c r="M7"/>
      <c r="N7" s="16" t="s">
        <v>408</v>
      </c>
      <c r="O7" s="16">
        <v>5412</v>
      </c>
      <c r="P7" s="5"/>
      <c r="Q7" s="5">
        <f t="shared" si="2"/>
        <v>5412</v>
      </c>
      <c r="R7">
        <v>5412</v>
      </c>
      <c r="S7">
        <f t="shared" si="3"/>
        <v>0</v>
      </c>
      <c r="T7"/>
    </row>
    <row r="8" spans="1:20">
      <c r="A8"/>
      <c r="B8" s="5" t="s">
        <v>351</v>
      </c>
      <c r="C8" s="5">
        <v>180499</v>
      </c>
      <c r="D8" s="5">
        <v>15992</v>
      </c>
      <c r="E8" s="5">
        <f t="shared" si="0"/>
        <v>164507</v>
      </c>
      <c r="F8" s="6">
        <v>164507</v>
      </c>
      <c r="G8" s="2">
        <f t="shared" si="1"/>
        <v>0</v>
      </c>
      <c r="H8"/>
      <c r="M8"/>
      <c r="N8" s="16" t="s">
        <v>397</v>
      </c>
      <c r="O8" s="16">
        <v>283413.19</v>
      </c>
      <c r="P8" s="5"/>
      <c r="Q8" s="5">
        <f t="shared" si="2"/>
        <v>283413.19</v>
      </c>
      <c r="R8">
        <v>97567.31</v>
      </c>
      <c r="S8" s="11">
        <f t="shared" si="3"/>
        <v>185845.88</v>
      </c>
      <c r="T8" t="s">
        <v>694</v>
      </c>
    </row>
    <row r="9" spans="1:20">
      <c r="A9"/>
      <c r="B9" s="5" t="s">
        <v>356</v>
      </c>
      <c r="C9" s="5">
        <v>308354</v>
      </c>
      <c r="D9" s="5">
        <v>3700</v>
      </c>
      <c r="E9" s="5">
        <f t="shared" si="0"/>
        <v>304654</v>
      </c>
      <c r="F9" s="6">
        <v>304654</v>
      </c>
      <c r="G9" s="2">
        <f t="shared" si="1"/>
        <v>0</v>
      </c>
      <c r="H9"/>
      <c r="M9"/>
      <c r="N9" s="16" t="s">
        <v>409</v>
      </c>
      <c r="O9" s="16">
        <v>149023</v>
      </c>
      <c r="P9" s="5"/>
      <c r="Q9" s="5">
        <f t="shared" si="2"/>
        <v>149023</v>
      </c>
      <c r="R9">
        <v>149023</v>
      </c>
      <c r="S9">
        <f t="shared" si="3"/>
        <v>0</v>
      </c>
      <c r="T9"/>
    </row>
    <row r="10" spans="1:20">
      <c r="A10" s="10"/>
      <c r="B10" s="5" t="s">
        <v>342</v>
      </c>
      <c r="C10" s="5">
        <v>215180.88</v>
      </c>
      <c r="D10" s="5"/>
      <c r="E10" s="5">
        <f t="shared" si="0"/>
        <v>215180.88</v>
      </c>
      <c r="F10" s="6">
        <v>215180.88</v>
      </c>
      <c r="G10" s="2">
        <f t="shared" si="1"/>
        <v>0</v>
      </c>
      <c r="H10" s="10"/>
      <c r="M10"/>
      <c r="N10" s="16" t="s">
        <v>399</v>
      </c>
      <c r="O10" s="16">
        <v>30425</v>
      </c>
      <c r="P10" s="5"/>
      <c r="Q10" s="5">
        <f t="shared" si="2"/>
        <v>30425</v>
      </c>
      <c r="R10">
        <v>30425</v>
      </c>
      <c r="S10">
        <f t="shared" si="3"/>
        <v>0</v>
      </c>
      <c r="T10"/>
    </row>
    <row r="11" spans="1:20">
      <c r="A11" s="10"/>
      <c r="B11" s="5" t="s">
        <v>308</v>
      </c>
      <c r="C11" s="5">
        <v>800</v>
      </c>
      <c r="D11" s="5"/>
      <c r="E11" s="5">
        <f t="shared" si="0"/>
        <v>800</v>
      </c>
      <c r="F11" s="6">
        <v>800</v>
      </c>
      <c r="G11" s="2">
        <f t="shared" si="1"/>
        <v>0</v>
      </c>
      <c r="H11" s="10"/>
      <c r="M11" s="23"/>
      <c r="N11" s="24" t="s">
        <v>451</v>
      </c>
      <c r="O11" s="24">
        <v>6649</v>
      </c>
      <c r="P11" s="25"/>
      <c r="Q11" s="25">
        <f t="shared" si="2"/>
        <v>6649</v>
      </c>
      <c r="R11" s="23">
        <v>6649</v>
      </c>
      <c r="S11" s="23">
        <f t="shared" si="3"/>
        <v>0</v>
      </c>
      <c r="T11" s="23"/>
    </row>
    <row r="12" spans="1:20">
      <c r="A12" s="10"/>
      <c r="B12" s="5" t="s">
        <v>338</v>
      </c>
      <c r="C12" s="5">
        <v>10000</v>
      </c>
      <c r="D12" s="5"/>
      <c r="E12" s="5">
        <f t="shared" si="0"/>
        <v>10000</v>
      </c>
      <c r="F12" s="6">
        <v>10000</v>
      </c>
      <c r="G12" s="2">
        <f t="shared" si="1"/>
        <v>0</v>
      </c>
      <c r="H12" s="10"/>
      <c r="M12" s="23"/>
      <c r="N12" s="24" t="s">
        <v>432</v>
      </c>
      <c r="O12" s="24">
        <v>25400</v>
      </c>
      <c r="P12" s="25"/>
      <c r="Q12" s="25">
        <f t="shared" si="2"/>
        <v>25400</v>
      </c>
      <c r="R12" s="23">
        <v>25400</v>
      </c>
      <c r="S12" s="23">
        <f t="shared" si="3"/>
        <v>0</v>
      </c>
      <c r="T12" s="23"/>
    </row>
    <row r="13" spans="1:20">
      <c r="A13" s="10"/>
      <c r="B13" s="5" t="s">
        <v>373</v>
      </c>
      <c r="C13" s="5">
        <v>141747.98</v>
      </c>
      <c r="D13" s="5">
        <v>26025</v>
      </c>
      <c r="E13" s="5">
        <f t="shared" si="0"/>
        <v>115722.98</v>
      </c>
      <c r="F13" s="6">
        <v>111956.28</v>
      </c>
      <c r="G13" s="11">
        <f t="shared" si="1"/>
        <v>3766.70000000001</v>
      </c>
      <c r="H13" s="10"/>
      <c r="M13"/>
      <c r="N13" s="16" t="s">
        <v>455</v>
      </c>
      <c r="O13" s="16">
        <v>95208</v>
      </c>
      <c r="P13" s="5"/>
      <c r="Q13" s="5">
        <f t="shared" si="2"/>
        <v>95208</v>
      </c>
      <c r="R13">
        <v>95208</v>
      </c>
      <c r="S13">
        <f t="shared" si="3"/>
        <v>0</v>
      </c>
      <c r="T13"/>
    </row>
    <row r="14" spans="1:20">
      <c r="A14" s="10"/>
      <c r="B14" s="5" t="s">
        <v>325</v>
      </c>
      <c r="C14" s="5">
        <v>140000</v>
      </c>
      <c r="D14" s="5"/>
      <c r="E14" s="5">
        <f t="shared" si="0"/>
        <v>140000</v>
      </c>
      <c r="F14" s="6">
        <v>140000</v>
      </c>
      <c r="G14" s="2">
        <f t="shared" si="1"/>
        <v>0</v>
      </c>
      <c r="H14" s="10"/>
      <c r="M14" s="20"/>
      <c r="N14" s="16" t="s">
        <v>428</v>
      </c>
      <c r="O14" s="16">
        <v>203140.4</v>
      </c>
      <c r="P14" s="5"/>
      <c r="Q14" s="5">
        <f t="shared" si="2"/>
        <v>203140.4</v>
      </c>
      <c r="R14">
        <v>203140.4</v>
      </c>
      <c r="S14">
        <f t="shared" si="3"/>
        <v>0</v>
      </c>
      <c r="T14"/>
    </row>
    <row r="15" spans="1:20">
      <c r="A15" s="10"/>
      <c r="B15" s="5" t="s">
        <v>355</v>
      </c>
      <c r="C15" s="5">
        <v>118277</v>
      </c>
      <c r="D15" s="5">
        <v>14300</v>
      </c>
      <c r="E15" s="5">
        <f t="shared" si="0"/>
        <v>103977</v>
      </c>
      <c r="F15" s="6">
        <v>103977</v>
      </c>
      <c r="G15" s="2">
        <f t="shared" si="1"/>
        <v>0</v>
      </c>
      <c r="H15" s="10"/>
      <c r="M15"/>
      <c r="N15"/>
      <c r="O15"/>
      <c r="P15"/>
      <c r="Q15"/>
      <c r="R15"/>
      <c r="S15"/>
      <c r="T15"/>
    </row>
    <row r="16" spans="1:20">
      <c r="A16" s="10"/>
      <c r="B16" s="5" t="s">
        <v>363</v>
      </c>
      <c r="C16" s="5">
        <v>7088</v>
      </c>
      <c r="D16" s="5"/>
      <c r="E16" s="5">
        <f t="shared" si="0"/>
        <v>7088</v>
      </c>
      <c r="F16" s="6">
        <v>7088</v>
      </c>
      <c r="G16" s="2">
        <f t="shared" si="1"/>
        <v>0</v>
      </c>
      <c r="H16" s="12"/>
      <c r="M16"/>
      <c r="N16"/>
      <c r="O16"/>
      <c r="P16"/>
      <c r="Q16"/>
      <c r="R16"/>
      <c r="S16"/>
      <c r="T16"/>
    </row>
    <row r="17" spans="1:20">
      <c r="A17"/>
      <c r="B17" s="5" t="s">
        <v>332</v>
      </c>
      <c r="C17" s="5">
        <v>10000</v>
      </c>
      <c r="D17" s="5"/>
      <c r="E17" s="5">
        <f t="shared" si="0"/>
        <v>10000</v>
      </c>
      <c r="F17" s="6">
        <v>10000</v>
      </c>
      <c r="G17" s="2">
        <f t="shared" si="1"/>
        <v>0</v>
      </c>
      <c r="H17" s="13"/>
      <c r="M17"/>
      <c r="N17" s="26"/>
      <c r="O17" s="20"/>
      <c r="P17" s="20"/>
      <c r="Q17" s="20"/>
      <c r="R17" s="20"/>
      <c r="S17" s="20"/>
      <c r="T17"/>
    </row>
    <row r="18" spans="1:20">
      <c r="A18"/>
      <c r="B18" s="5" t="s">
        <v>315</v>
      </c>
      <c r="C18" s="5">
        <v>11748</v>
      </c>
      <c r="D18" s="5"/>
      <c r="E18" s="5">
        <f t="shared" si="0"/>
        <v>11748</v>
      </c>
      <c r="F18" s="6">
        <v>11748</v>
      </c>
      <c r="G18" s="2">
        <f t="shared" si="1"/>
        <v>0</v>
      </c>
      <c r="H18" s="13"/>
      <c r="M18"/>
      <c r="N18" s="27"/>
      <c r="O18" s="28"/>
      <c r="P18" s="28"/>
      <c r="Q18" s="28"/>
      <c r="R18" s="28"/>
      <c r="S18" s="28"/>
      <c r="T18"/>
    </row>
    <row r="19" spans="1:20">
      <c r="A19" s="2"/>
      <c r="B19" s="5" t="s">
        <v>364</v>
      </c>
      <c r="C19" s="5">
        <v>91657.28</v>
      </c>
      <c r="D19" s="5"/>
      <c r="E19" s="5">
        <f t="shared" si="0"/>
        <v>91657.28</v>
      </c>
      <c r="F19" s="6">
        <v>91657.28</v>
      </c>
      <c r="G19" s="2">
        <f t="shared" si="1"/>
        <v>0</v>
      </c>
      <c r="H19" s="14"/>
      <c r="M19"/>
      <c r="N19" s="26"/>
      <c r="O19" s="20"/>
      <c r="P19" s="20"/>
      <c r="Q19" s="20"/>
      <c r="R19" s="20"/>
      <c r="S19" s="20"/>
      <c r="T19"/>
    </row>
    <row r="20" spans="1:20">
      <c r="A20" s="2"/>
      <c r="B20" s="5" t="s">
        <v>179</v>
      </c>
      <c r="C20" s="5">
        <v>582017.06</v>
      </c>
      <c r="D20" s="5">
        <v>55370.32</v>
      </c>
      <c r="E20" s="5">
        <f t="shared" si="0"/>
        <v>526646.74</v>
      </c>
      <c r="F20" s="6">
        <v>-55370.32</v>
      </c>
      <c r="G20" s="2">
        <f t="shared" si="1"/>
        <v>582017.06</v>
      </c>
      <c r="H20" s="15" t="s">
        <v>695</v>
      </c>
      <c r="M20" s="29"/>
      <c r="N20" s="26"/>
      <c r="O20" s="20"/>
      <c r="P20" s="20"/>
      <c r="Q20" s="20"/>
      <c r="R20" s="20"/>
      <c r="S20" s="20"/>
      <c r="T20"/>
    </row>
    <row r="21" spans="1:20">
      <c r="A21" s="2"/>
      <c r="B21" s="8" t="s">
        <v>510</v>
      </c>
      <c r="C21" s="8">
        <v>8812.68</v>
      </c>
      <c r="D21" s="8"/>
      <c r="E21" s="8">
        <f t="shared" si="0"/>
        <v>8812.68</v>
      </c>
      <c r="F21" s="9"/>
      <c r="G21" s="2">
        <f t="shared" si="1"/>
        <v>8812.68</v>
      </c>
      <c r="H21" s="14"/>
      <c r="M21" s="20"/>
      <c r="N21" s="20"/>
      <c r="O21" s="20"/>
      <c r="P21" s="20"/>
      <c r="Q21" s="20"/>
      <c r="R21" s="20"/>
      <c r="S21" s="20"/>
      <c r="T21"/>
    </row>
    <row r="22" spans="1:20">
      <c r="A22" s="2"/>
      <c r="B22" s="8" t="s">
        <v>511</v>
      </c>
      <c r="C22" s="8">
        <v>9552.4</v>
      </c>
      <c r="D22" s="8"/>
      <c r="E22" s="8">
        <f t="shared" si="0"/>
        <v>9552.4</v>
      </c>
      <c r="F22" s="9"/>
      <c r="G22" s="2">
        <f t="shared" si="1"/>
        <v>9552.4</v>
      </c>
      <c r="H22" s="14"/>
      <c r="M22" s="28"/>
      <c r="N22" s="28"/>
      <c r="O22" s="28"/>
      <c r="P22" s="28"/>
      <c r="Q22" s="28"/>
      <c r="R22" s="28"/>
      <c r="S22" s="28"/>
      <c r="T22"/>
    </row>
    <row r="23" spans="1:20">
      <c r="A23" s="2"/>
      <c r="B23" s="5" t="s">
        <v>336</v>
      </c>
      <c r="C23" s="5">
        <v>100000</v>
      </c>
      <c r="D23" s="5"/>
      <c r="E23" s="5">
        <f t="shared" si="0"/>
        <v>100000</v>
      </c>
      <c r="F23" s="6">
        <v>100000</v>
      </c>
      <c r="G23" s="2">
        <f t="shared" si="1"/>
        <v>0</v>
      </c>
      <c r="H23" s="14"/>
      <c r="M23" s="20"/>
      <c r="N23" s="20"/>
      <c r="O23" s="20"/>
      <c r="P23" s="20"/>
      <c r="Q23" s="20"/>
      <c r="R23" s="20"/>
      <c r="S23" s="20"/>
      <c r="T23"/>
    </row>
    <row r="24" spans="1:20">
      <c r="A24"/>
      <c r="B24" s="5" t="s">
        <v>515</v>
      </c>
      <c r="C24" s="5">
        <v>50000</v>
      </c>
      <c r="D24" s="5"/>
      <c r="E24" s="5">
        <f t="shared" si="0"/>
        <v>50000</v>
      </c>
      <c r="F24" s="5">
        <v>50000</v>
      </c>
      <c r="G24" s="2">
        <f t="shared" si="1"/>
        <v>0</v>
      </c>
      <c r="H24" s="13"/>
      <c r="M24" t="s">
        <v>115</v>
      </c>
      <c r="N24" s="16" t="s">
        <v>406</v>
      </c>
      <c r="O24" s="16">
        <v>6446</v>
      </c>
      <c r="P24" s="5">
        <v>2480</v>
      </c>
      <c r="Q24" s="5">
        <f t="shared" ref="Q24:Q33" si="4">O24-P24</f>
        <v>3966</v>
      </c>
      <c r="R24">
        <v>3966</v>
      </c>
      <c r="S24">
        <f t="shared" ref="S24:S45" si="5">Q24-R24</f>
        <v>0</v>
      </c>
      <c r="T24" s="20"/>
    </row>
    <row r="25" spans="1:20">
      <c r="A25"/>
      <c r="B25" s="5" t="s">
        <v>518</v>
      </c>
      <c r="C25" s="5">
        <v>30000</v>
      </c>
      <c r="D25" s="5"/>
      <c r="E25" s="5">
        <f t="shared" si="0"/>
        <v>30000</v>
      </c>
      <c r="F25" s="5">
        <v>30000</v>
      </c>
      <c r="G25" s="2">
        <f t="shared" si="1"/>
        <v>0</v>
      </c>
      <c r="H25" s="13"/>
      <c r="M25"/>
      <c r="N25" s="16" t="s">
        <v>433</v>
      </c>
      <c r="O25" s="16">
        <v>19218</v>
      </c>
      <c r="P25" s="5"/>
      <c r="Q25" s="5">
        <f t="shared" si="4"/>
        <v>19218</v>
      </c>
      <c r="R25">
        <v>19218</v>
      </c>
      <c r="S25">
        <f t="shared" si="5"/>
        <v>0</v>
      </c>
      <c r="T25" s="20"/>
    </row>
    <row r="26" spans="1:20">
      <c r="A26" s="2"/>
      <c r="B26" s="5" t="s">
        <v>307</v>
      </c>
      <c r="C26" s="5">
        <v>109082.35</v>
      </c>
      <c r="D26" s="5"/>
      <c r="E26" s="5">
        <f t="shared" si="0"/>
        <v>109082.35</v>
      </c>
      <c r="F26" s="6">
        <v>109082.35</v>
      </c>
      <c r="G26" s="2">
        <f t="shared" si="1"/>
        <v>0</v>
      </c>
      <c r="H26" s="14"/>
      <c r="M26" s="2"/>
      <c r="N26" s="16" t="s">
        <v>407</v>
      </c>
      <c r="O26" s="16">
        <v>21192</v>
      </c>
      <c r="P26" s="5">
        <v>5600</v>
      </c>
      <c r="Q26" s="5">
        <f t="shared" si="4"/>
        <v>15592</v>
      </c>
      <c r="R26">
        <v>15592</v>
      </c>
      <c r="S26">
        <f t="shared" si="5"/>
        <v>0</v>
      </c>
      <c r="T26" s="20"/>
    </row>
    <row r="27" spans="1:20">
      <c r="A27" s="2"/>
      <c r="B27" s="5" t="s">
        <v>553</v>
      </c>
      <c r="C27" s="5">
        <v>20000</v>
      </c>
      <c r="D27" s="5"/>
      <c r="E27" s="5">
        <f t="shared" si="0"/>
        <v>20000</v>
      </c>
      <c r="F27" s="6">
        <v>20000</v>
      </c>
      <c r="G27" s="2">
        <f t="shared" si="1"/>
        <v>0</v>
      </c>
      <c r="H27" s="14"/>
      <c r="M27"/>
      <c r="N27" s="16" t="s">
        <v>408</v>
      </c>
      <c r="O27" s="16">
        <v>729</v>
      </c>
      <c r="P27" s="5"/>
      <c r="Q27" s="5">
        <f t="shared" si="4"/>
        <v>729</v>
      </c>
      <c r="R27">
        <v>729</v>
      </c>
      <c r="S27">
        <f t="shared" si="5"/>
        <v>0</v>
      </c>
      <c r="T27" s="20"/>
    </row>
    <row r="28" spans="1:20">
      <c r="A28" s="2"/>
      <c r="B28" s="5" t="s">
        <v>354</v>
      </c>
      <c r="C28" s="5">
        <v>53699</v>
      </c>
      <c r="D28" s="5">
        <v>898</v>
      </c>
      <c r="E28" s="5">
        <f t="shared" si="0"/>
        <v>52801</v>
      </c>
      <c r="F28" s="6">
        <v>52801</v>
      </c>
      <c r="G28" s="2">
        <f t="shared" si="1"/>
        <v>0</v>
      </c>
      <c r="H28" s="14"/>
      <c r="M28"/>
      <c r="N28" s="16" t="s">
        <v>409</v>
      </c>
      <c r="O28" s="16">
        <v>3015</v>
      </c>
      <c r="P28" s="5"/>
      <c r="Q28" s="5">
        <f t="shared" si="4"/>
        <v>3015</v>
      </c>
      <c r="R28">
        <v>3015</v>
      </c>
      <c r="S28">
        <f t="shared" si="5"/>
        <v>0</v>
      </c>
      <c r="T28" s="20"/>
    </row>
    <row r="29" spans="1:20">
      <c r="A29"/>
      <c r="B29" s="5" t="s">
        <v>316</v>
      </c>
      <c r="C29" s="5">
        <v>20000</v>
      </c>
      <c r="D29" s="5"/>
      <c r="E29" s="5">
        <f t="shared" si="0"/>
        <v>20000</v>
      </c>
      <c r="F29" s="6">
        <v>20000</v>
      </c>
      <c r="G29" s="2">
        <f t="shared" si="1"/>
        <v>0</v>
      </c>
      <c r="H29" s="13"/>
      <c r="M29"/>
      <c r="N29" s="16" t="s">
        <v>399</v>
      </c>
      <c r="O29" s="16">
        <v>10451</v>
      </c>
      <c r="P29" s="5"/>
      <c r="Q29" s="5">
        <f t="shared" si="4"/>
        <v>10451</v>
      </c>
      <c r="R29">
        <v>10451</v>
      </c>
      <c r="S29">
        <f t="shared" si="5"/>
        <v>0</v>
      </c>
      <c r="T29" s="20"/>
    </row>
    <row r="30" spans="1:20">
      <c r="A30"/>
      <c r="B30" s="5" t="s">
        <v>696</v>
      </c>
      <c r="C30" s="5">
        <v>2591</v>
      </c>
      <c r="D30" s="5"/>
      <c r="E30" s="5">
        <f t="shared" si="0"/>
        <v>2591</v>
      </c>
      <c r="F30" s="6">
        <v>2591</v>
      </c>
      <c r="G30" s="2">
        <f t="shared" si="1"/>
        <v>0</v>
      </c>
      <c r="H30" s="13"/>
      <c r="M30"/>
      <c r="N30" s="16" t="s">
        <v>432</v>
      </c>
      <c r="O30" s="16">
        <v>10400</v>
      </c>
      <c r="P30" s="5"/>
      <c r="Q30" s="5">
        <f t="shared" si="4"/>
        <v>10400</v>
      </c>
      <c r="R30">
        <v>10400</v>
      </c>
      <c r="S30">
        <f t="shared" si="5"/>
        <v>0</v>
      </c>
      <c r="T30" s="20"/>
    </row>
    <row r="31" spans="1:20">
      <c r="A31" s="2"/>
      <c r="B31" s="5" t="s">
        <v>365</v>
      </c>
      <c r="C31" s="5">
        <v>16779</v>
      </c>
      <c r="D31" s="5"/>
      <c r="E31" s="5">
        <f t="shared" si="0"/>
        <v>16779</v>
      </c>
      <c r="F31" s="6">
        <v>16779</v>
      </c>
      <c r="G31" s="2">
        <f t="shared" si="1"/>
        <v>0</v>
      </c>
      <c r="H31" s="14"/>
      <c r="M31"/>
      <c r="N31" s="16" t="s">
        <v>455</v>
      </c>
      <c r="O31" s="16">
        <v>23568</v>
      </c>
      <c r="P31" s="5"/>
      <c r="Q31" s="5">
        <f t="shared" si="4"/>
        <v>23568</v>
      </c>
      <c r="R31">
        <v>23568</v>
      </c>
      <c r="S31">
        <f t="shared" si="5"/>
        <v>0</v>
      </c>
      <c r="T31" s="20"/>
    </row>
    <row r="32" spans="1:20">
      <c r="A32" s="2"/>
      <c r="B32" s="5" t="s">
        <v>362</v>
      </c>
      <c r="C32" s="5">
        <v>20582</v>
      </c>
      <c r="D32" s="5"/>
      <c r="E32" s="5">
        <f t="shared" si="0"/>
        <v>20582</v>
      </c>
      <c r="F32" s="6">
        <v>20582</v>
      </c>
      <c r="G32" s="2">
        <f t="shared" si="1"/>
        <v>0</v>
      </c>
      <c r="H32" s="14"/>
      <c r="M32"/>
      <c r="N32" s="16" t="s">
        <v>441</v>
      </c>
      <c r="O32" s="16">
        <v>30000</v>
      </c>
      <c r="P32" s="5"/>
      <c r="Q32" s="5">
        <f t="shared" si="4"/>
        <v>30000</v>
      </c>
      <c r="R32">
        <v>30000</v>
      </c>
      <c r="S32">
        <f t="shared" si="5"/>
        <v>0</v>
      </c>
      <c r="T32" s="20"/>
    </row>
    <row r="33" spans="1:20">
      <c r="A33" s="2"/>
      <c r="B33"/>
      <c r="C33"/>
      <c r="D33"/>
      <c r="E33"/>
      <c r="F33"/>
      <c r="G33" s="2"/>
      <c r="H33" s="14"/>
      <c r="M33"/>
      <c r="N33" s="16" t="s">
        <v>428</v>
      </c>
      <c r="O33" s="16">
        <v>108325</v>
      </c>
      <c r="P33" s="5"/>
      <c r="Q33" s="5">
        <f t="shared" si="4"/>
        <v>108325</v>
      </c>
      <c r="R33">
        <v>108325</v>
      </c>
      <c r="S33">
        <f t="shared" si="5"/>
        <v>0</v>
      </c>
      <c r="T33" s="20"/>
    </row>
    <row r="34" spans="1:20">
      <c r="A34" t="s">
        <v>115</v>
      </c>
      <c r="B34" s="16" t="s">
        <v>353</v>
      </c>
      <c r="C34" s="16">
        <v>85384</v>
      </c>
      <c r="D34" s="5">
        <v>656</v>
      </c>
      <c r="E34" s="5">
        <f t="shared" ref="E34:E48" si="6">C34-D34</f>
        <v>84728</v>
      </c>
      <c r="F34">
        <v>84728</v>
      </c>
      <c r="G34" s="2">
        <f t="shared" ref="G34:G48" si="7">E34-F34</f>
        <v>0</v>
      </c>
      <c r="H34" s="13"/>
      <c r="M34"/>
      <c r="N34"/>
      <c r="O34"/>
      <c r="P34"/>
      <c r="Q34"/>
      <c r="R34"/>
      <c r="S34">
        <f t="shared" si="5"/>
        <v>0</v>
      </c>
      <c r="T34" s="20"/>
    </row>
    <row r="35" spans="1:20">
      <c r="A35"/>
      <c r="B35" s="17" t="s">
        <v>499</v>
      </c>
      <c r="C35" s="17">
        <v>3197</v>
      </c>
      <c r="D35" s="8"/>
      <c r="E35" s="8">
        <f t="shared" si="6"/>
        <v>3197</v>
      </c>
      <c r="F35" s="18"/>
      <c r="G35" s="2">
        <f t="shared" si="7"/>
        <v>3197</v>
      </c>
      <c r="H35" s="13"/>
      <c r="M35"/>
      <c r="N35" s="20"/>
      <c r="O35" s="20"/>
      <c r="P35" s="20"/>
      <c r="Q35" s="20"/>
      <c r="R35"/>
      <c r="S35">
        <f t="shared" si="5"/>
        <v>0</v>
      </c>
      <c r="T35" s="20"/>
    </row>
    <row r="36" spans="1:20">
      <c r="A36"/>
      <c r="B36" s="16" t="s">
        <v>340</v>
      </c>
      <c r="C36" s="16">
        <v>10390</v>
      </c>
      <c r="D36" s="5"/>
      <c r="E36" s="5">
        <f t="shared" si="6"/>
        <v>10390</v>
      </c>
      <c r="F36">
        <v>10390</v>
      </c>
      <c r="G36" s="2">
        <f t="shared" si="7"/>
        <v>0</v>
      </c>
      <c r="H36" s="13"/>
      <c r="M36" t="s">
        <v>116</v>
      </c>
      <c r="N36" s="16" t="s">
        <v>406</v>
      </c>
      <c r="O36" s="16">
        <v>6800</v>
      </c>
      <c r="P36" s="5"/>
      <c r="Q36" s="5">
        <f t="shared" ref="Q36:Q45" si="8">O36-P36</f>
        <v>6800</v>
      </c>
      <c r="R36">
        <v>6800</v>
      </c>
      <c r="S36">
        <f t="shared" si="5"/>
        <v>0</v>
      </c>
      <c r="T36" s="20"/>
    </row>
    <row r="37" spans="1:20">
      <c r="A37"/>
      <c r="B37" s="16" t="s">
        <v>357</v>
      </c>
      <c r="C37" s="16">
        <v>39609</v>
      </c>
      <c r="D37" s="5"/>
      <c r="E37" s="5">
        <f t="shared" si="6"/>
        <v>39609</v>
      </c>
      <c r="F37">
        <v>39609</v>
      </c>
      <c r="G37" s="2">
        <f t="shared" si="7"/>
        <v>0</v>
      </c>
      <c r="H37" s="13"/>
      <c r="M37"/>
      <c r="N37" s="17" t="s">
        <v>697</v>
      </c>
      <c r="O37" s="17">
        <v>34300</v>
      </c>
      <c r="P37" s="8"/>
      <c r="Q37" s="8">
        <f t="shared" si="8"/>
        <v>34300</v>
      </c>
      <c r="R37" s="18"/>
      <c r="S37">
        <f t="shared" si="5"/>
        <v>34300</v>
      </c>
      <c r="T37" s="20"/>
    </row>
    <row r="38" spans="1:20">
      <c r="A38"/>
      <c r="B38" s="16" t="s">
        <v>351</v>
      </c>
      <c r="C38" s="16">
        <v>109411</v>
      </c>
      <c r="D38" s="5">
        <v>2000</v>
      </c>
      <c r="E38" s="5">
        <f t="shared" si="6"/>
        <v>107411</v>
      </c>
      <c r="F38">
        <v>107411</v>
      </c>
      <c r="G38" s="2">
        <f t="shared" si="7"/>
        <v>0</v>
      </c>
      <c r="H38" s="13"/>
      <c r="M38"/>
      <c r="N38" s="16" t="s">
        <v>458</v>
      </c>
      <c r="O38" s="16">
        <v>8800</v>
      </c>
      <c r="P38" s="5"/>
      <c r="Q38" s="5">
        <f t="shared" si="8"/>
        <v>8800</v>
      </c>
      <c r="R38">
        <v>8800</v>
      </c>
      <c r="S38">
        <f t="shared" si="5"/>
        <v>0</v>
      </c>
      <c r="T38" s="20"/>
    </row>
    <row r="39" spans="1:20">
      <c r="A39"/>
      <c r="B39" s="16" t="s">
        <v>356</v>
      </c>
      <c r="C39" s="16">
        <v>67549</v>
      </c>
      <c r="D39" s="5"/>
      <c r="E39" s="5">
        <f t="shared" si="6"/>
        <v>67549</v>
      </c>
      <c r="F39">
        <v>67549</v>
      </c>
      <c r="G39" s="2">
        <f t="shared" si="7"/>
        <v>0</v>
      </c>
      <c r="H39" s="13"/>
      <c r="M39"/>
      <c r="N39" s="16" t="s">
        <v>407</v>
      </c>
      <c r="O39" s="16">
        <v>40421</v>
      </c>
      <c r="P39" s="5"/>
      <c r="Q39" s="5">
        <f t="shared" si="8"/>
        <v>40421</v>
      </c>
      <c r="R39">
        <v>40421</v>
      </c>
      <c r="S39">
        <f t="shared" si="5"/>
        <v>0</v>
      </c>
      <c r="T39" s="20"/>
    </row>
    <row r="40" spans="1:20">
      <c r="A40"/>
      <c r="B40" s="16" t="s">
        <v>342</v>
      </c>
      <c r="C40" s="16">
        <v>146500</v>
      </c>
      <c r="D40" s="5"/>
      <c r="E40" s="5">
        <f t="shared" si="6"/>
        <v>146500</v>
      </c>
      <c r="F40">
        <v>146500</v>
      </c>
      <c r="G40" s="2">
        <f t="shared" si="7"/>
        <v>0</v>
      </c>
      <c r="H40" s="13"/>
      <c r="M40"/>
      <c r="N40" s="16" t="s">
        <v>408</v>
      </c>
      <c r="O40" s="16">
        <v>20000</v>
      </c>
      <c r="P40" s="5"/>
      <c r="Q40" s="5">
        <f t="shared" si="8"/>
        <v>20000</v>
      </c>
      <c r="R40">
        <v>20000</v>
      </c>
      <c r="S40">
        <f t="shared" si="5"/>
        <v>0</v>
      </c>
      <c r="T40" s="20"/>
    </row>
    <row r="41" spans="1:20">
      <c r="A41"/>
      <c r="B41" s="16" t="s">
        <v>373</v>
      </c>
      <c r="C41" s="16">
        <f>32274+22040</f>
        <v>54314</v>
      </c>
      <c r="D41" s="5">
        <v>1398</v>
      </c>
      <c r="E41" s="5">
        <f t="shared" si="6"/>
        <v>52916</v>
      </c>
      <c r="F41">
        <v>43919</v>
      </c>
      <c r="G41" s="11">
        <f t="shared" si="7"/>
        <v>8997</v>
      </c>
      <c r="H41" s="19" t="s">
        <v>698</v>
      </c>
      <c r="M41"/>
      <c r="N41" s="16" t="s">
        <v>409</v>
      </c>
      <c r="O41" s="16">
        <v>19327</v>
      </c>
      <c r="P41" s="5"/>
      <c r="Q41" s="5">
        <f t="shared" si="8"/>
        <v>19327</v>
      </c>
      <c r="R41">
        <v>19327</v>
      </c>
      <c r="S41">
        <f t="shared" si="5"/>
        <v>0</v>
      </c>
      <c r="T41" s="20"/>
    </row>
    <row r="42" spans="1:20">
      <c r="A42"/>
      <c r="B42" s="16" t="s">
        <v>325</v>
      </c>
      <c r="C42" s="16">
        <v>60000</v>
      </c>
      <c r="D42" s="5"/>
      <c r="E42" s="5">
        <f t="shared" si="6"/>
        <v>60000</v>
      </c>
      <c r="F42">
        <v>60000</v>
      </c>
      <c r="G42" s="2">
        <f t="shared" si="7"/>
        <v>0</v>
      </c>
      <c r="H42" s="13"/>
      <c r="M42"/>
      <c r="N42" s="16" t="s">
        <v>432</v>
      </c>
      <c r="O42" s="16">
        <v>30900</v>
      </c>
      <c r="P42" s="5"/>
      <c r="Q42" s="5">
        <f t="shared" si="8"/>
        <v>30900</v>
      </c>
      <c r="R42">
        <v>30900</v>
      </c>
      <c r="S42">
        <f t="shared" si="5"/>
        <v>0</v>
      </c>
      <c r="T42" s="20"/>
    </row>
    <row r="43" spans="1:20">
      <c r="A43"/>
      <c r="B43" s="16" t="s">
        <v>355</v>
      </c>
      <c r="C43" s="16">
        <v>114500</v>
      </c>
      <c r="D43" s="5">
        <v>95000</v>
      </c>
      <c r="E43" s="5">
        <f t="shared" si="6"/>
        <v>19500</v>
      </c>
      <c r="F43">
        <v>19500</v>
      </c>
      <c r="G43" s="2">
        <f t="shared" si="7"/>
        <v>0</v>
      </c>
      <c r="H43" s="13"/>
      <c r="M43"/>
      <c r="N43" s="16" t="s">
        <v>455</v>
      </c>
      <c r="O43" s="16">
        <v>27546</v>
      </c>
      <c r="P43" s="5"/>
      <c r="Q43" s="5">
        <f t="shared" si="8"/>
        <v>27546</v>
      </c>
      <c r="R43">
        <v>27546</v>
      </c>
      <c r="S43">
        <f t="shared" si="5"/>
        <v>0</v>
      </c>
      <c r="T43" s="20"/>
    </row>
    <row r="44" spans="1:20">
      <c r="A44"/>
      <c r="B44" s="16" t="s">
        <v>315</v>
      </c>
      <c r="C44" s="16">
        <v>16445</v>
      </c>
      <c r="D44" s="5"/>
      <c r="E44" s="5">
        <f t="shared" si="6"/>
        <v>16445</v>
      </c>
      <c r="F44">
        <v>16445</v>
      </c>
      <c r="G44" s="2">
        <f t="shared" si="7"/>
        <v>0</v>
      </c>
      <c r="H44" s="13"/>
      <c r="M44"/>
      <c r="N44" s="16" t="s">
        <v>441</v>
      </c>
      <c r="O44" s="16">
        <v>148000</v>
      </c>
      <c r="P44" s="5"/>
      <c r="Q44" s="5">
        <f t="shared" si="8"/>
        <v>148000</v>
      </c>
      <c r="R44">
        <v>148000</v>
      </c>
      <c r="S44">
        <f t="shared" si="5"/>
        <v>0</v>
      </c>
      <c r="T44" s="20"/>
    </row>
    <row r="45" spans="1:20">
      <c r="A45"/>
      <c r="B45" s="17" t="s">
        <v>510</v>
      </c>
      <c r="C45" s="17">
        <v>9454.42</v>
      </c>
      <c r="D45" s="8"/>
      <c r="E45" s="8">
        <f t="shared" si="6"/>
        <v>9454.42</v>
      </c>
      <c r="F45" s="18"/>
      <c r="G45" s="2">
        <f t="shared" si="7"/>
        <v>9454.42</v>
      </c>
      <c r="H45" s="13"/>
      <c r="M45"/>
      <c r="N45" s="16" t="s">
        <v>428</v>
      </c>
      <c r="O45" s="16">
        <v>64094</v>
      </c>
      <c r="P45" s="5"/>
      <c r="Q45" s="5">
        <f t="shared" si="8"/>
        <v>64094</v>
      </c>
      <c r="R45">
        <v>64094</v>
      </c>
      <c r="S45">
        <f t="shared" si="5"/>
        <v>0</v>
      </c>
      <c r="T45" s="31"/>
    </row>
    <row r="46" spans="1:20">
      <c r="A46"/>
      <c r="B46" s="17" t="s">
        <v>511</v>
      </c>
      <c r="C46" s="17">
        <v>8164.8</v>
      </c>
      <c r="D46" s="8"/>
      <c r="E46" s="8">
        <f t="shared" si="6"/>
        <v>8164.8</v>
      </c>
      <c r="F46" s="18"/>
      <c r="G46" s="2">
        <f t="shared" si="7"/>
        <v>8164.8</v>
      </c>
      <c r="H46" s="13"/>
      <c r="M46"/>
      <c r="N46"/>
      <c r="O46"/>
      <c r="P46"/>
      <c r="Q46"/>
      <c r="R46"/>
      <c r="S46"/>
      <c r="T46" s="20"/>
    </row>
    <row r="47" spans="1:8">
      <c r="A47"/>
      <c r="B47" s="16" t="s">
        <v>336</v>
      </c>
      <c r="C47" s="16">
        <v>30000</v>
      </c>
      <c r="D47" s="5"/>
      <c r="E47" s="5">
        <f t="shared" si="6"/>
        <v>30000</v>
      </c>
      <c r="F47">
        <v>30000</v>
      </c>
      <c r="G47" s="2">
        <f t="shared" si="7"/>
        <v>0</v>
      </c>
      <c r="H47" s="13"/>
    </row>
    <row r="48" spans="1:8">
      <c r="A48"/>
      <c r="B48" s="16" t="s">
        <v>362</v>
      </c>
      <c r="C48" s="16">
        <v>3939</v>
      </c>
      <c r="D48" s="5"/>
      <c r="E48" s="5">
        <f t="shared" si="6"/>
        <v>3939</v>
      </c>
      <c r="F48">
        <v>3939</v>
      </c>
      <c r="G48" s="2">
        <f t="shared" si="7"/>
        <v>0</v>
      </c>
      <c r="H48" s="13"/>
    </row>
    <row r="49" spans="1:8">
      <c r="A49"/>
      <c r="B49" s="5"/>
      <c r="C49" s="5"/>
      <c r="D49" s="5"/>
      <c r="E49" s="5"/>
      <c r="F49"/>
      <c r="G49" s="2"/>
      <c r="H49" s="13"/>
    </row>
    <row r="50" spans="1:8">
      <c r="A50"/>
      <c r="B50" s="5"/>
      <c r="C50" s="5"/>
      <c r="D50" s="5"/>
      <c r="E50" s="5"/>
      <c r="F50"/>
      <c r="G50" s="2"/>
      <c r="H50" s="13"/>
    </row>
    <row r="51" spans="1:8">
      <c r="A51"/>
      <c r="B51" s="6"/>
      <c r="C51" s="6"/>
      <c r="D51" s="6"/>
      <c r="E51" s="6"/>
      <c r="F51" s="20"/>
      <c r="G51" s="2"/>
      <c r="H51" s="13"/>
    </row>
    <row r="52" spans="1:8">
      <c r="A52"/>
      <c r="B52" s="6"/>
      <c r="C52" s="6"/>
      <c r="D52" s="6"/>
      <c r="E52" s="6"/>
      <c r="F52" s="20"/>
      <c r="G52" s="2"/>
      <c r="H52" s="13"/>
    </row>
    <row r="53" spans="1:8">
      <c r="A53" t="s">
        <v>116</v>
      </c>
      <c r="B53" s="16" t="s">
        <v>353</v>
      </c>
      <c r="C53" s="16">
        <v>331605</v>
      </c>
      <c r="D53" s="5">
        <v>34763</v>
      </c>
      <c r="E53" s="5">
        <f t="shared" ref="E53:E78" si="9">C53-D53</f>
        <v>296842</v>
      </c>
      <c r="F53" s="20">
        <v>296842</v>
      </c>
      <c r="G53" s="2">
        <f t="shared" ref="G53:G78" si="10">E53-F53</f>
        <v>0</v>
      </c>
      <c r="H53" s="13"/>
    </row>
    <row r="54" spans="1:8">
      <c r="A54"/>
      <c r="B54" s="17" t="s">
        <v>499</v>
      </c>
      <c r="C54" s="17">
        <v>400268.27</v>
      </c>
      <c r="D54" s="8"/>
      <c r="E54" s="8">
        <f t="shared" si="9"/>
        <v>400268.27</v>
      </c>
      <c r="F54" s="9"/>
      <c r="G54" s="2">
        <f t="shared" si="10"/>
        <v>400268.27</v>
      </c>
      <c r="H54" s="21"/>
    </row>
    <row r="55" spans="1:8">
      <c r="A55"/>
      <c r="B55" s="16" t="s">
        <v>340</v>
      </c>
      <c r="C55" s="16">
        <v>20613</v>
      </c>
      <c r="D55" s="5"/>
      <c r="E55" s="5">
        <f t="shared" si="9"/>
        <v>20613</v>
      </c>
      <c r="F55" s="20">
        <v>20613</v>
      </c>
      <c r="G55" s="2">
        <f t="shared" si="10"/>
        <v>0</v>
      </c>
      <c r="H55" s="21"/>
    </row>
    <row r="56" spans="1:8">
      <c r="A56"/>
      <c r="B56" s="16" t="s">
        <v>357</v>
      </c>
      <c r="C56" s="16">
        <v>40486</v>
      </c>
      <c r="D56" s="5"/>
      <c r="E56" s="5">
        <f t="shared" si="9"/>
        <v>40486</v>
      </c>
      <c r="F56" s="20">
        <v>40486</v>
      </c>
      <c r="G56" s="2">
        <f t="shared" si="10"/>
        <v>0</v>
      </c>
      <c r="H56" s="21"/>
    </row>
    <row r="57" spans="1:8">
      <c r="A57"/>
      <c r="B57" s="17" t="s">
        <v>699</v>
      </c>
      <c r="C57" s="17">
        <v>10505.1</v>
      </c>
      <c r="D57" s="8"/>
      <c r="E57" s="8">
        <f t="shared" si="9"/>
        <v>10505.1</v>
      </c>
      <c r="F57" s="9"/>
      <c r="G57" s="2">
        <f t="shared" si="10"/>
        <v>10505.1</v>
      </c>
      <c r="H57" s="21"/>
    </row>
    <row r="58" spans="1:8">
      <c r="A58"/>
      <c r="B58" s="16" t="s">
        <v>330</v>
      </c>
      <c r="C58" s="16">
        <v>4124</v>
      </c>
      <c r="D58" s="5"/>
      <c r="E58" s="5">
        <f t="shared" si="9"/>
        <v>4124</v>
      </c>
      <c r="F58" s="20">
        <v>4124</v>
      </c>
      <c r="G58" s="2">
        <f t="shared" si="10"/>
        <v>0</v>
      </c>
      <c r="H58" s="21"/>
    </row>
    <row r="59" spans="1:8">
      <c r="A59"/>
      <c r="B59" s="16" t="s">
        <v>351</v>
      </c>
      <c r="C59" s="16">
        <v>345298</v>
      </c>
      <c r="D59" s="5">
        <v>26397</v>
      </c>
      <c r="E59" s="5">
        <f t="shared" si="9"/>
        <v>318901</v>
      </c>
      <c r="F59" s="20">
        <v>318901</v>
      </c>
      <c r="G59" s="2">
        <f t="shared" si="10"/>
        <v>0</v>
      </c>
      <c r="H59" s="21"/>
    </row>
    <row r="60" spans="1:8">
      <c r="A60"/>
      <c r="B60" s="16" t="s">
        <v>356</v>
      </c>
      <c r="C60" s="16">
        <v>194051</v>
      </c>
      <c r="D60" s="5">
        <v>2200</v>
      </c>
      <c r="E60" s="5">
        <f t="shared" si="9"/>
        <v>191851</v>
      </c>
      <c r="F60" s="20">
        <v>191851</v>
      </c>
      <c r="G60" s="2">
        <f t="shared" si="10"/>
        <v>0</v>
      </c>
      <c r="H60" s="21"/>
    </row>
    <row r="61" spans="1:8">
      <c r="A61"/>
      <c r="B61" s="16" t="s">
        <v>342</v>
      </c>
      <c r="C61" s="16">
        <v>280836</v>
      </c>
      <c r="D61" s="5"/>
      <c r="E61" s="5">
        <f t="shared" si="9"/>
        <v>280836</v>
      </c>
      <c r="F61" s="20">
        <v>280836</v>
      </c>
      <c r="G61" s="2">
        <f t="shared" si="10"/>
        <v>0</v>
      </c>
      <c r="H61" s="21"/>
    </row>
    <row r="62" spans="1:8">
      <c r="A62"/>
      <c r="B62" s="16" t="s">
        <v>338</v>
      </c>
      <c r="C62" s="16">
        <v>10000</v>
      </c>
      <c r="D62" s="5"/>
      <c r="E62" s="5">
        <f t="shared" si="9"/>
        <v>10000</v>
      </c>
      <c r="F62" s="6">
        <v>10000</v>
      </c>
      <c r="G62" s="2">
        <f t="shared" si="10"/>
        <v>0</v>
      </c>
      <c r="H62" s="21"/>
    </row>
    <row r="63" spans="1:8">
      <c r="A63"/>
      <c r="B63" s="16" t="s">
        <v>373</v>
      </c>
      <c r="C63" s="16">
        <f>94178.6+30101.08</f>
        <v>124279.68</v>
      </c>
      <c r="D63" s="5">
        <v>38657</v>
      </c>
      <c r="E63" s="5">
        <f t="shared" si="9"/>
        <v>85622.68</v>
      </c>
      <c r="F63" s="6">
        <v>80405.08</v>
      </c>
      <c r="G63" s="11">
        <f t="shared" si="10"/>
        <v>5217.60000000001</v>
      </c>
      <c r="H63" s="22" t="s">
        <v>700</v>
      </c>
    </row>
    <row r="64" spans="1:8">
      <c r="A64"/>
      <c r="B64" s="16" t="s">
        <v>325</v>
      </c>
      <c r="C64" s="16">
        <v>60000</v>
      </c>
      <c r="D64" s="5"/>
      <c r="E64" s="5">
        <f t="shared" si="9"/>
        <v>60000</v>
      </c>
      <c r="F64" s="20">
        <v>60000</v>
      </c>
      <c r="G64" s="2">
        <f t="shared" si="10"/>
        <v>0</v>
      </c>
      <c r="H64" s="21"/>
    </row>
    <row r="65" spans="1:8">
      <c r="A65"/>
      <c r="B65" s="16" t="s">
        <v>355</v>
      </c>
      <c r="C65" s="16">
        <v>113494</v>
      </c>
      <c r="D65" s="5"/>
      <c r="E65" s="5">
        <f t="shared" si="9"/>
        <v>113494</v>
      </c>
      <c r="F65" s="20">
        <v>113494</v>
      </c>
      <c r="G65" s="2">
        <f t="shared" si="10"/>
        <v>0</v>
      </c>
      <c r="H65" s="14"/>
    </row>
    <row r="66" spans="1:8">
      <c r="A66"/>
      <c r="B66" s="16" t="s">
        <v>315</v>
      </c>
      <c r="C66" s="16">
        <v>800</v>
      </c>
      <c r="D66" s="5"/>
      <c r="E66" s="5">
        <f t="shared" si="9"/>
        <v>800</v>
      </c>
      <c r="F66" s="20">
        <v>800</v>
      </c>
      <c r="G66" s="2">
        <f t="shared" si="10"/>
        <v>0</v>
      </c>
      <c r="H66" s="21"/>
    </row>
    <row r="67" spans="1:8">
      <c r="A67"/>
      <c r="B67" s="16" t="s">
        <v>364</v>
      </c>
      <c r="C67" s="16">
        <v>98407.6</v>
      </c>
      <c r="D67" s="5"/>
      <c r="E67" s="5">
        <f t="shared" si="9"/>
        <v>98407.6</v>
      </c>
      <c r="F67" s="20">
        <v>98407.6</v>
      </c>
      <c r="G67" s="2">
        <f t="shared" si="10"/>
        <v>0</v>
      </c>
      <c r="H67" s="21"/>
    </row>
    <row r="68" spans="1:8">
      <c r="A68"/>
      <c r="B68" s="17" t="s">
        <v>511</v>
      </c>
      <c r="C68" s="17">
        <v>4802.4</v>
      </c>
      <c r="D68" s="8"/>
      <c r="E68" s="8">
        <f t="shared" si="9"/>
        <v>4802.4</v>
      </c>
      <c r="F68" s="9"/>
      <c r="G68" s="2">
        <f t="shared" si="10"/>
        <v>4802.4</v>
      </c>
      <c r="H68" s="21"/>
    </row>
    <row r="69" spans="1:8">
      <c r="A69"/>
      <c r="B69" s="16" t="s">
        <v>336</v>
      </c>
      <c r="C69" s="16">
        <v>70000</v>
      </c>
      <c r="D69" s="5"/>
      <c r="E69" s="5">
        <f t="shared" si="9"/>
        <v>70000</v>
      </c>
      <c r="F69" s="20">
        <v>70000</v>
      </c>
      <c r="G69" s="2">
        <f t="shared" si="10"/>
        <v>0</v>
      </c>
      <c r="H69" s="21"/>
    </row>
    <row r="70" spans="1:8">
      <c r="A70"/>
      <c r="B70" s="16" t="s">
        <v>344</v>
      </c>
      <c r="C70" s="16">
        <v>26405</v>
      </c>
      <c r="D70" s="5"/>
      <c r="E70" s="5">
        <f t="shared" si="9"/>
        <v>26405</v>
      </c>
      <c r="F70" s="20">
        <v>26405</v>
      </c>
      <c r="G70" s="2">
        <f t="shared" si="10"/>
        <v>0</v>
      </c>
      <c r="H70" s="21"/>
    </row>
    <row r="71" spans="1:8">
      <c r="A71"/>
      <c r="B71" s="16" t="s">
        <v>552</v>
      </c>
      <c r="C71" s="16">
        <v>0.1</v>
      </c>
      <c r="D71" s="5"/>
      <c r="E71" s="5">
        <f t="shared" si="9"/>
        <v>0.1</v>
      </c>
      <c r="F71" s="20"/>
      <c r="G71" s="2">
        <f t="shared" si="10"/>
        <v>0.1</v>
      </c>
      <c r="H71" s="21"/>
    </row>
    <row r="72" spans="1:8">
      <c r="A72" s="20"/>
      <c r="B72" s="16" t="s">
        <v>513</v>
      </c>
      <c r="C72" s="16">
        <v>150000</v>
      </c>
      <c r="D72" s="5"/>
      <c r="E72" s="5">
        <f t="shared" si="9"/>
        <v>150000</v>
      </c>
      <c r="F72" s="20">
        <v>150000</v>
      </c>
      <c r="G72" s="2">
        <f t="shared" si="10"/>
        <v>0</v>
      </c>
      <c r="H72" s="21"/>
    </row>
    <row r="73" spans="1:8">
      <c r="A73" s="20"/>
      <c r="B73" s="16" t="s">
        <v>517</v>
      </c>
      <c r="C73" s="16">
        <v>240000</v>
      </c>
      <c r="D73" s="5"/>
      <c r="E73" s="5">
        <f t="shared" si="9"/>
        <v>240000</v>
      </c>
      <c r="F73" s="20">
        <v>240000</v>
      </c>
      <c r="G73" s="2">
        <f t="shared" si="10"/>
        <v>0</v>
      </c>
      <c r="H73" s="21"/>
    </row>
    <row r="74" spans="1:8">
      <c r="A74" s="20"/>
      <c r="B74" s="16" t="s">
        <v>518</v>
      </c>
      <c r="C74" s="16">
        <v>90000</v>
      </c>
      <c r="D74" s="5"/>
      <c r="E74" s="5">
        <f t="shared" si="9"/>
        <v>90000</v>
      </c>
      <c r="F74" s="20">
        <v>90000</v>
      </c>
      <c r="G74" s="2">
        <f t="shared" si="10"/>
        <v>0</v>
      </c>
      <c r="H74" s="21"/>
    </row>
    <row r="75" spans="1:8">
      <c r="A75" s="20"/>
      <c r="B75" s="16" t="s">
        <v>701</v>
      </c>
      <c r="C75" s="16">
        <v>60000</v>
      </c>
      <c r="D75" s="5"/>
      <c r="E75" s="5">
        <f t="shared" si="9"/>
        <v>60000</v>
      </c>
      <c r="F75" s="20">
        <v>60000</v>
      </c>
      <c r="G75" s="2">
        <f t="shared" si="10"/>
        <v>0</v>
      </c>
      <c r="H75" s="21"/>
    </row>
    <row r="76" spans="1:8">
      <c r="A76" s="20"/>
      <c r="B76" s="16" t="s">
        <v>307</v>
      </c>
      <c r="C76" s="16">
        <v>98942.87</v>
      </c>
      <c r="D76" s="5"/>
      <c r="E76" s="5">
        <f t="shared" si="9"/>
        <v>98942.87</v>
      </c>
      <c r="F76" s="20">
        <v>98942.87</v>
      </c>
      <c r="G76" s="2">
        <f t="shared" si="10"/>
        <v>0</v>
      </c>
      <c r="H76" s="21"/>
    </row>
    <row r="77" spans="1:8">
      <c r="A77" s="20"/>
      <c r="B77" s="16" t="s">
        <v>316</v>
      </c>
      <c r="C77" s="16">
        <v>40000</v>
      </c>
      <c r="D77" s="5"/>
      <c r="E77" s="5">
        <f t="shared" si="9"/>
        <v>40000</v>
      </c>
      <c r="F77" s="20">
        <v>40000</v>
      </c>
      <c r="G77" s="2">
        <f t="shared" si="10"/>
        <v>0</v>
      </c>
      <c r="H77" s="21"/>
    </row>
    <row r="78" spans="1:8">
      <c r="A78" s="20"/>
      <c r="B78" s="16" t="s">
        <v>365</v>
      </c>
      <c r="C78" s="16">
        <v>7332</v>
      </c>
      <c r="D78" s="5"/>
      <c r="E78" s="5">
        <f t="shared" si="9"/>
        <v>7332</v>
      </c>
      <c r="F78" s="20">
        <v>7332</v>
      </c>
      <c r="G78" s="2">
        <f t="shared" si="10"/>
        <v>0</v>
      </c>
      <c r="H78" s="21"/>
    </row>
    <row r="79" spans="1:8">
      <c r="A79" s="20"/>
      <c r="B79" s="6"/>
      <c r="C79" s="6"/>
      <c r="D79" s="6"/>
      <c r="E79" s="6"/>
      <c r="F79" s="20"/>
      <c r="G79" s="2"/>
      <c r="H79" s="21"/>
    </row>
  </sheetData>
  <conditionalFormatting sqref="N13">
    <cfRule type="duplicateValues" dxfId="0" priority="2"/>
  </conditionalFormatting>
  <conditionalFormatting sqref="B61">
    <cfRule type="duplicateValues" dxfId="0" priority="4"/>
  </conditionalFormatting>
  <conditionalFormatting sqref="B2:B32">
    <cfRule type="duplicateValues" dxfId="0" priority="3"/>
  </conditionalFormatting>
  <conditionalFormatting sqref="N2:N12">
    <cfRule type="duplicateValues" dxfId="0" priority="1"/>
  </conditionalFormatting>
  <pageMargins left="0.75" right="0.75" top="1" bottom="1" header="0.5" footer="0.5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view="pageBreakPreview" zoomScaleNormal="100" workbookViewId="0">
      <selection activeCell="Q24" sqref="Q24"/>
    </sheetView>
  </sheetViews>
  <sheetFormatPr defaultColWidth="8.72727272727273" defaultRowHeight="14"/>
  <sheetData/>
  <pageMargins left="0.75" right="0.75" top="0.354166666666667" bottom="0.66875" header="0.5" footer="0.5"/>
  <pageSetup paperSize="9" scale="82" orientation="landscape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P326"/>
  <sheetViews>
    <sheetView view="pageBreakPreview" zoomScaleNormal="70" topLeftCell="A306" workbookViewId="0">
      <selection activeCell="K308" sqref="K308"/>
    </sheetView>
  </sheetViews>
  <sheetFormatPr defaultColWidth="9" defaultRowHeight="14"/>
  <cols>
    <col min="1" max="1" width="10.6727272727273" style="591" customWidth="1"/>
    <col min="2" max="2" width="11.5" style="592" customWidth="1"/>
    <col min="3" max="3" width="13.5454545454545" style="587" customWidth="1"/>
    <col min="4" max="4" width="13.1090909090909" style="587" customWidth="1"/>
    <col min="5" max="5" width="17" style="587" customWidth="1"/>
    <col min="6" max="6" width="10.8181818181818" style="587" customWidth="1"/>
    <col min="7" max="7" width="13.1090909090909" style="592" customWidth="1"/>
    <col min="8" max="8" width="12.8545454545455" style="592" customWidth="1"/>
    <col min="9" max="9" width="19.4545454545455" style="592" customWidth="1"/>
    <col min="10" max="10" width="10.6363636363636" style="592" customWidth="1"/>
    <col min="11" max="11" width="35.0636363636364" style="592" customWidth="1"/>
    <col min="12" max="12" width="30.9090909090909" style="593" customWidth="1"/>
    <col min="13" max="13" width="32.9818181818182" style="587" customWidth="1"/>
    <col min="14" max="14" width="17.1272727272727" style="594" customWidth="1"/>
    <col min="15" max="15" width="15.2545454545455" style="592" customWidth="1"/>
    <col min="16" max="16" width="12.6272727272727" style="592" customWidth="1"/>
    <col min="17" max="17" width="15.1272727272727" style="592" customWidth="1"/>
    <col min="18" max="18" width="16.2545454545455" style="592" customWidth="1"/>
    <col min="19" max="19" width="15.5" style="592" customWidth="1"/>
    <col min="20" max="20" width="20.3727272727273" style="592" customWidth="1"/>
    <col min="21" max="21" width="9.25454545454545" style="592"/>
    <col min="22" max="24" width="9" style="592"/>
    <col min="25" max="25" width="11.8727272727273" style="592" customWidth="1"/>
    <col min="26" max="26" width="12.5" style="592" customWidth="1"/>
    <col min="27" max="27" width="11.7545454545455" style="592" customWidth="1"/>
    <col min="28" max="28" width="9" style="592"/>
    <col min="29" max="29" width="14.5" style="592" customWidth="1"/>
    <col min="30" max="16384" width="9" style="592"/>
  </cols>
  <sheetData>
    <row r="1" ht="42" hidden="1" customHeight="1" spans="1:13">
      <c r="A1" s="595" t="s">
        <v>0</v>
      </c>
      <c r="B1" s="596"/>
      <c r="C1" s="596"/>
      <c r="D1" s="596"/>
      <c r="E1" s="596"/>
      <c r="F1" s="596"/>
      <c r="G1" s="596"/>
      <c r="H1" s="596"/>
      <c r="I1" s="596"/>
      <c r="J1" s="596"/>
      <c r="K1" s="596"/>
      <c r="L1" s="641"/>
      <c r="M1" s="596"/>
    </row>
    <row r="2" ht="42" hidden="1" customHeight="1" spans="1:13">
      <c r="A2" s="597" t="s">
        <v>1</v>
      </c>
      <c r="B2" s="597"/>
      <c r="C2" s="597"/>
      <c r="D2" s="597"/>
      <c r="E2" s="597"/>
      <c r="F2" s="597"/>
      <c r="G2" s="597"/>
      <c r="H2" s="597"/>
      <c r="I2" s="597"/>
      <c r="J2" s="597"/>
      <c r="K2" s="597"/>
      <c r="L2" s="642"/>
      <c r="M2" s="597"/>
    </row>
    <row r="3" hidden="1" spans="1:14">
      <c r="A3" s="598"/>
      <c r="B3" s="599"/>
      <c r="C3" s="599"/>
      <c r="D3" s="599"/>
      <c r="E3" s="599"/>
      <c r="F3" s="599"/>
      <c r="G3" s="599"/>
      <c r="H3" s="599"/>
      <c r="I3" s="599"/>
      <c r="J3" s="599"/>
      <c r="K3" s="599"/>
      <c r="L3" s="643" t="s">
        <v>2</v>
      </c>
      <c r="M3" s="599"/>
      <c r="N3" s="599"/>
    </row>
    <row r="4" s="586" customFormat="1" ht="38.1" hidden="1" customHeight="1" spans="1:13">
      <c r="A4" s="600" t="s">
        <v>3</v>
      </c>
      <c r="B4" s="601" t="s">
        <v>4</v>
      </c>
      <c r="C4" s="602" t="s">
        <v>5</v>
      </c>
      <c r="D4" s="603" t="s">
        <v>6</v>
      </c>
      <c r="E4" s="604" t="s">
        <v>7</v>
      </c>
      <c r="F4" s="604"/>
      <c r="G4" s="604" t="s">
        <v>8</v>
      </c>
      <c r="H4" s="604"/>
      <c r="I4" s="604"/>
      <c r="J4" s="604" t="s">
        <v>9</v>
      </c>
      <c r="K4" s="601" t="s">
        <v>10</v>
      </c>
      <c r="L4" s="644" t="s">
        <v>11</v>
      </c>
      <c r="M4" s="623" t="s">
        <v>12</v>
      </c>
    </row>
    <row r="5" ht="57" hidden="1" customHeight="1" spans="1:14">
      <c r="A5" s="605">
        <v>1</v>
      </c>
      <c r="B5" s="606" t="s">
        <v>13</v>
      </c>
      <c r="C5" s="607" t="s">
        <v>14</v>
      </c>
      <c r="D5" s="608">
        <v>816.21</v>
      </c>
      <c r="E5" s="609">
        <v>213.18</v>
      </c>
      <c r="F5" s="609"/>
      <c r="G5" s="609">
        <v>2123.13</v>
      </c>
      <c r="H5" s="609"/>
      <c r="I5" s="609"/>
      <c r="J5" s="645">
        <v>1300.31</v>
      </c>
      <c r="K5" s="609">
        <v>26.87</v>
      </c>
      <c r="L5" s="646">
        <f t="shared" ref="L5:L12" si="0">D5+E5+G5+J5-K5</f>
        <v>4425.96</v>
      </c>
      <c r="M5" s="647" t="s">
        <v>15</v>
      </c>
      <c r="N5" s="592"/>
    </row>
    <row r="6" ht="53.1" hidden="1" customHeight="1" spans="1:14">
      <c r="A6" s="605">
        <v>2</v>
      </c>
      <c r="B6" s="610"/>
      <c r="C6" s="607" t="s">
        <v>16</v>
      </c>
      <c r="D6" s="608">
        <v>2204.33</v>
      </c>
      <c r="E6" s="609">
        <v>174.74</v>
      </c>
      <c r="F6" s="609"/>
      <c r="G6" s="609">
        <v>1964.82</v>
      </c>
      <c r="H6" s="609"/>
      <c r="I6" s="609"/>
      <c r="J6" s="645">
        <v>1920.27</v>
      </c>
      <c r="K6" s="609">
        <v>187.92</v>
      </c>
      <c r="L6" s="646">
        <f t="shared" si="0"/>
        <v>6076.24</v>
      </c>
      <c r="M6" s="612" t="s">
        <v>15</v>
      </c>
      <c r="N6" s="592"/>
    </row>
    <row r="7" ht="54" hidden="1" customHeight="1" spans="1:14">
      <c r="A7" s="605">
        <v>3</v>
      </c>
      <c r="B7" s="610"/>
      <c r="C7" s="607" t="s">
        <v>17</v>
      </c>
      <c r="D7" s="608">
        <v>2793.48</v>
      </c>
      <c r="E7" s="609">
        <v>1753.28</v>
      </c>
      <c r="F7" s="609"/>
      <c r="G7" s="609">
        <v>2384.22</v>
      </c>
      <c r="H7" s="609"/>
      <c r="I7" s="609"/>
      <c r="J7" s="645">
        <v>3022.88</v>
      </c>
      <c r="K7" s="609">
        <v>294.88</v>
      </c>
      <c r="L7" s="646">
        <f t="shared" si="0"/>
        <v>9658.98</v>
      </c>
      <c r="M7" s="612" t="s">
        <v>15</v>
      </c>
      <c r="N7" s="592"/>
    </row>
    <row r="8" ht="53.1" hidden="1" customHeight="1" spans="1:14">
      <c r="A8" s="605">
        <v>4</v>
      </c>
      <c r="B8" s="610"/>
      <c r="C8" s="607" t="s">
        <v>18</v>
      </c>
      <c r="D8" s="608">
        <v>0</v>
      </c>
      <c r="E8" s="609">
        <v>2367.53</v>
      </c>
      <c r="F8" s="609"/>
      <c r="G8" s="609">
        <v>3279.69</v>
      </c>
      <c r="H8" s="609"/>
      <c r="I8" s="609"/>
      <c r="J8" s="645">
        <v>3573.46</v>
      </c>
      <c r="K8" s="609">
        <v>208.34</v>
      </c>
      <c r="L8" s="646">
        <f t="shared" si="0"/>
        <v>9012.34</v>
      </c>
      <c r="M8" s="647" t="s">
        <v>19</v>
      </c>
      <c r="N8" s="592"/>
    </row>
    <row r="9" ht="54" hidden="1" customHeight="1" spans="1:14">
      <c r="A9" s="605">
        <v>5</v>
      </c>
      <c r="B9" s="606" t="s">
        <v>20</v>
      </c>
      <c r="C9" s="607" t="s">
        <v>21</v>
      </c>
      <c r="D9" s="608">
        <v>5811.9</v>
      </c>
      <c r="E9" s="609">
        <v>3548.75</v>
      </c>
      <c r="F9" s="609"/>
      <c r="G9" s="609">
        <v>507.91</v>
      </c>
      <c r="H9" s="609"/>
      <c r="I9" s="609"/>
      <c r="J9" s="645">
        <v>4141.23</v>
      </c>
      <c r="K9" s="609">
        <v>374.23</v>
      </c>
      <c r="L9" s="646">
        <f t="shared" si="0"/>
        <v>13635.56</v>
      </c>
      <c r="M9" s="612" t="s">
        <v>15</v>
      </c>
      <c r="N9" s="592"/>
    </row>
    <row r="10" ht="54" hidden="1" customHeight="1" spans="1:14">
      <c r="A10" s="605">
        <v>6</v>
      </c>
      <c r="B10" s="610"/>
      <c r="C10" s="607" t="s">
        <v>22</v>
      </c>
      <c r="D10" s="608">
        <v>3492.98</v>
      </c>
      <c r="E10" s="609">
        <v>3771.88</v>
      </c>
      <c r="F10" s="609"/>
      <c r="G10" s="609">
        <v>1583.23</v>
      </c>
      <c r="H10" s="609"/>
      <c r="I10" s="609"/>
      <c r="J10" s="645">
        <v>3662.52</v>
      </c>
      <c r="K10" s="609">
        <v>328.89</v>
      </c>
      <c r="L10" s="646">
        <f t="shared" si="0"/>
        <v>12181.72</v>
      </c>
      <c r="M10" s="612" t="s">
        <v>15</v>
      </c>
      <c r="N10" s="592"/>
    </row>
    <row r="11" ht="57" hidden="1" customHeight="1" spans="1:14">
      <c r="A11" s="605">
        <v>7</v>
      </c>
      <c r="B11" s="611"/>
      <c r="C11" s="587" t="s">
        <v>23</v>
      </c>
      <c r="D11" s="608">
        <v>3496.79</v>
      </c>
      <c r="E11" s="609">
        <v>3605.54</v>
      </c>
      <c r="F11" s="609"/>
      <c r="G11" s="609">
        <v>2544.14</v>
      </c>
      <c r="H11" s="609"/>
      <c r="I11" s="609"/>
      <c r="J11" s="645">
        <v>4129.49</v>
      </c>
      <c r="K11" s="609">
        <v>365.05</v>
      </c>
      <c r="L11" s="646">
        <f t="shared" si="0"/>
        <v>13410.91</v>
      </c>
      <c r="M11" s="612" t="s">
        <v>15</v>
      </c>
      <c r="N11" s="592"/>
    </row>
    <row r="12" ht="101.1" hidden="1" customHeight="1" spans="1:14">
      <c r="A12" s="605">
        <v>8</v>
      </c>
      <c r="B12" s="612" t="s">
        <v>24</v>
      </c>
      <c r="C12" s="607" t="s">
        <v>25</v>
      </c>
      <c r="D12" s="608">
        <v>0</v>
      </c>
      <c r="E12" s="609">
        <v>0</v>
      </c>
      <c r="F12" s="609"/>
      <c r="G12" s="609">
        <v>0</v>
      </c>
      <c r="H12" s="609"/>
      <c r="I12" s="609"/>
      <c r="J12" s="645">
        <f>3000*70%*100%+3000*30%*100%</f>
        <v>3000</v>
      </c>
      <c r="K12" s="609">
        <v>90</v>
      </c>
      <c r="L12" s="646">
        <f t="shared" si="0"/>
        <v>2910</v>
      </c>
      <c r="M12" s="648" t="s">
        <v>26</v>
      </c>
      <c r="N12" s="592"/>
    </row>
    <row r="13" ht="33" hidden="1" customHeight="1" spans="1:14">
      <c r="A13" s="613" t="s">
        <v>27</v>
      </c>
      <c r="B13" s="614"/>
      <c r="C13" s="615"/>
      <c r="D13" s="616">
        <f>SUM(D5:D12)</f>
        <v>18615.69</v>
      </c>
      <c r="E13" s="616">
        <f>SUM(E5:E12)</f>
        <v>15434.9</v>
      </c>
      <c r="F13" s="616"/>
      <c r="G13" s="616">
        <f>SUM(G5:G12)</f>
        <v>14387.14</v>
      </c>
      <c r="H13" s="616"/>
      <c r="I13" s="616"/>
      <c r="J13" s="616">
        <f>SUM(J5:J12)</f>
        <v>24750.16</v>
      </c>
      <c r="K13" s="616">
        <f>SUM(K5:K12)</f>
        <v>1876.18</v>
      </c>
      <c r="L13" s="649">
        <f>SUM(L5:L12)</f>
        <v>71311.71</v>
      </c>
      <c r="M13" s="650"/>
      <c r="N13" s="592"/>
    </row>
    <row r="14" hidden="1" spans="1:13">
      <c r="A14" s="617"/>
      <c r="B14" s="618"/>
      <c r="C14" s="618"/>
      <c r="D14" s="619"/>
      <c r="E14" s="619"/>
      <c r="F14" s="619"/>
      <c r="G14" s="619"/>
      <c r="H14" s="619"/>
      <c r="I14" s="619"/>
      <c r="J14" s="619"/>
      <c r="K14" s="619"/>
      <c r="L14" s="651"/>
      <c r="M14" s="619"/>
    </row>
    <row r="15" ht="15.5" hidden="1" spans="1:13">
      <c r="A15" s="620" t="s">
        <v>28</v>
      </c>
      <c r="B15" s="621"/>
      <c r="C15" s="622"/>
      <c r="D15" s="622"/>
      <c r="E15" s="622"/>
      <c r="F15" s="622"/>
      <c r="G15" s="621"/>
      <c r="H15" s="621"/>
      <c r="I15" s="621"/>
      <c r="J15" s="621"/>
      <c r="K15" s="621"/>
      <c r="L15" s="652"/>
      <c r="M15" s="622"/>
    </row>
    <row r="16" hidden="1"/>
    <row r="17" hidden="1"/>
    <row r="18" ht="42" hidden="1" customHeight="1" spans="1:13">
      <c r="A18" s="595" t="s">
        <v>0</v>
      </c>
      <c r="B18" s="595"/>
      <c r="C18" s="595"/>
      <c r="D18" s="595"/>
      <c r="E18" s="595"/>
      <c r="F18" s="595"/>
      <c r="G18" s="595"/>
      <c r="H18" s="595"/>
      <c r="I18" s="595"/>
      <c r="J18" s="595"/>
      <c r="K18" s="595"/>
      <c r="L18" s="653"/>
      <c r="M18" s="595"/>
    </row>
    <row r="19" ht="42" hidden="1" customHeight="1" spans="1:13">
      <c r="A19" s="597" t="s">
        <v>29</v>
      </c>
      <c r="B19" s="597"/>
      <c r="C19" s="597"/>
      <c r="D19" s="597"/>
      <c r="E19" s="597"/>
      <c r="F19" s="597"/>
      <c r="G19" s="597"/>
      <c r="H19" s="597"/>
      <c r="I19" s="597"/>
      <c r="J19" s="597"/>
      <c r="K19" s="597"/>
      <c r="L19" s="642"/>
      <c r="M19" s="597"/>
    </row>
    <row r="20" hidden="1" spans="1:12">
      <c r="A20" s="598"/>
      <c r="B20" s="599"/>
      <c r="C20" s="599"/>
      <c r="D20" s="599"/>
      <c r="E20" s="599"/>
      <c r="F20" s="599"/>
      <c r="G20" s="599"/>
      <c r="H20" s="599"/>
      <c r="I20" s="599"/>
      <c r="J20" s="599" t="s">
        <v>30</v>
      </c>
      <c r="K20" s="599"/>
      <c r="L20" s="643"/>
    </row>
    <row r="21" s="586" customFormat="1" ht="38.1" hidden="1" customHeight="1" spans="1:13">
      <c r="A21" s="600" t="s">
        <v>3</v>
      </c>
      <c r="B21" s="601" t="s">
        <v>4</v>
      </c>
      <c r="C21" s="601" t="s">
        <v>5</v>
      </c>
      <c r="D21" s="623" t="s">
        <v>31</v>
      </c>
      <c r="E21" s="601" t="s">
        <v>10</v>
      </c>
      <c r="F21" s="601"/>
      <c r="G21" s="601" t="s">
        <v>11</v>
      </c>
      <c r="H21" s="601"/>
      <c r="I21" s="601"/>
      <c r="J21" s="623" t="s">
        <v>12</v>
      </c>
      <c r="L21" s="654"/>
      <c r="M21" s="655"/>
    </row>
    <row r="22" ht="37" hidden="1" customHeight="1" spans="1:14">
      <c r="A22" s="605">
        <v>1</v>
      </c>
      <c r="B22" s="612" t="s">
        <v>13</v>
      </c>
      <c r="C22" s="158" t="s">
        <v>14</v>
      </c>
      <c r="D22" s="608">
        <v>6089.2</v>
      </c>
      <c r="E22" s="624"/>
      <c r="F22" s="624"/>
      <c r="G22" s="624"/>
      <c r="H22" s="624"/>
      <c r="I22" s="624"/>
      <c r="J22" s="624"/>
      <c r="M22" s="650"/>
      <c r="N22" s="592"/>
    </row>
    <row r="23" ht="37" hidden="1" customHeight="1" spans="1:14">
      <c r="A23" s="605">
        <v>2</v>
      </c>
      <c r="B23" s="612"/>
      <c r="C23" s="158" t="s">
        <v>16</v>
      </c>
      <c r="D23" s="608">
        <v>2899.58</v>
      </c>
      <c r="E23" s="624"/>
      <c r="F23" s="624"/>
      <c r="G23" s="624"/>
      <c r="H23" s="624"/>
      <c r="I23" s="624"/>
      <c r="J23" s="624"/>
      <c r="M23" s="650"/>
      <c r="N23" s="592"/>
    </row>
    <row r="24" ht="37" hidden="1" customHeight="1" spans="1:14">
      <c r="A24" s="605">
        <v>3</v>
      </c>
      <c r="B24" s="612"/>
      <c r="C24" s="158" t="s">
        <v>17</v>
      </c>
      <c r="D24" s="608">
        <v>3774.44</v>
      </c>
      <c r="E24" s="624"/>
      <c r="F24" s="624"/>
      <c r="G24" s="624"/>
      <c r="H24" s="624"/>
      <c r="I24" s="624"/>
      <c r="J24" s="624"/>
      <c r="M24" s="650"/>
      <c r="N24" s="592"/>
    </row>
    <row r="25" ht="37" hidden="1" customHeight="1" spans="1:14">
      <c r="A25" s="605">
        <v>4</v>
      </c>
      <c r="B25" s="612"/>
      <c r="C25" s="158" t="s">
        <v>18</v>
      </c>
      <c r="D25" s="608">
        <v>2932.14</v>
      </c>
      <c r="E25" s="624"/>
      <c r="F25" s="624"/>
      <c r="G25" s="624"/>
      <c r="H25" s="624"/>
      <c r="I25" s="624"/>
      <c r="J25" s="624"/>
      <c r="M25" s="650"/>
      <c r="N25" s="592"/>
    </row>
    <row r="26" ht="37" hidden="1" customHeight="1" spans="1:14">
      <c r="A26" s="605">
        <v>5</v>
      </c>
      <c r="B26" s="612" t="s">
        <v>20</v>
      </c>
      <c r="C26" s="158" t="s">
        <v>21</v>
      </c>
      <c r="D26" s="608">
        <v>4165.45</v>
      </c>
      <c r="E26" s="624"/>
      <c r="F26" s="624"/>
      <c r="G26" s="624"/>
      <c r="H26" s="624"/>
      <c r="I26" s="624"/>
      <c r="J26" s="624"/>
      <c r="M26" s="650"/>
      <c r="N26" s="592"/>
    </row>
    <row r="27" ht="37" hidden="1" customHeight="1" spans="1:14">
      <c r="A27" s="605">
        <v>6</v>
      </c>
      <c r="B27" s="612"/>
      <c r="C27" s="158" t="s">
        <v>22</v>
      </c>
      <c r="D27" s="608">
        <v>1758.87</v>
      </c>
      <c r="E27" s="624"/>
      <c r="F27" s="624"/>
      <c r="G27" s="624"/>
      <c r="H27" s="624"/>
      <c r="I27" s="624"/>
      <c r="J27" s="624"/>
      <c r="M27" s="650">
        <v>1758.87</v>
      </c>
      <c r="N27" s="592">
        <v>1934.76</v>
      </c>
    </row>
    <row r="28" ht="37" hidden="1" customHeight="1" spans="1:14">
      <c r="A28" s="605">
        <v>7</v>
      </c>
      <c r="B28" s="612"/>
      <c r="C28" s="608" t="s">
        <v>23</v>
      </c>
      <c r="D28" s="608">
        <v>1741.51</v>
      </c>
      <c r="E28" s="624"/>
      <c r="F28" s="624"/>
      <c r="G28" s="624"/>
      <c r="H28" s="624"/>
      <c r="I28" s="624"/>
      <c r="J28" s="624"/>
      <c r="M28" s="650"/>
      <c r="N28" s="592">
        <f>N27-M27</f>
        <v>175.89</v>
      </c>
    </row>
    <row r="29" hidden="1" spans="4:4">
      <c r="D29" s="587">
        <f>SUM(D22:D28)</f>
        <v>23361.19</v>
      </c>
    </row>
    <row r="30" ht="15.5" hidden="1" spans="1:13">
      <c r="A30" s="625" t="s">
        <v>32</v>
      </c>
      <c r="B30" s="621"/>
      <c r="C30" s="622"/>
      <c r="D30" s="622"/>
      <c r="E30" s="622"/>
      <c r="F30" s="622"/>
      <c r="G30" s="621"/>
      <c r="H30" s="621"/>
      <c r="I30" s="621"/>
      <c r="J30" s="621"/>
      <c r="K30" s="621"/>
      <c r="L30" s="652"/>
      <c r="M30" s="622"/>
    </row>
    <row r="31" hidden="1"/>
    <row r="32" ht="25" hidden="1" spans="1:11">
      <c r="A32" s="595" t="s">
        <v>0</v>
      </c>
      <c r="B32" s="595"/>
      <c r="C32" s="595"/>
      <c r="D32" s="595"/>
      <c r="E32" s="595"/>
      <c r="F32" s="595"/>
      <c r="G32" s="595"/>
      <c r="H32" s="595"/>
      <c r="I32" s="595"/>
      <c r="J32" s="595"/>
      <c r="K32" s="595"/>
    </row>
    <row r="33" ht="16.5" hidden="1" spans="1:11">
      <c r="A33" s="597" t="s">
        <v>33</v>
      </c>
      <c r="B33" s="597"/>
      <c r="C33" s="597"/>
      <c r="D33" s="597"/>
      <c r="E33" s="597"/>
      <c r="F33" s="597"/>
      <c r="G33" s="597"/>
      <c r="H33" s="597"/>
      <c r="I33" s="597"/>
      <c r="J33" s="597"/>
      <c r="K33" s="597"/>
    </row>
    <row r="34" hidden="1" spans="1:11">
      <c r="A34" s="598"/>
      <c r="B34" s="599"/>
      <c r="C34" s="599"/>
      <c r="D34" s="599"/>
      <c r="E34" s="599"/>
      <c r="F34" s="599"/>
      <c r="G34" s="599"/>
      <c r="H34" s="599"/>
      <c r="I34" s="599"/>
      <c r="J34" s="599" t="s">
        <v>34</v>
      </c>
      <c r="K34" s="599"/>
    </row>
    <row r="35" ht="28" hidden="1" customHeight="1" spans="1:11">
      <c r="A35" s="626" t="s">
        <v>3</v>
      </c>
      <c r="B35" s="627" t="s">
        <v>4</v>
      </c>
      <c r="C35" s="627" t="s">
        <v>5</v>
      </c>
      <c r="D35" s="628" t="s">
        <v>35</v>
      </c>
      <c r="E35" s="628" t="s">
        <v>36</v>
      </c>
      <c r="F35" s="628"/>
      <c r="G35" s="627" t="s">
        <v>10</v>
      </c>
      <c r="H35" s="627"/>
      <c r="I35" s="627"/>
      <c r="J35" s="627" t="s">
        <v>11</v>
      </c>
      <c r="K35" s="628" t="s">
        <v>12</v>
      </c>
    </row>
    <row r="36" ht="37" hidden="1" customHeight="1" spans="1:11">
      <c r="A36" s="629">
        <v>1</v>
      </c>
      <c r="B36" s="630" t="s">
        <v>38</v>
      </c>
      <c r="C36" s="631" t="s">
        <v>39</v>
      </c>
      <c r="D36" s="632">
        <v>3368.37</v>
      </c>
      <c r="E36" s="632"/>
      <c r="F36" s="632"/>
      <c r="G36" s="633"/>
      <c r="H36" s="633"/>
      <c r="I36" s="633"/>
      <c r="J36" s="633"/>
      <c r="K36" s="633"/>
    </row>
    <row r="37" ht="39" hidden="1" customHeight="1" spans="1:11">
      <c r="A37" s="629">
        <v>2</v>
      </c>
      <c r="B37" s="634"/>
      <c r="C37" s="631" t="s">
        <v>40</v>
      </c>
      <c r="D37" s="632">
        <v>3590.38</v>
      </c>
      <c r="E37" s="632"/>
      <c r="F37" s="632"/>
      <c r="G37" s="633"/>
      <c r="H37" s="633"/>
      <c r="I37" s="633"/>
      <c r="J37" s="633"/>
      <c r="K37" s="633"/>
    </row>
    <row r="38" ht="39" hidden="1" customHeight="1" spans="1:11">
      <c r="A38" s="629">
        <v>3</v>
      </c>
      <c r="B38" s="634"/>
      <c r="C38" s="631" t="s">
        <v>41</v>
      </c>
      <c r="D38" s="632">
        <v>2525.81</v>
      </c>
      <c r="E38" s="632"/>
      <c r="F38" s="632"/>
      <c r="G38" s="633"/>
      <c r="H38" s="633"/>
      <c r="I38" s="633"/>
      <c r="J38" s="633"/>
      <c r="K38" s="633"/>
    </row>
    <row r="39" ht="39" hidden="1" customHeight="1" spans="1:11">
      <c r="A39" s="629">
        <v>4</v>
      </c>
      <c r="B39" s="635"/>
      <c r="C39" s="631" t="s">
        <v>42</v>
      </c>
      <c r="D39" s="632">
        <v>734.071111111111</v>
      </c>
      <c r="E39" s="632"/>
      <c r="F39" s="632"/>
      <c r="G39" s="633"/>
      <c r="H39" s="633"/>
      <c r="I39" s="633"/>
      <c r="J39" s="633"/>
      <c r="K39" s="633"/>
    </row>
    <row r="40" ht="40" hidden="1" customHeight="1" spans="1:11">
      <c r="A40" s="629">
        <v>5</v>
      </c>
      <c r="B40" s="636" t="s">
        <v>43</v>
      </c>
      <c r="C40" s="631" t="s">
        <v>44</v>
      </c>
      <c r="D40" s="632">
        <v>2788.88</v>
      </c>
      <c r="E40" s="632"/>
      <c r="F40" s="632"/>
      <c r="G40" s="633"/>
      <c r="H40" s="633"/>
      <c r="I40" s="633"/>
      <c r="J40" s="633"/>
      <c r="K40" s="633"/>
    </row>
    <row r="41" ht="33" hidden="1" spans="1:11">
      <c r="A41" s="629">
        <v>6</v>
      </c>
      <c r="B41" s="636"/>
      <c r="C41" s="631" t="s">
        <v>45</v>
      </c>
      <c r="D41" s="632">
        <v>1835.99</v>
      </c>
      <c r="E41" s="632">
        <v>175.89</v>
      </c>
      <c r="F41" s="632"/>
      <c r="G41" s="633"/>
      <c r="H41" s="633"/>
      <c r="I41" s="633"/>
      <c r="J41" s="633"/>
      <c r="K41" s="656" t="s">
        <v>46</v>
      </c>
    </row>
    <row r="42" ht="38" hidden="1" customHeight="1" spans="1:11">
      <c r="A42" s="629">
        <v>7</v>
      </c>
      <c r="B42" s="636"/>
      <c r="C42" s="632" t="s">
        <v>47</v>
      </c>
      <c r="D42" s="632">
        <v>2306.59</v>
      </c>
      <c r="E42" s="632"/>
      <c r="F42" s="632"/>
      <c r="G42" s="633"/>
      <c r="H42" s="633"/>
      <c r="I42" s="633"/>
      <c r="J42" s="633"/>
      <c r="K42" s="633"/>
    </row>
    <row r="43" ht="32" hidden="1" customHeight="1" spans="1:11">
      <c r="A43" s="637" t="s">
        <v>11</v>
      </c>
      <c r="B43" s="637"/>
      <c r="C43" s="637"/>
      <c r="D43" s="632">
        <f>SUM(D36:D42)</f>
        <v>17150.0911111111</v>
      </c>
      <c r="E43" s="632"/>
      <c r="F43" s="632"/>
      <c r="G43" s="633"/>
      <c r="H43" s="633"/>
      <c r="I43" s="633"/>
      <c r="J43" s="633"/>
      <c r="K43" s="633"/>
    </row>
    <row r="44" ht="37" hidden="1" customHeight="1" spans="1:1">
      <c r="A44" s="638" t="s">
        <v>48</v>
      </c>
    </row>
    <row r="45" hidden="1"/>
    <row r="46" hidden="1"/>
    <row r="47" hidden="1"/>
    <row r="48" hidden="1"/>
    <row r="49" hidden="1"/>
    <row r="50" hidden="1"/>
    <row r="51" ht="35" hidden="1" customHeight="1" spans="1:11">
      <c r="A51" s="595" t="s">
        <v>0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</row>
    <row r="52" ht="28" hidden="1" customHeight="1" spans="1:11">
      <c r="A52" s="597" t="s">
        <v>49</v>
      </c>
      <c r="B52" s="597"/>
      <c r="C52" s="597"/>
      <c r="D52" s="597"/>
      <c r="E52" s="597"/>
      <c r="F52" s="597"/>
      <c r="G52" s="597"/>
      <c r="H52" s="597"/>
      <c r="I52" s="597"/>
      <c r="J52" s="597"/>
      <c r="K52" s="597"/>
    </row>
    <row r="53" ht="17" hidden="1" customHeight="1" spans="1:11">
      <c r="A53" s="598"/>
      <c r="B53" s="599"/>
      <c r="C53" s="599"/>
      <c r="D53" s="599"/>
      <c r="E53" s="599"/>
      <c r="F53" s="599"/>
      <c r="G53" s="599"/>
      <c r="H53" s="599"/>
      <c r="I53" s="599"/>
      <c r="K53" s="599" t="s">
        <v>50</v>
      </c>
    </row>
    <row r="54" ht="31" hidden="1" customHeight="1" spans="1:11">
      <c r="A54" s="629" t="s">
        <v>3</v>
      </c>
      <c r="B54" s="639" t="s">
        <v>4</v>
      </c>
      <c r="C54" s="639" t="s">
        <v>5</v>
      </c>
      <c r="D54" s="636" t="s">
        <v>51</v>
      </c>
      <c r="E54" s="636" t="s">
        <v>52</v>
      </c>
      <c r="F54" s="636"/>
      <c r="G54" s="639" t="s">
        <v>10</v>
      </c>
      <c r="H54" s="639"/>
      <c r="I54" s="639"/>
      <c r="J54" s="639" t="s">
        <v>11</v>
      </c>
      <c r="K54" s="628" t="s">
        <v>12</v>
      </c>
    </row>
    <row r="55" s="587" customFormat="1" ht="85" hidden="1" customHeight="1" spans="1:14">
      <c r="A55" s="629">
        <v>1</v>
      </c>
      <c r="B55" s="630" t="s">
        <v>38</v>
      </c>
      <c r="C55" s="631" t="s">
        <v>39</v>
      </c>
      <c r="D55" s="632">
        <f>回款整体汇总!AG4</f>
        <v>2175.85</v>
      </c>
      <c r="E55" s="632" t="e">
        <f>回款整体汇总!#REF!</f>
        <v>#REF!</v>
      </c>
      <c r="F55" s="632"/>
      <c r="G55" s="632"/>
      <c r="H55" s="632"/>
      <c r="I55" s="632"/>
      <c r="J55" s="632" t="e">
        <f>D55+E55-G55</f>
        <v>#REF!</v>
      </c>
      <c r="K55" s="657" t="s">
        <v>53</v>
      </c>
      <c r="L55" s="593"/>
      <c r="N55" s="650"/>
    </row>
    <row r="56" s="587" customFormat="1" ht="52" hidden="1" customHeight="1" spans="1:14">
      <c r="A56" s="629">
        <v>2</v>
      </c>
      <c r="B56" s="634"/>
      <c r="C56" s="631" t="s">
        <v>54</v>
      </c>
      <c r="D56" s="632">
        <f>回款整体汇总!AG5</f>
        <v>4875.51</v>
      </c>
      <c r="E56" s="632">
        <f>回款整体汇总!AM5</f>
        <v>5811.06</v>
      </c>
      <c r="F56" s="632"/>
      <c r="G56" s="632"/>
      <c r="H56" s="632"/>
      <c r="I56" s="632"/>
      <c r="J56" s="632">
        <f t="shared" ref="J56:J63" si="1">D56+E56-G56</f>
        <v>10686.57</v>
      </c>
      <c r="K56" s="657" t="s">
        <v>55</v>
      </c>
      <c r="L56" s="593"/>
      <c r="N56" s="650"/>
    </row>
    <row r="57" s="587" customFormat="1" ht="52" hidden="1" customHeight="1" spans="1:14">
      <c r="A57" s="629">
        <v>3</v>
      </c>
      <c r="B57" s="634"/>
      <c r="C57" s="631" t="s">
        <v>40</v>
      </c>
      <c r="D57" s="632">
        <f>回款整体汇总!AG8</f>
        <v>2488.66</v>
      </c>
      <c r="E57" s="632">
        <f>回款整体汇总!AM8</f>
        <v>2491.91</v>
      </c>
      <c r="F57" s="632"/>
      <c r="G57" s="632"/>
      <c r="H57" s="632"/>
      <c r="I57" s="632"/>
      <c r="J57" s="632">
        <f t="shared" si="1"/>
        <v>4980.57</v>
      </c>
      <c r="K57" s="657" t="s">
        <v>56</v>
      </c>
      <c r="L57" s="593"/>
      <c r="N57" s="650"/>
    </row>
    <row r="58" s="587" customFormat="1" ht="66" hidden="1" spans="1:14">
      <c r="A58" s="629">
        <v>4</v>
      </c>
      <c r="B58" s="634"/>
      <c r="C58" s="631" t="s">
        <v>41</v>
      </c>
      <c r="D58" s="632">
        <v>2000</v>
      </c>
      <c r="E58" s="632" t="e">
        <f>回款整体汇总!#REF!</f>
        <v>#REF!</v>
      </c>
      <c r="F58" s="632"/>
      <c r="G58" s="632"/>
      <c r="H58" s="632"/>
      <c r="I58" s="632"/>
      <c r="J58" s="632" t="e">
        <f t="shared" si="1"/>
        <v>#REF!</v>
      </c>
      <c r="K58" s="658" t="s">
        <v>57</v>
      </c>
      <c r="L58" s="593"/>
      <c r="N58" s="650"/>
    </row>
    <row r="59" s="587" customFormat="1" ht="49.5" hidden="1" spans="1:14">
      <c r="A59" s="629">
        <v>5</v>
      </c>
      <c r="B59" s="635"/>
      <c r="C59" s="631" t="s">
        <v>42</v>
      </c>
      <c r="D59" s="632" t="e">
        <f>回款整体汇总!#REF!</f>
        <v>#REF!</v>
      </c>
      <c r="E59" s="632" t="e">
        <f>回款整体汇总!#REF!</f>
        <v>#REF!</v>
      </c>
      <c r="F59" s="632"/>
      <c r="G59" s="632"/>
      <c r="H59" s="632"/>
      <c r="I59" s="632"/>
      <c r="J59" s="632" t="e">
        <f t="shared" si="1"/>
        <v>#REF!</v>
      </c>
      <c r="K59" s="658" t="s">
        <v>58</v>
      </c>
      <c r="L59" s="593"/>
      <c r="N59" s="650"/>
    </row>
    <row r="60" s="587" customFormat="1" ht="49.5" hidden="1" spans="1:14">
      <c r="A60" s="629">
        <v>6</v>
      </c>
      <c r="B60" s="636" t="s">
        <v>43</v>
      </c>
      <c r="C60" s="631" t="s">
        <v>44</v>
      </c>
      <c r="D60" s="632">
        <f>回款整体汇总!AG9</f>
        <v>3364.65</v>
      </c>
      <c r="E60" s="632">
        <f>回款整体汇总!AM9</f>
        <v>4909.11</v>
      </c>
      <c r="F60" s="632"/>
      <c r="G60" s="632"/>
      <c r="H60" s="632"/>
      <c r="I60" s="632"/>
      <c r="J60" s="632">
        <f t="shared" si="1"/>
        <v>8273.76</v>
      </c>
      <c r="K60" s="657" t="s">
        <v>56</v>
      </c>
      <c r="L60" s="593"/>
      <c r="N60" s="650"/>
    </row>
    <row r="61" s="587" customFormat="1" ht="49.5" hidden="1" spans="1:14">
      <c r="A61" s="629">
        <v>7</v>
      </c>
      <c r="B61" s="636"/>
      <c r="C61" s="631" t="s">
        <v>45</v>
      </c>
      <c r="D61" s="632">
        <f>回款整体汇总!AG10</f>
        <v>3518.67</v>
      </c>
      <c r="E61" s="632">
        <f>回款整体汇总!AM10</f>
        <v>3807.8</v>
      </c>
      <c r="F61" s="632"/>
      <c r="G61" s="632"/>
      <c r="H61" s="632"/>
      <c r="I61" s="632"/>
      <c r="J61" s="632">
        <f t="shared" si="1"/>
        <v>7326.47</v>
      </c>
      <c r="K61" s="657" t="s">
        <v>56</v>
      </c>
      <c r="L61" s="593"/>
      <c r="N61" s="650"/>
    </row>
    <row r="62" s="587" customFormat="1" ht="49.5" hidden="1" spans="1:14">
      <c r="A62" s="629">
        <v>8</v>
      </c>
      <c r="B62" s="636"/>
      <c r="C62" s="632" t="s">
        <v>47</v>
      </c>
      <c r="D62" s="632">
        <f>回款整体汇总!AG11</f>
        <v>1381.34</v>
      </c>
      <c r="E62" s="632">
        <f>回款整体汇总!AM11</f>
        <v>961.67</v>
      </c>
      <c r="F62" s="632"/>
      <c r="G62" s="632"/>
      <c r="H62" s="632"/>
      <c r="I62" s="632"/>
      <c r="J62" s="632">
        <f t="shared" si="1"/>
        <v>2343.01</v>
      </c>
      <c r="K62" s="657" t="s">
        <v>56</v>
      </c>
      <c r="L62" s="593"/>
      <c r="N62" s="650"/>
    </row>
    <row r="63" s="587" customFormat="1" ht="49.5" hidden="1" spans="1:14">
      <c r="A63" s="629">
        <v>9</v>
      </c>
      <c r="B63" s="636" t="s">
        <v>59</v>
      </c>
      <c r="C63" s="632" t="s">
        <v>60</v>
      </c>
      <c r="D63" s="632">
        <v>0</v>
      </c>
      <c r="E63" s="640">
        <f>3000*70%*87.12%+3000*30%*100%</f>
        <v>2729.52</v>
      </c>
      <c r="F63" s="640"/>
      <c r="G63" s="632"/>
      <c r="H63" s="632"/>
      <c r="I63" s="632"/>
      <c r="J63" s="632">
        <f t="shared" si="1"/>
        <v>2729.52</v>
      </c>
      <c r="K63" s="657" t="s">
        <v>61</v>
      </c>
      <c r="L63" s="593"/>
      <c r="N63" s="650"/>
    </row>
    <row r="64" s="587" customFormat="1" ht="32" hidden="1" customHeight="1" spans="1:14">
      <c r="A64" s="637" t="s">
        <v>11</v>
      </c>
      <c r="B64" s="637"/>
      <c r="C64" s="637"/>
      <c r="D64" s="632" t="e">
        <f>SUM(D55:D63)</f>
        <v>#REF!</v>
      </c>
      <c r="E64" s="632" t="e">
        <f>SUM(E55:E63)</f>
        <v>#REF!</v>
      </c>
      <c r="F64" s="632"/>
      <c r="G64" s="632">
        <f>SUM(G55:G63)</f>
        <v>0</v>
      </c>
      <c r="H64" s="632"/>
      <c r="I64" s="632"/>
      <c r="J64" s="632" t="e">
        <f>SUM(J55:J63)</f>
        <v>#REF!</v>
      </c>
      <c r="K64" s="632"/>
      <c r="L64" s="593"/>
      <c r="N64" s="650"/>
    </row>
    <row r="65" ht="22" hidden="1" customHeight="1" spans="1:1">
      <c r="A65" s="638" t="s">
        <v>48</v>
      </c>
    </row>
    <row r="66" hidden="1"/>
    <row r="67" hidden="1"/>
    <row r="68" hidden="1"/>
    <row r="69" ht="25" hidden="1" spans="1:11">
      <c r="A69" s="595" t="s">
        <v>0</v>
      </c>
      <c r="B69" s="595"/>
      <c r="C69" s="595"/>
      <c r="D69" s="595"/>
      <c r="E69" s="595"/>
      <c r="F69" s="595"/>
      <c r="G69" s="595"/>
      <c r="H69" s="595"/>
      <c r="I69" s="595"/>
      <c r="J69" s="595"/>
      <c r="K69" s="595"/>
    </row>
    <row r="70" ht="16.5" hidden="1" spans="1:11">
      <c r="A70" s="597" t="s">
        <v>62</v>
      </c>
      <c r="B70" s="597"/>
      <c r="C70" s="597"/>
      <c r="D70" s="597"/>
      <c r="E70" s="597"/>
      <c r="F70" s="597"/>
      <c r="G70" s="597"/>
      <c r="H70" s="597"/>
      <c r="I70" s="597"/>
      <c r="J70" s="597"/>
      <c r="K70" s="597"/>
    </row>
    <row r="71" hidden="1" spans="1:11">
      <c r="A71" s="598"/>
      <c r="B71" s="599"/>
      <c r="C71" s="599"/>
      <c r="D71" s="599"/>
      <c r="E71" s="599"/>
      <c r="F71" s="599"/>
      <c r="G71" s="599"/>
      <c r="H71" s="599"/>
      <c r="I71" s="599"/>
      <c r="J71" s="599" t="s">
        <v>63</v>
      </c>
      <c r="K71" s="599"/>
    </row>
    <row r="72" ht="27" hidden="1" customHeight="1" spans="1:11">
      <c r="A72" s="626" t="s">
        <v>3</v>
      </c>
      <c r="B72" s="627" t="s">
        <v>4</v>
      </c>
      <c r="C72" s="627" t="s">
        <v>5</v>
      </c>
      <c r="D72" s="628" t="s">
        <v>64</v>
      </c>
      <c r="E72" s="628" t="s">
        <v>36</v>
      </c>
      <c r="F72" s="628" t="s">
        <v>65</v>
      </c>
      <c r="G72" s="627" t="s">
        <v>10</v>
      </c>
      <c r="H72" s="627"/>
      <c r="I72" s="627"/>
      <c r="J72" s="627" t="s">
        <v>11</v>
      </c>
      <c r="K72" s="628" t="s">
        <v>12</v>
      </c>
    </row>
    <row r="73" ht="29" hidden="1" customHeight="1" spans="1:11">
      <c r="A73" s="629">
        <v>1</v>
      </c>
      <c r="B73" s="630" t="s">
        <v>38</v>
      </c>
      <c r="C73" s="631" t="s">
        <v>39</v>
      </c>
      <c r="D73" s="659">
        <f>回款整体汇总!AQ4/2</f>
        <v>5651.73105</v>
      </c>
      <c r="E73" s="632">
        <v>0</v>
      </c>
      <c r="F73" s="632" t="e">
        <f>VLOOKUP(C73,'杭州回款未完成负激励 (修改)'!#REF!,8,0)</f>
        <v>#REF!</v>
      </c>
      <c r="G73" s="632">
        <v>0</v>
      </c>
      <c r="H73" s="632"/>
      <c r="I73" s="632"/>
      <c r="J73" s="632" t="e">
        <f>D73+E73-F73-G73</f>
        <v>#REF!</v>
      </c>
      <c r="K73" s="633" t="s">
        <v>66</v>
      </c>
    </row>
    <row r="74" ht="29" hidden="1" customHeight="1" spans="1:11">
      <c r="A74" s="629">
        <v>2</v>
      </c>
      <c r="B74" s="634"/>
      <c r="C74" s="631" t="s">
        <v>40</v>
      </c>
      <c r="D74" s="632">
        <f>回款整体汇总!AQ8</f>
        <v>4712.47939555556</v>
      </c>
      <c r="E74" s="632">
        <v>0</v>
      </c>
      <c r="F74" s="632" t="e">
        <f>VLOOKUP(C74,'杭州回款未完成负激励 (修改)'!#REF!,8,0)</f>
        <v>#REF!</v>
      </c>
      <c r="G74" s="632">
        <v>0</v>
      </c>
      <c r="H74" s="632"/>
      <c r="I74" s="632"/>
      <c r="J74" s="632" t="e">
        <f>D74+E74-F74-G74</f>
        <v>#REF!</v>
      </c>
      <c r="K74" s="633"/>
    </row>
    <row r="75" ht="29" hidden="1" customHeight="1" spans="1:11">
      <c r="A75" s="629">
        <v>3</v>
      </c>
      <c r="B75" s="634"/>
      <c r="C75" s="631" t="s">
        <v>54</v>
      </c>
      <c r="D75" s="632">
        <f>回款整体汇总!AQ5</f>
        <v>2248.46635263158</v>
      </c>
      <c r="E75" s="632">
        <v>0</v>
      </c>
      <c r="F75" s="632" t="e">
        <f>VLOOKUP(C75,'杭州回款未完成负激励 (修改)'!#REF!,8,0)</f>
        <v>#REF!</v>
      </c>
      <c r="G75" s="632">
        <v>0</v>
      </c>
      <c r="H75" s="632"/>
      <c r="I75" s="632"/>
      <c r="J75" s="632" t="e">
        <f>D75+E75-F75-G75</f>
        <v>#REF!</v>
      </c>
      <c r="K75" s="633"/>
    </row>
    <row r="76" ht="29" hidden="1" customHeight="1" spans="1:11">
      <c r="A76" s="629">
        <v>4</v>
      </c>
      <c r="B76" s="635"/>
      <c r="C76" s="631" t="s">
        <v>42</v>
      </c>
      <c r="D76" s="632" t="e">
        <f>回款整体汇总!#REF!</f>
        <v>#REF!</v>
      </c>
      <c r="E76" s="632">
        <v>0</v>
      </c>
      <c r="F76" s="632" t="e">
        <f>VLOOKUP(C76,'杭州回款未完成负激励 (修改)'!#REF!,8,0)</f>
        <v>#REF!</v>
      </c>
      <c r="G76" s="632">
        <v>0</v>
      </c>
      <c r="H76" s="632"/>
      <c r="I76" s="632"/>
      <c r="J76" s="632" t="e">
        <f>D76+E76-F76-G76</f>
        <v>#REF!</v>
      </c>
      <c r="K76" s="633"/>
    </row>
    <row r="77" ht="29" hidden="1" customHeight="1" spans="1:11">
      <c r="A77" s="629">
        <v>5</v>
      </c>
      <c r="B77" s="636" t="s">
        <v>43</v>
      </c>
      <c r="C77" s="631" t="s">
        <v>44</v>
      </c>
      <c r="D77" s="632">
        <f>回款整体汇总!AQ9</f>
        <v>2332.06129032258</v>
      </c>
      <c r="E77" s="632">
        <v>0</v>
      </c>
      <c r="F77" s="632">
        <v>0</v>
      </c>
      <c r="G77" s="632">
        <v>0</v>
      </c>
      <c r="H77" s="632"/>
      <c r="I77" s="632"/>
      <c r="J77" s="632">
        <f t="shared" ref="J77:J82" si="2">D77+E77-F77-G77</f>
        <v>2332.06129032258</v>
      </c>
      <c r="K77" s="633"/>
    </row>
    <row r="78" ht="29" hidden="1" customHeight="1" spans="1:11">
      <c r="A78" s="629">
        <v>6</v>
      </c>
      <c r="B78" s="636"/>
      <c r="C78" s="631" t="s">
        <v>45</v>
      </c>
      <c r="D78" s="632">
        <f>回款整体汇总!AQ10</f>
        <v>2203.08977777778</v>
      </c>
      <c r="E78" s="632">
        <v>0</v>
      </c>
      <c r="F78" s="632">
        <v>0</v>
      </c>
      <c r="G78" s="632">
        <v>0</v>
      </c>
      <c r="H78" s="632"/>
      <c r="I78" s="632"/>
      <c r="J78" s="632">
        <f t="shared" si="2"/>
        <v>2203.08977777778</v>
      </c>
      <c r="K78" s="656"/>
    </row>
    <row r="79" ht="29" hidden="1" customHeight="1" spans="1:11">
      <c r="A79" s="629">
        <v>7</v>
      </c>
      <c r="B79" s="636"/>
      <c r="C79" s="632" t="s">
        <v>47</v>
      </c>
      <c r="D79" s="632">
        <f>回款整体汇总!AQ11</f>
        <v>268.783727687837</v>
      </c>
      <c r="E79" s="632">
        <v>0</v>
      </c>
      <c r="F79" s="632">
        <v>0</v>
      </c>
      <c r="G79" s="632">
        <v>0</v>
      </c>
      <c r="H79" s="632"/>
      <c r="I79" s="632"/>
      <c r="J79" s="632">
        <f t="shared" si="2"/>
        <v>268.783727687837</v>
      </c>
      <c r="K79" s="633"/>
    </row>
    <row r="80" ht="38" hidden="1" customHeight="1" spans="1:11">
      <c r="A80" s="660">
        <v>8</v>
      </c>
      <c r="B80" s="661" t="s">
        <v>67</v>
      </c>
      <c r="C80" s="659" t="s">
        <v>68</v>
      </c>
      <c r="D80" s="659">
        <f>湖州办回款!AP6</f>
        <v>0</v>
      </c>
      <c r="E80" s="659">
        <f>1387.93-590</f>
        <v>797.93</v>
      </c>
      <c r="F80" s="659">
        <v>0</v>
      </c>
      <c r="G80" s="659">
        <v>0</v>
      </c>
      <c r="H80" s="659"/>
      <c r="I80" s="659"/>
      <c r="J80" s="632">
        <f t="shared" si="2"/>
        <v>797.93</v>
      </c>
      <c r="K80" s="679" t="s">
        <v>69</v>
      </c>
    </row>
    <row r="81" ht="29" hidden="1" customHeight="1" spans="1:11">
      <c r="A81" s="660">
        <v>9</v>
      </c>
      <c r="B81" s="662"/>
      <c r="C81" s="659" t="s">
        <v>70</v>
      </c>
      <c r="D81" s="659">
        <f>湖州办回款!AP7</f>
        <v>0</v>
      </c>
      <c r="E81" s="659">
        <v>0</v>
      </c>
      <c r="F81" s="659">
        <v>0</v>
      </c>
      <c r="G81" s="659">
        <v>0</v>
      </c>
      <c r="H81" s="659"/>
      <c r="I81" s="659"/>
      <c r="J81" s="632">
        <f t="shared" si="2"/>
        <v>0</v>
      </c>
      <c r="K81" s="680"/>
    </row>
    <row r="82" ht="29" hidden="1" customHeight="1" spans="1:11">
      <c r="A82" s="637" t="s">
        <v>11</v>
      </c>
      <c r="B82" s="637"/>
      <c r="C82" s="637"/>
      <c r="D82" s="632" t="e">
        <f>SUM(D73:D81)</f>
        <v>#REF!</v>
      </c>
      <c r="E82" s="632">
        <f>SUM(E73:E81)</f>
        <v>797.93</v>
      </c>
      <c r="F82" s="632" t="e">
        <f>SUM(F73:F81)</f>
        <v>#REF!</v>
      </c>
      <c r="G82" s="632">
        <f>SUM(G73:G81)</f>
        <v>0</v>
      </c>
      <c r="H82" s="632"/>
      <c r="I82" s="632"/>
      <c r="J82" s="632" t="e">
        <f t="shared" si="2"/>
        <v>#REF!</v>
      </c>
      <c r="K82" s="633"/>
    </row>
    <row r="83" ht="29" hidden="1" customHeight="1" spans="1:1">
      <c r="A83" s="638" t="s">
        <v>48</v>
      </c>
    </row>
    <row r="84" ht="29" hidden="1" customHeight="1"/>
    <row r="85" ht="25" hidden="1" spans="1:11">
      <c r="A85" s="595" t="s">
        <v>0</v>
      </c>
      <c r="B85" s="595"/>
      <c r="C85" s="595"/>
      <c r="D85" s="595"/>
      <c r="E85" s="595"/>
      <c r="F85" s="595"/>
      <c r="G85" s="595"/>
      <c r="H85" s="595"/>
      <c r="I85" s="595"/>
      <c r="J85" s="595"/>
      <c r="K85" s="595"/>
    </row>
    <row r="86" ht="16.5" hidden="1" spans="1:11">
      <c r="A86" s="597" t="s">
        <v>71</v>
      </c>
      <c r="B86" s="597"/>
      <c r="C86" s="597"/>
      <c r="D86" s="597"/>
      <c r="E86" s="597"/>
      <c r="F86" s="597"/>
      <c r="G86" s="597"/>
      <c r="H86" s="597"/>
      <c r="I86" s="597"/>
      <c r="J86" s="597"/>
      <c r="K86" s="597"/>
    </row>
    <row r="87" hidden="1" spans="1:11">
      <c r="A87" s="598"/>
      <c r="B87" s="599"/>
      <c r="C87" s="599"/>
      <c r="D87" s="599"/>
      <c r="E87" s="599"/>
      <c r="F87" s="599"/>
      <c r="G87" s="599"/>
      <c r="H87" s="599"/>
      <c r="I87" s="599"/>
      <c r="J87" s="599" t="s">
        <v>72</v>
      </c>
      <c r="K87" s="599"/>
    </row>
    <row r="88" ht="16.5" hidden="1" spans="1:12">
      <c r="A88" s="663" t="s">
        <v>3</v>
      </c>
      <c r="B88" s="664" t="s">
        <v>4</v>
      </c>
      <c r="C88" s="664" t="s">
        <v>5</v>
      </c>
      <c r="D88" s="665" t="s">
        <v>73</v>
      </c>
      <c r="E88" s="665" t="s">
        <v>36</v>
      </c>
      <c r="F88" s="665" t="s">
        <v>65</v>
      </c>
      <c r="G88" s="664" t="s">
        <v>10</v>
      </c>
      <c r="H88" s="664"/>
      <c r="I88" s="664"/>
      <c r="J88" s="664" t="s">
        <v>11</v>
      </c>
      <c r="K88" s="665" t="s">
        <v>12</v>
      </c>
      <c r="L88" s="681" t="s">
        <v>74</v>
      </c>
    </row>
    <row r="89" ht="16.5" hidden="1" spans="1:13">
      <c r="A89" s="666">
        <v>1</v>
      </c>
      <c r="B89" s="667" t="s">
        <v>38</v>
      </c>
      <c r="C89" s="631" t="s">
        <v>39</v>
      </c>
      <c r="D89" s="668">
        <v>3543.43</v>
      </c>
      <c r="E89" s="668"/>
      <c r="F89" s="669">
        <v>1393.33333333333</v>
      </c>
      <c r="G89" s="669">
        <v>0</v>
      </c>
      <c r="H89" s="669"/>
      <c r="I89" s="669"/>
      <c r="J89" s="668">
        <f>D89+E89-F89-G89</f>
        <v>2150.09666666667</v>
      </c>
      <c r="K89" s="682"/>
      <c r="L89" s="593">
        <v>1446.66666666667</v>
      </c>
      <c r="M89" s="587">
        <f>F89-L89</f>
        <v>-53.3333333333369</v>
      </c>
    </row>
    <row r="90" ht="16.5" hidden="1" spans="1:13">
      <c r="A90" s="666">
        <v>2</v>
      </c>
      <c r="B90" s="670"/>
      <c r="C90" s="631" t="s">
        <v>40</v>
      </c>
      <c r="D90" s="668">
        <v>3057.15</v>
      </c>
      <c r="E90" s="668"/>
      <c r="F90" s="669">
        <v>1427.27272727273</v>
      </c>
      <c r="G90" s="669">
        <v>0</v>
      </c>
      <c r="H90" s="669"/>
      <c r="I90" s="669"/>
      <c r="J90" s="668">
        <f t="shared" ref="J90:J98" si="3">D90+E90-F90-G90</f>
        <v>1629.87727272727</v>
      </c>
      <c r="K90" s="682"/>
      <c r="L90" s="593">
        <v>1427.27272727273</v>
      </c>
      <c r="M90" s="587">
        <f>F90-L90</f>
        <v>0</v>
      </c>
    </row>
    <row r="91" ht="16.5" hidden="1" spans="1:13">
      <c r="A91" s="666">
        <v>3</v>
      </c>
      <c r="B91" s="670"/>
      <c r="C91" s="631" t="s">
        <v>54</v>
      </c>
      <c r="D91" s="668">
        <v>3491.9</v>
      </c>
      <c r="E91" s="668"/>
      <c r="F91" s="669">
        <v>1383.33333333333</v>
      </c>
      <c r="G91" s="669">
        <v>0</v>
      </c>
      <c r="H91" s="669"/>
      <c r="I91" s="669"/>
      <c r="J91" s="668">
        <f t="shared" si="3"/>
        <v>2108.56666666667</v>
      </c>
      <c r="K91" s="682"/>
      <c r="L91" s="593">
        <v>1116.66666666667</v>
      </c>
      <c r="M91" s="587">
        <f>F91-L91</f>
        <v>266.66666666666</v>
      </c>
    </row>
    <row r="92" ht="16.5" hidden="1" spans="1:13">
      <c r="A92" s="666">
        <v>4</v>
      </c>
      <c r="B92" s="671"/>
      <c r="C92" s="631" t="s">
        <v>42</v>
      </c>
      <c r="D92" s="668">
        <v>3198.38</v>
      </c>
      <c r="E92" s="668"/>
      <c r="F92" s="669">
        <v>1185.18518518519</v>
      </c>
      <c r="G92" s="669">
        <v>0</v>
      </c>
      <c r="H92" s="669"/>
      <c r="I92" s="669"/>
      <c r="J92" s="668">
        <f t="shared" si="3"/>
        <v>2013.19481481481</v>
      </c>
      <c r="K92" s="682"/>
      <c r="L92" s="593">
        <v>1260.60606060606</v>
      </c>
      <c r="M92" s="587">
        <f>F92-L92</f>
        <v>-75.4208754208701</v>
      </c>
    </row>
    <row r="93" ht="16.5" hidden="1" spans="1:11">
      <c r="A93" s="666">
        <v>5</v>
      </c>
      <c r="B93" s="672" t="s">
        <v>43</v>
      </c>
      <c r="C93" s="631" t="s">
        <v>44</v>
      </c>
      <c r="D93" s="668">
        <v>2316.21</v>
      </c>
      <c r="E93" s="668"/>
      <c r="F93" s="668">
        <v>0</v>
      </c>
      <c r="G93" s="669">
        <v>0</v>
      </c>
      <c r="H93" s="669"/>
      <c r="I93" s="669"/>
      <c r="J93" s="668">
        <f t="shared" si="3"/>
        <v>2316.21</v>
      </c>
      <c r="K93" s="682"/>
    </row>
    <row r="94" ht="16.5" hidden="1" spans="1:11">
      <c r="A94" s="666">
        <v>6</v>
      </c>
      <c r="B94" s="672"/>
      <c r="C94" s="631" t="s">
        <v>45</v>
      </c>
      <c r="D94" s="668">
        <v>3595.87</v>
      </c>
      <c r="E94" s="668"/>
      <c r="F94" s="668">
        <v>0</v>
      </c>
      <c r="G94" s="669">
        <v>0</v>
      </c>
      <c r="H94" s="669"/>
      <c r="I94" s="669"/>
      <c r="J94" s="668">
        <f t="shared" si="3"/>
        <v>3595.87</v>
      </c>
      <c r="K94" s="658"/>
    </row>
    <row r="95" ht="49.5" hidden="1" spans="1:11">
      <c r="A95" s="666">
        <v>7</v>
      </c>
      <c r="B95" s="672"/>
      <c r="C95" s="668" t="s">
        <v>47</v>
      </c>
      <c r="D95" s="668">
        <v>1934.58</v>
      </c>
      <c r="E95" s="673">
        <v>-239.79</v>
      </c>
      <c r="F95" s="668">
        <v>0</v>
      </c>
      <c r="G95" s="669">
        <v>0</v>
      </c>
      <c r="H95" s="669"/>
      <c r="I95" s="669"/>
      <c r="J95" s="668">
        <f t="shared" si="3"/>
        <v>1694.79</v>
      </c>
      <c r="K95" s="683" t="s">
        <v>75</v>
      </c>
    </row>
    <row r="96" ht="16.5" hidden="1" spans="1:11">
      <c r="A96" s="666">
        <v>8</v>
      </c>
      <c r="B96" s="667" t="s">
        <v>67</v>
      </c>
      <c r="C96" s="668" t="s">
        <v>68</v>
      </c>
      <c r="D96" s="668">
        <v>4184.78260869565</v>
      </c>
      <c r="E96" s="668"/>
      <c r="F96" s="668">
        <v>0</v>
      </c>
      <c r="G96" s="669">
        <v>0</v>
      </c>
      <c r="H96" s="669"/>
      <c r="I96" s="669"/>
      <c r="J96" s="668">
        <f t="shared" si="3"/>
        <v>4184.78260869565</v>
      </c>
      <c r="K96" s="658"/>
    </row>
    <row r="97" ht="16.5" hidden="1" spans="1:11">
      <c r="A97" s="666">
        <v>9</v>
      </c>
      <c r="B97" s="671"/>
      <c r="C97" s="668" t="s">
        <v>70</v>
      </c>
      <c r="D97" s="668">
        <v>314.593755166667</v>
      </c>
      <c r="E97" s="668"/>
      <c r="F97" s="668">
        <v>0</v>
      </c>
      <c r="G97" s="669">
        <v>0</v>
      </c>
      <c r="H97" s="669"/>
      <c r="I97" s="669"/>
      <c r="J97" s="668">
        <f t="shared" si="3"/>
        <v>314.593755166667</v>
      </c>
      <c r="K97" s="682"/>
    </row>
    <row r="98" ht="16.5" hidden="1" spans="1:11">
      <c r="A98" s="674" t="s">
        <v>11</v>
      </c>
      <c r="B98" s="674"/>
      <c r="C98" s="674"/>
      <c r="D98" s="668">
        <f>SUM(D89:D97)</f>
        <v>25636.8963638623</v>
      </c>
      <c r="E98" s="668">
        <f>SUM(E89:E97)</f>
        <v>-239.79</v>
      </c>
      <c r="F98" s="668">
        <f>SUM(F89:F97)</f>
        <v>5389.12457912458</v>
      </c>
      <c r="G98" s="668">
        <f>SUM(G89:G97)</f>
        <v>0</v>
      </c>
      <c r="H98" s="668"/>
      <c r="I98" s="668"/>
      <c r="J98" s="668">
        <f t="shared" si="3"/>
        <v>20007.9817847377</v>
      </c>
      <c r="K98" s="682"/>
    </row>
    <row r="99" hidden="1" spans="1:11">
      <c r="A99" s="675" t="s">
        <v>48</v>
      </c>
      <c r="B99" s="590"/>
      <c r="C99" s="676"/>
      <c r="D99" s="676"/>
      <c r="E99" s="676"/>
      <c r="F99" s="676"/>
      <c r="G99" s="590"/>
      <c r="H99" s="590"/>
      <c r="I99" s="590"/>
      <c r="J99" s="590"/>
      <c r="K99" s="590"/>
    </row>
    <row r="100" hidden="1" spans="1:11">
      <c r="A100" s="677"/>
      <c r="B100" s="590"/>
      <c r="C100" s="676"/>
      <c r="D100" s="676"/>
      <c r="E100" s="676"/>
      <c r="F100" s="676"/>
      <c r="G100" s="590"/>
      <c r="H100" s="590"/>
      <c r="I100" s="590"/>
      <c r="J100" s="590"/>
      <c r="K100" s="590"/>
    </row>
    <row r="101" hidden="1"/>
    <row r="102" hidden="1"/>
    <row r="103" ht="25" hidden="1" spans="1:13">
      <c r="A103" s="595" t="s">
        <v>0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653"/>
      <c r="M103" s="595"/>
    </row>
    <row r="104" ht="16.5" hidden="1" spans="1:13">
      <c r="A104" s="597" t="s">
        <v>76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642"/>
      <c r="M104" s="597"/>
    </row>
    <row r="105" hidden="1" spans="1:13">
      <c r="A105" s="598"/>
      <c r="B105" s="599"/>
      <c r="C105" s="599"/>
      <c r="D105" s="599"/>
      <c r="E105" s="599"/>
      <c r="F105" s="599"/>
      <c r="G105" s="599"/>
      <c r="H105" s="599"/>
      <c r="I105" s="599"/>
      <c r="M105" s="599" t="s">
        <v>77</v>
      </c>
    </row>
    <row r="106" ht="47" hidden="1" customHeight="1" spans="1:16">
      <c r="A106" s="629" t="s">
        <v>3</v>
      </c>
      <c r="B106" s="639" t="s">
        <v>4</v>
      </c>
      <c r="C106" s="639" t="s">
        <v>5</v>
      </c>
      <c r="D106" s="636" t="s">
        <v>78</v>
      </c>
      <c r="E106" s="636" t="s">
        <v>79</v>
      </c>
      <c r="F106" s="636" t="s">
        <v>80</v>
      </c>
      <c r="G106" s="636" t="s">
        <v>81</v>
      </c>
      <c r="H106" s="636"/>
      <c r="I106" s="636"/>
      <c r="J106" s="636" t="s">
        <v>82</v>
      </c>
      <c r="K106" s="639" t="s">
        <v>10</v>
      </c>
      <c r="L106" s="684" t="s">
        <v>11</v>
      </c>
      <c r="M106" s="628" t="s">
        <v>12</v>
      </c>
      <c r="N106" s="587"/>
      <c r="P106" s="594"/>
    </row>
    <row r="107" ht="99" hidden="1" spans="1:16">
      <c r="A107" s="629">
        <v>1</v>
      </c>
      <c r="B107" s="636" t="s">
        <v>38</v>
      </c>
      <c r="C107" s="631" t="s">
        <v>39</v>
      </c>
      <c r="D107" s="632">
        <v>5262.79</v>
      </c>
      <c r="E107" s="632">
        <v>3524.12573333333</v>
      </c>
      <c r="F107" s="632">
        <v>-106.666666666667</v>
      </c>
      <c r="G107" s="632">
        <v>700</v>
      </c>
      <c r="H107" s="632"/>
      <c r="I107" s="632"/>
      <c r="J107" s="632">
        <v>-53.33</v>
      </c>
      <c r="K107" s="632"/>
      <c r="L107" s="685">
        <f>D107+E107-F107+G107+J107</f>
        <v>9540.2524</v>
      </c>
      <c r="M107" s="657" t="s">
        <v>83</v>
      </c>
      <c r="N107" s="587"/>
      <c r="P107" s="594"/>
    </row>
    <row r="108" ht="115.5" hidden="1" spans="1:16">
      <c r="A108" s="629">
        <v>2</v>
      </c>
      <c r="B108" s="636"/>
      <c r="C108" s="631" t="s">
        <v>54</v>
      </c>
      <c r="D108" s="632">
        <v>1709.81</v>
      </c>
      <c r="E108" s="632">
        <v>4969.42587375</v>
      </c>
      <c r="F108" s="668">
        <v>783.333333333333</v>
      </c>
      <c r="G108" s="668">
        <v>1300</v>
      </c>
      <c r="H108" s="668"/>
      <c r="I108" s="668"/>
      <c r="J108" s="668">
        <v>266.66666666666</v>
      </c>
      <c r="K108" s="632"/>
      <c r="L108" s="685">
        <f t="shared" ref="L108:L118" si="4">D108+E108-F108+G108+J108</f>
        <v>7462.56920708333</v>
      </c>
      <c r="M108" s="657" t="s">
        <v>84</v>
      </c>
      <c r="N108" s="587"/>
      <c r="P108" s="594"/>
    </row>
    <row r="109" ht="49.5" hidden="1" spans="1:16">
      <c r="A109" s="629">
        <v>3</v>
      </c>
      <c r="B109" s="636"/>
      <c r="C109" s="631" t="s">
        <v>40</v>
      </c>
      <c r="D109" s="632">
        <v>2525.51</v>
      </c>
      <c r="E109" s="632">
        <v>3680.87037139706</v>
      </c>
      <c r="F109" s="632">
        <v>966.666666666667</v>
      </c>
      <c r="G109" s="632">
        <v>0</v>
      </c>
      <c r="H109" s="632"/>
      <c r="I109" s="632"/>
      <c r="J109" s="608">
        <v>0</v>
      </c>
      <c r="K109" s="632"/>
      <c r="L109" s="685">
        <f t="shared" si="4"/>
        <v>5239.71370473039</v>
      </c>
      <c r="M109" s="657" t="s">
        <v>85</v>
      </c>
      <c r="N109" s="587"/>
      <c r="P109" s="594"/>
    </row>
    <row r="110" ht="66" hidden="1" spans="1:16">
      <c r="A110" s="629">
        <v>4</v>
      </c>
      <c r="B110" s="636"/>
      <c r="C110" s="631" t="s">
        <v>42</v>
      </c>
      <c r="D110" s="632">
        <v>3924.81</v>
      </c>
      <c r="E110" s="632">
        <v>4333.03128</v>
      </c>
      <c r="F110" s="632">
        <v>1042.42424242424</v>
      </c>
      <c r="G110" s="632">
        <v>0</v>
      </c>
      <c r="H110" s="632"/>
      <c r="I110" s="632"/>
      <c r="J110" s="632">
        <v>-75.4208754208698</v>
      </c>
      <c r="K110" s="632"/>
      <c r="L110" s="685">
        <f t="shared" si="4"/>
        <v>7139.99616215489</v>
      </c>
      <c r="M110" s="657" t="s">
        <v>86</v>
      </c>
      <c r="N110" s="587"/>
      <c r="P110" s="594"/>
    </row>
    <row r="111" ht="49.5" hidden="1" spans="1:16">
      <c r="A111" s="629">
        <v>5</v>
      </c>
      <c r="B111" s="636" t="s">
        <v>43</v>
      </c>
      <c r="C111" s="631" t="s">
        <v>44</v>
      </c>
      <c r="D111" s="632">
        <v>2402.19</v>
      </c>
      <c r="E111" s="632">
        <v>3723.12568885758</v>
      </c>
      <c r="F111" s="632">
        <v>0</v>
      </c>
      <c r="G111" s="632">
        <v>0</v>
      </c>
      <c r="H111" s="632"/>
      <c r="I111" s="632"/>
      <c r="J111" s="632">
        <v>0</v>
      </c>
      <c r="K111" s="632"/>
      <c r="L111" s="685">
        <f t="shared" si="4"/>
        <v>6125.31568885758</v>
      </c>
      <c r="M111" s="657" t="s">
        <v>85</v>
      </c>
      <c r="N111" s="587"/>
      <c r="P111" s="594"/>
    </row>
    <row r="112" ht="49.5" hidden="1" spans="1:16">
      <c r="A112" s="629">
        <v>6</v>
      </c>
      <c r="B112" s="636"/>
      <c r="C112" s="631" t="s">
        <v>45</v>
      </c>
      <c r="D112" s="632">
        <v>1569.19</v>
      </c>
      <c r="E112" s="632">
        <v>2926.23680555556</v>
      </c>
      <c r="F112" s="632">
        <v>0</v>
      </c>
      <c r="G112" s="632">
        <v>0</v>
      </c>
      <c r="H112" s="632"/>
      <c r="I112" s="632"/>
      <c r="J112" s="632">
        <v>0</v>
      </c>
      <c r="K112" s="632"/>
      <c r="L112" s="685">
        <f t="shared" si="4"/>
        <v>4495.42680555556</v>
      </c>
      <c r="M112" s="657" t="s">
        <v>85</v>
      </c>
      <c r="N112" s="587"/>
      <c r="P112" s="594"/>
    </row>
    <row r="113" ht="49.5" hidden="1" spans="1:16">
      <c r="A113" s="629">
        <v>7</v>
      </c>
      <c r="B113" s="636"/>
      <c r="C113" s="632" t="s">
        <v>47</v>
      </c>
      <c r="D113" s="632">
        <v>2088.21</v>
      </c>
      <c r="E113" s="632">
        <v>2759.245</v>
      </c>
      <c r="F113" s="632">
        <v>0</v>
      </c>
      <c r="G113" s="632">
        <v>0</v>
      </c>
      <c r="H113" s="632"/>
      <c r="I113" s="632"/>
      <c r="J113" s="632">
        <v>0</v>
      </c>
      <c r="K113" s="632"/>
      <c r="L113" s="685">
        <f t="shared" si="4"/>
        <v>4847.455</v>
      </c>
      <c r="M113" s="657" t="s">
        <v>85</v>
      </c>
      <c r="N113" s="587"/>
      <c r="P113" s="594"/>
    </row>
    <row r="114" ht="62" hidden="1" customHeight="1" spans="1:16">
      <c r="A114" s="629">
        <v>8</v>
      </c>
      <c r="B114" s="667" t="s">
        <v>67</v>
      </c>
      <c r="C114" s="668" t="s">
        <v>68</v>
      </c>
      <c r="D114" s="632">
        <v>2500.2298475</v>
      </c>
      <c r="E114" s="640">
        <v>3585.03315612245</v>
      </c>
      <c r="F114" s="632">
        <v>0</v>
      </c>
      <c r="G114" s="632">
        <v>0</v>
      </c>
      <c r="H114" s="632"/>
      <c r="I114" s="632"/>
      <c r="J114" s="632">
        <v>0</v>
      </c>
      <c r="K114" s="632"/>
      <c r="L114" s="685">
        <f t="shared" si="4"/>
        <v>6085.26300362245</v>
      </c>
      <c r="M114" s="657" t="s">
        <v>85</v>
      </c>
      <c r="N114" s="587"/>
      <c r="P114" s="594"/>
    </row>
    <row r="115" ht="62" hidden="1" customHeight="1" spans="1:16">
      <c r="A115" s="629">
        <v>9</v>
      </c>
      <c r="B115" s="671"/>
      <c r="C115" s="668" t="s">
        <v>70</v>
      </c>
      <c r="D115" s="632">
        <v>891.8</v>
      </c>
      <c r="E115" s="640">
        <v>0</v>
      </c>
      <c r="F115" s="632">
        <v>0</v>
      </c>
      <c r="G115" s="632">
        <v>0</v>
      </c>
      <c r="H115" s="632"/>
      <c r="I115" s="632"/>
      <c r="J115" s="632">
        <v>0</v>
      </c>
      <c r="K115" s="632"/>
      <c r="L115" s="685">
        <f t="shared" si="4"/>
        <v>891.8</v>
      </c>
      <c r="M115" s="657" t="s">
        <v>87</v>
      </c>
      <c r="N115" s="587"/>
      <c r="P115" s="594"/>
    </row>
    <row r="116" ht="49.5" hidden="1" spans="1:16">
      <c r="A116" s="629">
        <v>10</v>
      </c>
      <c r="B116" s="636" t="s">
        <v>59</v>
      </c>
      <c r="C116" s="632" t="s">
        <v>60</v>
      </c>
      <c r="D116" s="632">
        <v>0</v>
      </c>
      <c r="E116" s="640">
        <v>3000</v>
      </c>
      <c r="F116" s="632">
        <v>0</v>
      </c>
      <c r="G116" s="632">
        <v>0</v>
      </c>
      <c r="H116" s="632"/>
      <c r="I116" s="632"/>
      <c r="J116" s="632">
        <v>0</v>
      </c>
      <c r="K116" s="632"/>
      <c r="L116" s="685">
        <f t="shared" si="4"/>
        <v>3000</v>
      </c>
      <c r="M116" s="657" t="s">
        <v>61</v>
      </c>
      <c r="N116" s="587"/>
      <c r="P116" s="594"/>
    </row>
    <row r="117" ht="47" hidden="1" customHeight="1" spans="1:16">
      <c r="A117" s="629">
        <v>11</v>
      </c>
      <c r="B117" s="636" t="s">
        <v>88</v>
      </c>
      <c r="C117" s="632" t="s">
        <v>89</v>
      </c>
      <c r="D117" s="678">
        <f>3000*61.1%</f>
        <v>1833</v>
      </c>
      <c r="E117" s="640">
        <v>0</v>
      </c>
      <c r="F117" s="632">
        <v>0</v>
      </c>
      <c r="G117" s="632">
        <v>0</v>
      </c>
      <c r="H117" s="632"/>
      <c r="I117" s="632"/>
      <c r="J117" s="632">
        <v>0</v>
      </c>
      <c r="K117" s="632"/>
      <c r="L117" s="685">
        <f t="shared" si="4"/>
        <v>1833</v>
      </c>
      <c r="M117" s="657" t="s">
        <v>90</v>
      </c>
      <c r="N117" s="587"/>
      <c r="P117" s="594"/>
    </row>
    <row r="118" ht="30" hidden="1" customHeight="1" spans="1:16">
      <c r="A118" s="637" t="s">
        <v>11</v>
      </c>
      <c r="B118" s="637"/>
      <c r="C118" s="637"/>
      <c r="D118" s="632">
        <f>SUM(D107:D117)</f>
        <v>24707.5398475</v>
      </c>
      <c r="E118" s="632">
        <f>SUM(E107:E117)</f>
        <v>32501.093909016</v>
      </c>
      <c r="F118" s="632"/>
      <c r="G118" s="632">
        <f>SUM(G107:G117)</f>
        <v>2000</v>
      </c>
      <c r="H118" s="632"/>
      <c r="I118" s="632"/>
      <c r="J118" s="632">
        <f>SUM(J107:J117)</f>
        <v>137.91579124579</v>
      </c>
      <c r="K118" s="632">
        <f>SUM(K107:K117)</f>
        <v>0</v>
      </c>
      <c r="L118" s="685">
        <f t="shared" si="4"/>
        <v>59346.5495477618</v>
      </c>
      <c r="M118" s="632"/>
      <c r="N118" s="587"/>
      <c r="P118" s="594"/>
    </row>
    <row r="119" ht="30" hidden="1" customHeight="1" spans="1:15">
      <c r="A119" s="638" t="s">
        <v>48</v>
      </c>
      <c r="G119" s="587"/>
      <c r="H119" s="587"/>
      <c r="I119" s="587"/>
      <c r="N119" s="587"/>
      <c r="O119" s="594"/>
    </row>
    <row r="120" ht="30" hidden="1" customHeight="1"/>
    <row r="121" ht="25" hidden="1" spans="1:13">
      <c r="A121" s="595" t="s">
        <v>0</v>
      </c>
      <c r="B121" s="595"/>
      <c r="C121" s="595"/>
      <c r="D121" s="595"/>
      <c r="E121" s="595"/>
      <c r="F121" s="595"/>
      <c r="G121" s="595"/>
      <c r="H121" s="595"/>
      <c r="I121" s="595"/>
      <c r="J121" s="595"/>
      <c r="K121" s="686"/>
      <c r="L121" s="653"/>
      <c r="M121" s="686"/>
    </row>
    <row r="122" ht="16.5" hidden="1" spans="1:13">
      <c r="A122" s="597" t="s">
        <v>91</v>
      </c>
      <c r="B122" s="597"/>
      <c r="C122" s="597"/>
      <c r="D122" s="597"/>
      <c r="E122" s="597"/>
      <c r="F122" s="597"/>
      <c r="G122" s="597"/>
      <c r="H122" s="597"/>
      <c r="I122" s="597"/>
      <c r="J122" s="597"/>
      <c r="K122" s="687"/>
      <c r="L122" s="642"/>
      <c r="M122" s="687"/>
    </row>
    <row r="123" hidden="1" spans="1:10">
      <c r="A123" s="598"/>
      <c r="B123" s="599"/>
      <c r="C123" s="599"/>
      <c r="D123" s="599"/>
      <c r="E123" s="599"/>
      <c r="F123" s="599"/>
      <c r="G123" s="599"/>
      <c r="H123" s="599"/>
      <c r="I123" s="599"/>
      <c r="J123" s="599" t="s">
        <v>92</v>
      </c>
    </row>
    <row r="124" ht="31" hidden="1" customHeight="1" spans="1:14">
      <c r="A124" s="629" t="s">
        <v>3</v>
      </c>
      <c r="B124" s="639" t="s">
        <v>4</v>
      </c>
      <c r="C124" s="639" t="s">
        <v>5</v>
      </c>
      <c r="D124" s="636" t="s">
        <v>93</v>
      </c>
      <c r="E124" s="636" t="s">
        <v>65</v>
      </c>
      <c r="F124" s="639" t="s">
        <v>10</v>
      </c>
      <c r="G124" s="639" t="s">
        <v>11</v>
      </c>
      <c r="H124" s="639"/>
      <c r="I124" s="639"/>
      <c r="J124" s="628" t="s">
        <v>12</v>
      </c>
      <c r="K124" s="594"/>
      <c r="M124" s="592"/>
      <c r="N124" s="592"/>
    </row>
    <row r="125" ht="49" hidden="1" customHeight="1" spans="1:14">
      <c r="A125" s="629">
        <v>1</v>
      </c>
      <c r="B125" s="630" t="s">
        <v>38</v>
      </c>
      <c r="C125" s="631" t="s">
        <v>39</v>
      </c>
      <c r="D125" s="632">
        <v>7047.033</v>
      </c>
      <c r="E125" s="632" t="e">
        <f>'杭州回款未完成负激励 (修改)'!#REF!</f>
        <v>#REF!</v>
      </c>
      <c r="F125" s="632">
        <v>0</v>
      </c>
      <c r="G125" s="632" t="e">
        <f t="shared" ref="G125:G134" si="5">D125-E125-F125</f>
        <v>#REF!</v>
      </c>
      <c r="H125" s="632"/>
      <c r="I125" s="632"/>
      <c r="J125" s="657"/>
      <c r="K125" s="594"/>
      <c r="M125" s="592"/>
      <c r="N125" s="592"/>
    </row>
    <row r="126" ht="49" hidden="1" customHeight="1" spans="1:14">
      <c r="A126" s="629">
        <v>2</v>
      </c>
      <c r="B126" s="634"/>
      <c r="C126" s="631" t="s">
        <v>54</v>
      </c>
      <c r="D126" s="668">
        <v>5716.61818</v>
      </c>
      <c r="E126" s="668" t="e">
        <f>'杭州回款未完成负激励 (修改)'!#REF!</f>
        <v>#REF!</v>
      </c>
      <c r="F126" s="632">
        <v>0</v>
      </c>
      <c r="G126" s="632" t="e">
        <f t="shared" si="5"/>
        <v>#REF!</v>
      </c>
      <c r="H126" s="632"/>
      <c r="I126" s="632"/>
      <c r="J126" s="657"/>
      <c r="K126" s="594"/>
      <c r="M126" s="592"/>
      <c r="N126" s="592"/>
    </row>
    <row r="127" ht="49" hidden="1" customHeight="1" spans="1:14">
      <c r="A127" s="629">
        <v>3</v>
      </c>
      <c r="B127" s="634"/>
      <c r="C127" s="631" t="s">
        <v>40</v>
      </c>
      <c r="D127" s="632">
        <v>2934.66361730769</v>
      </c>
      <c r="E127" s="632" t="e">
        <f>'杭州回款未完成负激励 (修改)'!#REF!</f>
        <v>#REF!</v>
      </c>
      <c r="F127" s="632">
        <v>0</v>
      </c>
      <c r="G127" s="632" t="e">
        <f t="shared" si="5"/>
        <v>#REF!</v>
      </c>
      <c r="H127" s="632"/>
      <c r="I127" s="632"/>
      <c r="J127" s="657"/>
      <c r="K127" s="594"/>
      <c r="M127" s="592"/>
      <c r="N127" s="592"/>
    </row>
    <row r="128" ht="49" hidden="1" customHeight="1" spans="1:14">
      <c r="A128" s="629">
        <v>4</v>
      </c>
      <c r="B128" s="634"/>
      <c r="C128" s="631" t="s">
        <v>42</v>
      </c>
      <c r="D128" s="659">
        <v>5765.55</v>
      </c>
      <c r="E128" s="632" t="e">
        <f>'杭州回款未完成负激励 (修改)'!#REF!</f>
        <v>#REF!</v>
      </c>
      <c r="F128" s="632">
        <v>0</v>
      </c>
      <c r="G128" s="632" t="e">
        <f t="shared" si="5"/>
        <v>#REF!</v>
      </c>
      <c r="H128" s="632"/>
      <c r="I128" s="632"/>
      <c r="J128" s="688" t="s">
        <v>94</v>
      </c>
      <c r="K128" s="594">
        <v>5765.54606741573</v>
      </c>
      <c r="L128" s="593">
        <v>8648.3191011236</v>
      </c>
      <c r="M128" s="592"/>
      <c r="N128" s="592"/>
    </row>
    <row r="129" ht="49" hidden="1" customHeight="1" spans="1:14">
      <c r="A129" s="629">
        <v>5</v>
      </c>
      <c r="B129" s="635"/>
      <c r="C129" s="631" t="s">
        <v>95</v>
      </c>
      <c r="D129" s="659" t="e">
        <f>7000*70%*回款整体汇总!#REF!/3</f>
        <v>#REF!</v>
      </c>
      <c r="E129" s="632">
        <v>0</v>
      </c>
      <c r="F129" s="632">
        <v>0</v>
      </c>
      <c r="G129" s="632" t="e">
        <f t="shared" si="5"/>
        <v>#REF!</v>
      </c>
      <c r="H129" s="632"/>
      <c r="I129" s="632"/>
      <c r="J129" s="688" t="s">
        <v>96</v>
      </c>
      <c r="K129" s="594"/>
      <c r="M129" s="592"/>
      <c r="N129" s="592"/>
    </row>
    <row r="130" ht="49" hidden="1" customHeight="1" spans="1:14">
      <c r="A130" s="629">
        <v>6</v>
      </c>
      <c r="B130" s="636" t="s">
        <v>43</v>
      </c>
      <c r="C130" s="631" t="s">
        <v>44</v>
      </c>
      <c r="D130" s="632">
        <v>3547.15759458073</v>
      </c>
      <c r="E130" s="632">
        <v>0</v>
      </c>
      <c r="F130" s="632">
        <v>0</v>
      </c>
      <c r="G130" s="632">
        <f t="shared" si="5"/>
        <v>3547.15759458073</v>
      </c>
      <c r="H130" s="632"/>
      <c r="I130" s="632"/>
      <c r="J130" s="657"/>
      <c r="K130" s="594"/>
      <c r="M130" s="592"/>
      <c r="N130" s="592"/>
    </row>
    <row r="131" ht="49" hidden="1" customHeight="1" spans="1:14">
      <c r="A131" s="629">
        <v>7</v>
      </c>
      <c r="B131" s="636"/>
      <c r="C131" s="631" t="s">
        <v>45</v>
      </c>
      <c r="D131" s="632">
        <v>3793.46656949583</v>
      </c>
      <c r="E131" s="632">
        <v>0</v>
      </c>
      <c r="F131" s="632">
        <v>0</v>
      </c>
      <c r="G131" s="632">
        <f t="shared" si="5"/>
        <v>3793.46656949583</v>
      </c>
      <c r="H131" s="632"/>
      <c r="I131" s="632"/>
      <c r="J131" s="657"/>
      <c r="K131" s="594"/>
      <c r="M131" s="592"/>
      <c r="N131" s="592"/>
    </row>
    <row r="132" ht="49" hidden="1" customHeight="1" spans="1:14">
      <c r="A132" s="629">
        <v>8</v>
      </c>
      <c r="B132" s="667" t="s">
        <v>67</v>
      </c>
      <c r="C132" s="668" t="s">
        <v>68</v>
      </c>
      <c r="D132" s="632">
        <v>4235</v>
      </c>
      <c r="E132" s="632">
        <v>0</v>
      </c>
      <c r="F132" s="632">
        <v>0</v>
      </c>
      <c r="G132" s="632">
        <f t="shared" si="5"/>
        <v>4235</v>
      </c>
      <c r="H132" s="632"/>
      <c r="I132" s="632"/>
      <c r="J132" s="657"/>
      <c r="K132" s="594"/>
      <c r="M132" s="592"/>
      <c r="N132" s="592"/>
    </row>
    <row r="133" ht="49" hidden="1" customHeight="1" spans="1:14">
      <c r="A133" s="629">
        <v>9</v>
      </c>
      <c r="B133" s="636" t="s">
        <v>88</v>
      </c>
      <c r="C133" s="632" t="s">
        <v>89</v>
      </c>
      <c r="D133" s="659"/>
      <c r="E133" s="632">
        <v>0</v>
      </c>
      <c r="F133" s="632">
        <v>0</v>
      </c>
      <c r="G133" s="632">
        <f t="shared" si="5"/>
        <v>0</v>
      </c>
      <c r="H133" s="632"/>
      <c r="I133" s="632"/>
      <c r="J133" s="657"/>
      <c r="K133" s="594"/>
      <c r="M133" s="592"/>
      <c r="N133" s="592"/>
    </row>
    <row r="134" ht="49" hidden="1" customHeight="1" spans="1:14">
      <c r="A134" s="637" t="s">
        <v>11</v>
      </c>
      <c r="B134" s="637"/>
      <c r="C134" s="637"/>
      <c r="D134" s="632" t="e">
        <f>SUM(D125:D133)</f>
        <v>#REF!</v>
      </c>
      <c r="E134" s="632" t="e">
        <f>SUM(E125:E133)</f>
        <v>#REF!</v>
      </c>
      <c r="F134" s="632">
        <f>SUM(F125:F133)</f>
        <v>0</v>
      </c>
      <c r="G134" s="632" t="e">
        <f t="shared" si="5"/>
        <v>#REF!</v>
      </c>
      <c r="H134" s="632"/>
      <c r="I134" s="632"/>
      <c r="J134" s="632"/>
      <c r="K134" s="594"/>
      <c r="M134" s="592"/>
      <c r="N134" s="592"/>
    </row>
    <row r="135" ht="49" hidden="1" customHeight="1" spans="1:14">
      <c r="A135" s="638" t="s">
        <v>48</v>
      </c>
      <c r="M135" s="594"/>
      <c r="N135" s="592"/>
    </row>
    <row r="136" hidden="1"/>
    <row r="137" ht="25" hidden="1" spans="1:10">
      <c r="A137" s="595" t="s">
        <v>0</v>
      </c>
      <c r="B137" s="595"/>
      <c r="C137" s="595"/>
      <c r="D137" s="595"/>
      <c r="E137" s="595"/>
      <c r="F137" s="595"/>
      <c r="G137" s="595"/>
      <c r="H137" s="595"/>
      <c r="I137" s="595"/>
      <c r="J137" s="595"/>
    </row>
    <row r="138" ht="16.5" hidden="1" spans="1:10">
      <c r="A138" s="597" t="s">
        <v>97</v>
      </c>
      <c r="B138" s="597"/>
      <c r="C138" s="597"/>
      <c r="D138" s="597"/>
      <c r="E138" s="597"/>
      <c r="F138" s="597"/>
      <c r="G138" s="597"/>
      <c r="H138" s="597"/>
      <c r="I138" s="597"/>
      <c r="J138" s="597"/>
    </row>
    <row r="139" hidden="1" spans="1:10">
      <c r="A139" s="598"/>
      <c r="B139" s="599"/>
      <c r="C139" s="599"/>
      <c r="D139" s="599"/>
      <c r="E139" s="599"/>
      <c r="F139" s="599"/>
      <c r="G139" s="599"/>
      <c r="H139" s="599"/>
      <c r="I139" s="599"/>
      <c r="J139" s="599" t="s">
        <v>98</v>
      </c>
    </row>
    <row r="140" ht="39" hidden="1" customHeight="1" spans="1:10">
      <c r="A140" s="629" t="s">
        <v>3</v>
      </c>
      <c r="B140" s="639" t="s">
        <v>4</v>
      </c>
      <c r="C140" s="639" t="s">
        <v>5</v>
      </c>
      <c r="D140" s="636" t="s">
        <v>93</v>
      </c>
      <c r="E140" s="636" t="s">
        <v>65</v>
      </c>
      <c r="F140" s="639" t="s">
        <v>10</v>
      </c>
      <c r="G140" s="639" t="s">
        <v>11</v>
      </c>
      <c r="H140" s="639"/>
      <c r="I140" s="639"/>
      <c r="J140" s="628" t="s">
        <v>12</v>
      </c>
    </row>
    <row r="141" ht="32" hidden="1" customHeight="1" spans="1:10">
      <c r="A141" s="629">
        <v>1</v>
      </c>
      <c r="B141" s="630" t="s">
        <v>38</v>
      </c>
      <c r="C141" s="631" t="s">
        <v>39</v>
      </c>
      <c r="D141" s="668">
        <v>4254.9248</v>
      </c>
      <c r="E141" s="668">
        <v>66.6666666666667</v>
      </c>
      <c r="F141" s="668">
        <v>0</v>
      </c>
      <c r="G141" s="668">
        <f>D141-E141-F141</f>
        <v>4188.25813333333</v>
      </c>
      <c r="H141" s="668"/>
      <c r="I141" s="668"/>
      <c r="J141" s="703"/>
    </row>
    <row r="142" ht="32" hidden="1" customHeight="1" spans="1:10">
      <c r="A142" s="629">
        <v>2</v>
      </c>
      <c r="B142" s="634"/>
      <c r="C142" s="631" t="s">
        <v>54</v>
      </c>
      <c r="D142" s="668">
        <v>8435.72312142857</v>
      </c>
      <c r="E142" s="668">
        <v>733.333333333333</v>
      </c>
      <c r="F142" s="668">
        <v>0</v>
      </c>
      <c r="G142" s="668">
        <f>D142-E142-F142</f>
        <v>7702.38978809524</v>
      </c>
      <c r="H142" s="668"/>
      <c r="I142" s="668"/>
      <c r="J142" s="703"/>
    </row>
    <row r="143" ht="32" hidden="1" customHeight="1" spans="1:10">
      <c r="A143" s="629">
        <v>3</v>
      </c>
      <c r="B143" s="634"/>
      <c r="C143" s="631" t="s">
        <v>40</v>
      </c>
      <c r="D143" s="668">
        <v>3235.14106086957</v>
      </c>
      <c r="E143" s="668">
        <v>1322.22222222222</v>
      </c>
      <c r="F143" s="668">
        <v>0</v>
      </c>
      <c r="G143" s="668">
        <f>D143-E143-F143</f>
        <v>1912.91883864734</v>
      </c>
      <c r="H143" s="668"/>
      <c r="I143" s="668"/>
      <c r="J143" s="703"/>
    </row>
    <row r="144" ht="32" hidden="1" customHeight="1" spans="1:10">
      <c r="A144" s="629">
        <v>4</v>
      </c>
      <c r="B144" s="635"/>
      <c r="C144" s="631" t="s">
        <v>95</v>
      </c>
      <c r="D144" s="668">
        <v>3590.0535647482</v>
      </c>
      <c r="E144" s="668">
        <v>1253.84615384615</v>
      </c>
      <c r="F144" s="668">
        <v>0</v>
      </c>
      <c r="G144" s="668">
        <f t="shared" ref="G144:G149" si="6">D144-E144-F144</f>
        <v>2336.20741090205</v>
      </c>
      <c r="H144" s="668"/>
      <c r="I144" s="668"/>
      <c r="J144" s="703"/>
    </row>
    <row r="145" ht="32" hidden="1" customHeight="1" spans="1:10">
      <c r="A145" s="629">
        <v>5</v>
      </c>
      <c r="B145" s="636" t="s">
        <v>43</v>
      </c>
      <c r="C145" s="631" t="s">
        <v>44</v>
      </c>
      <c r="D145" s="668">
        <v>5580.80646179372</v>
      </c>
      <c r="E145" s="668">
        <v>0</v>
      </c>
      <c r="F145" s="668">
        <v>0</v>
      </c>
      <c r="G145" s="668">
        <f t="shared" si="6"/>
        <v>5580.80646179372</v>
      </c>
      <c r="H145" s="668"/>
      <c r="I145" s="668"/>
      <c r="J145" s="703"/>
    </row>
    <row r="146" ht="32" hidden="1" customHeight="1" spans="1:10">
      <c r="A146" s="629">
        <v>6</v>
      </c>
      <c r="B146" s="636"/>
      <c r="C146" s="631" t="s">
        <v>45</v>
      </c>
      <c r="D146" s="668">
        <v>5658.02387646172</v>
      </c>
      <c r="E146" s="668">
        <v>0</v>
      </c>
      <c r="F146" s="668">
        <v>0</v>
      </c>
      <c r="G146" s="668">
        <f t="shared" si="6"/>
        <v>5658.02387646172</v>
      </c>
      <c r="H146" s="668"/>
      <c r="I146" s="668"/>
      <c r="J146" s="703"/>
    </row>
    <row r="147" ht="32" hidden="1" customHeight="1" spans="1:10">
      <c r="A147" s="629">
        <v>7</v>
      </c>
      <c r="B147" s="667" t="s">
        <v>67</v>
      </c>
      <c r="C147" s="668" t="s">
        <v>68</v>
      </c>
      <c r="D147" s="668">
        <v>6600</v>
      </c>
      <c r="E147" s="668">
        <v>0</v>
      </c>
      <c r="F147" s="668">
        <v>0</v>
      </c>
      <c r="G147" s="668">
        <f t="shared" si="6"/>
        <v>6600</v>
      </c>
      <c r="H147" s="668"/>
      <c r="I147" s="668"/>
      <c r="J147" s="703"/>
    </row>
    <row r="148" ht="32" hidden="1" customHeight="1" spans="1:10">
      <c r="A148" s="629">
        <v>8</v>
      </c>
      <c r="B148" s="636" t="s">
        <v>88</v>
      </c>
      <c r="C148" s="632" t="s">
        <v>89</v>
      </c>
      <c r="D148" s="678"/>
      <c r="E148" s="668">
        <v>0</v>
      </c>
      <c r="F148" s="668">
        <v>0</v>
      </c>
      <c r="G148" s="668">
        <f t="shared" si="6"/>
        <v>0</v>
      </c>
      <c r="H148" s="668"/>
      <c r="I148" s="668"/>
      <c r="J148" s="703"/>
    </row>
    <row r="149" ht="32" hidden="1" customHeight="1" spans="1:10">
      <c r="A149" s="637" t="s">
        <v>11</v>
      </c>
      <c r="B149" s="637"/>
      <c r="C149" s="637"/>
      <c r="D149" s="632">
        <f>SUM(D141:D148)</f>
        <v>37354.6728853018</v>
      </c>
      <c r="E149" s="632">
        <f>SUM(E141:E148)</f>
        <v>3376.06837606837</v>
      </c>
      <c r="F149" s="632">
        <f>SUM(F141:F148)</f>
        <v>0</v>
      </c>
      <c r="G149" s="632">
        <f>SUM(G141:G148)</f>
        <v>33978.6045092334</v>
      </c>
      <c r="H149" s="632"/>
      <c r="I149" s="632"/>
      <c r="J149" s="632"/>
    </row>
    <row r="150" ht="32" hidden="1" customHeight="1" spans="1:1">
      <c r="A150" s="638" t="s">
        <v>48</v>
      </c>
    </row>
    <row r="151" ht="32" hidden="1" customHeight="1"/>
    <row r="152" hidden="1"/>
    <row r="153" ht="25" hidden="1" spans="1:13">
      <c r="A153" s="595" t="s">
        <v>0</v>
      </c>
      <c r="B153" s="595"/>
      <c r="C153" s="595"/>
      <c r="D153" s="595"/>
      <c r="E153" s="595"/>
      <c r="F153" s="595"/>
      <c r="G153" s="595"/>
      <c r="H153" s="595"/>
      <c r="I153" s="595"/>
      <c r="J153" s="595"/>
      <c r="K153" s="595"/>
      <c r="L153" s="653"/>
      <c r="M153" s="595"/>
    </row>
    <row r="154" ht="16.5" hidden="1" spans="1:13">
      <c r="A154" s="597" t="s">
        <v>99</v>
      </c>
      <c r="B154" s="597"/>
      <c r="C154" s="597"/>
      <c r="D154" s="597"/>
      <c r="E154" s="597"/>
      <c r="F154" s="597"/>
      <c r="G154" s="597"/>
      <c r="H154" s="597"/>
      <c r="I154" s="597"/>
      <c r="J154" s="597"/>
      <c r="K154" s="597"/>
      <c r="L154" s="642"/>
      <c r="M154" s="597"/>
    </row>
    <row r="155" hidden="1" spans="1:13">
      <c r="A155" s="598"/>
      <c r="B155" s="599"/>
      <c r="C155" s="599"/>
      <c r="D155" s="599"/>
      <c r="E155" s="599"/>
      <c r="F155" s="599"/>
      <c r="G155" s="599"/>
      <c r="H155" s="599"/>
      <c r="I155" s="599"/>
      <c r="M155" s="599" t="s">
        <v>100</v>
      </c>
    </row>
    <row r="156" ht="49.5" hidden="1" spans="1:13">
      <c r="A156" s="629" t="s">
        <v>3</v>
      </c>
      <c r="B156" s="639" t="s">
        <v>4</v>
      </c>
      <c r="C156" s="639" t="s">
        <v>5</v>
      </c>
      <c r="D156" s="636" t="s">
        <v>101</v>
      </c>
      <c r="E156" s="636" t="s">
        <v>102</v>
      </c>
      <c r="F156" s="636" t="s">
        <v>103</v>
      </c>
      <c r="G156" s="636" t="s">
        <v>81</v>
      </c>
      <c r="H156" s="636"/>
      <c r="I156" s="636"/>
      <c r="J156" s="636" t="s">
        <v>104</v>
      </c>
      <c r="K156" s="639" t="s">
        <v>10</v>
      </c>
      <c r="L156" s="684" t="s">
        <v>11</v>
      </c>
      <c r="M156" s="628" t="s">
        <v>12</v>
      </c>
    </row>
    <row r="157" ht="82.5" hidden="1" spans="1:13">
      <c r="A157" s="629">
        <v>1</v>
      </c>
      <c r="B157" s="636" t="s">
        <v>38</v>
      </c>
      <c r="C157" s="631" t="s">
        <v>39</v>
      </c>
      <c r="D157" s="632">
        <v>2354.12952873563</v>
      </c>
      <c r="E157" s="632">
        <v>5084.16055122464</v>
      </c>
      <c r="F157" s="632">
        <v>1600</v>
      </c>
      <c r="G157" s="632">
        <v>1400</v>
      </c>
      <c r="H157" s="632"/>
      <c r="I157" s="632"/>
      <c r="J157" s="632">
        <v>0</v>
      </c>
      <c r="K157" s="632">
        <v>0</v>
      </c>
      <c r="L157" s="685">
        <f>D157+E157-F157+G157+J157</f>
        <v>7238.29007996027</v>
      </c>
      <c r="M157" s="657" t="s">
        <v>105</v>
      </c>
    </row>
    <row r="158" ht="82.5" hidden="1" spans="1:13">
      <c r="A158" s="629">
        <v>2</v>
      </c>
      <c r="B158" s="636"/>
      <c r="C158" s="631" t="s">
        <v>54</v>
      </c>
      <c r="D158" s="632">
        <v>2070.05638125</v>
      </c>
      <c r="E158" s="632">
        <v>6576.98389190661</v>
      </c>
      <c r="F158" s="668">
        <v>1766.66666666667</v>
      </c>
      <c r="G158" s="668">
        <v>1300</v>
      </c>
      <c r="H158" s="668"/>
      <c r="I158" s="668"/>
      <c r="J158" s="668">
        <v>0</v>
      </c>
      <c r="K158" s="632">
        <v>0</v>
      </c>
      <c r="L158" s="685">
        <f t="shared" ref="L157:L168" si="7">D158+E158-F158+G158+J158</f>
        <v>8180.37360648994</v>
      </c>
      <c r="M158" s="657" t="s">
        <v>106</v>
      </c>
    </row>
    <row r="159" ht="49.5" hidden="1" spans="1:13">
      <c r="A159" s="629">
        <v>3</v>
      </c>
      <c r="B159" s="636"/>
      <c r="C159" s="631" t="s">
        <v>40</v>
      </c>
      <c r="D159" s="632">
        <v>3384.32803829787</v>
      </c>
      <c r="E159" s="632">
        <v>3367.61422427995</v>
      </c>
      <c r="F159" s="632">
        <v>166.67</v>
      </c>
      <c r="G159" s="632">
        <v>0</v>
      </c>
      <c r="H159" s="632"/>
      <c r="I159" s="632"/>
      <c r="J159" s="608">
        <v>0</v>
      </c>
      <c r="K159" s="632">
        <v>0</v>
      </c>
      <c r="L159" s="685">
        <f t="shared" si="7"/>
        <v>6585.27226257782</v>
      </c>
      <c r="M159" s="657" t="s">
        <v>107</v>
      </c>
    </row>
    <row r="160" ht="99" hidden="1" spans="1:13">
      <c r="A160" s="629">
        <v>4</v>
      </c>
      <c r="B160" s="636"/>
      <c r="C160" s="631" t="s">
        <v>95</v>
      </c>
      <c r="D160" s="632">
        <v>3638.65907096774</v>
      </c>
      <c r="E160" s="632">
        <v>0</v>
      </c>
      <c r="F160" s="632">
        <v>333.333333333333</v>
      </c>
      <c r="G160" s="632">
        <v>700</v>
      </c>
      <c r="H160" s="632"/>
      <c r="I160" s="632"/>
      <c r="J160" s="632">
        <v>0</v>
      </c>
      <c r="K160" s="632">
        <v>0</v>
      </c>
      <c r="L160" s="685">
        <f t="shared" si="7"/>
        <v>4005.32573763441</v>
      </c>
      <c r="M160" s="657" t="s">
        <v>108</v>
      </c>
    </row>
    <row r="161" ht="49.5" hidden="1" spans="1:13">
      <c r="A161" s="629">
        <v>5</v>
      </c>
      <c r="B161" s="636" t="s">
        <v>43</v>
      </c>
      <c r="C161" s="631" t="s">
        <v>44</v>
      </c>
      <c r="D161" s="632">
        <v>3291.25153688525</v>
      </c>
      <c r="E161" s="632">
        <v>4636.19939819801</v>
      </c>
      <c r="F161" s="632">
        <v>0</v>
      </c>
      <c r="G161" s="632">
        <v>0</v>
      </c>
      <c r="H161" s="632"/>
      <c r="I161" s="632"/>
      <c r="J161" s="632">
        <v>0</v>
      </c>
      <c r="K161" s="632">
        <v>0</v>
      </c>
      <c r="L161" s="685">
        <f t="shared" si="7"/>
        <v>7927.45093508326</v>
      </c>
      <c r="M161" s="657" t="s">
        <v>107</v>
      </c>
    </row>
    <row r="162" ht="49.5" hidden="1" spans="1:13">
      <c r="A162" s="629">
        <v>6</v>
      </c>
      <c r="B162" s="636"/>
      <c r="C162" s="631" t="s">
        <v>45</v>
      </c>
      <c r="D162" s="632">
        <v>4693.37814814815</v>
      </c>
      <c r="E162" s="632">
        <v>6027.71551724138</v>
      </c>
      <c r="F162" s="632">
        <v>0</v>
      </c>
      <c r="G162" s="632">
        <v>0</v>
      </c>
      <c r="H162" s="632"/>
      <c r="I162" s="632"/>
      <c r="J162" s="632">
        <v>0</v>
      </c>
      <c r="K162" s="632">
        <v>0</v>
      </c>
      <c r="L162" s="685">
        <f t="shared" si="7"/>
        <v>10721.0936653895</v>
      </c>
      <c r="M162" s="657" t="s">
        <v>107</v>
      </c>
    </row>
    <row r="163" ht="82.5" hidden="1" spans="1:13">
      <c r="A163" s="629">
        <v>8</v>
      </c>
      <c r="B163" s="667" t="s">
        <v>67</v>
      </c>
      <c r="C163" s="668" t="s">
        <v>68</v>
      </c>
      <c r="D163" s="632">
        <v>6663.46153846154</v>
      </c>
      <c r="E163" s="640">
        <v>7561.41732283464</v>
      </c>
      <c r="F163" s="632">
        <v>0</v>
      </c>
      <c r="G163" s="632">
        <v>0</v>
      </c>
      <c r="H163" s="632"/>
      <c r="I163" s="632"/>
      <c r="J163" s="632">
        <v>0</v>
      </c>
      <c r="K163" s="632">
        <v>0</v>
      </c>
      <c r="L163" s="685">
        <f t="shared" si="7"/>
        <v>14224.8788612962</v>
      </c>
      <c r="M163" s="657" t="s">
        <v>109</v>
      </c>
    </row>
    <row r="164" ht="66" hidden="1" spans="1:13">
      <c r="A164" s="629">
        <v>9</v>
      </c>
      <c r="B164" s="636" t="s">
        <v>59</v>
      </c>
      <c r="C164" s="632" t="s">
        <v>60</v>
      </c>
      <c r="D164" s="632">
        <v>0</v>
      </c>
      <c r="E164" s="640" t="e">
        <f>3000*70%*#REF!+3000*30%*#REF!</f>
        <v>#REF!</v>
      </c>
      <c r="F164" s="632">
        <v>0</v>
      </c>
      <c r="G164" s="632">
        <v>0</v>
      </c>
      <c r="H164" s="632"/>
      <c r="I164" s="632"/>
      <c r="J164" s="632">
        <v>0</v>
      </c>
      <c r="K164" s="632">
        <v>0</v>
      </c>
      <c r="L164" s="685" t="e">
        <f t="shared" si="7"/>
        <v>#REF!</v>
      </c>
      <c r="M164" s="657" t="s">
        <v>110</v>
      </c>
    </row>
    <row r="165" ht="33" hidden="1" spans="1:13">
      <c r="A165" s="629">
        <v>10</v>
      </c>
      <c r="B165" s="636" t="s">
        <v>88</v>
      </c>
      <c r="C165" s="632" t="s">
        <v>89</v>
      </c>
      <c r="D165" s="678"/>
      <c r="E165" s="640"/>
      <c r="F165" s="632"/>
      <c r="G165" s="632"/>
      <c r="H165" s="632"/>
      <c r="I165" s="632"/>
      <c r="J165" s="632"/>
      <c r="K165" s="632"/>
      <c r="L165" s="685">
        <f t="shared" si="7"/>
        <v>0</v>
      </c>
      <c r="M165" s="657" t="s">
        <v>111</v>
      </c>
    </row>
    <row r="166" ht="47" hidden="1" customHeight="1" spans="1:13">
      <c r="A166" s="637" t="s">
        <v>11</v>
      </c>
      <c r="B166" s="637"/>
      <c r="C166" s="637"/>
      <c r="D166" s="632">
        <f>SUM(D157:D165)</f>
        <v>26095.2642427462</v>
      </c>
      <c r="E166" s="632" t="e">
        <f>SUM(E157:E165)</f>
        <v>#REF!</v>
      </c>
      <c r="F166" s="632"/>
      <c r="G166" s="632">
        <f>SUM(G157:G165)</f>
        <v>3400</v>
      </c>
      <c r="H166" s="632"/>
      <c r="I166" s="632"/>
      <c r="J166" s="632">
        <f>SUM(J157:J165)</f>
        <v>0</v>
      </c>
      <c r="K166" s="632">
        <f>SUM(K157:K165)</f>
        <v>0</v>
      </c>
      <c r="L166" s="685" t="e">
        <f t="shared" si="7"/>
        <v>#REF!</v>
      </c>
      <c r="M166" s="632"/>
    </row>
    <row r="167" ht="59" hidden="1" customHeight="1" spans="1:9">
      <c r="A167" s="638" t="s">
        <v>48</v>
      </c>
      <c r="G167" s="587"/>
      <c r="H167" s="587"/>
      <c r="I167" s="587"/>
    </row>
    <row r="168" hidden="1"/>
    <row r="169" hidden="1"/>
    <row r="170" hidden="1"/>
    <row r="171" ht="25" spans="1:13">
      <c r="A171" s="595" t="s">
        <v>0</v>
      </c>
      <c r="B171" s="595"/>
      <c r="C171" s="595"/>
      <c r="D171" s="595"/>
      <c r="E171" s="595"/>
      <c r="F171" s="595"/>
      <c r="G171" s="595"/>
      <c r="H171" s="595"/>
      <c r="I171" s="595"/>
      <c r="J171" s="595"/>
      <c r="K171" s="595"/>
      <c r="L171" s="653"/>
      <c r="M171" s="686"/>
    </row>
    <row r="172" s="588" customFormat="1" ht="28" customHeight="1" spans="1:14">
      <c r="A172" s="689" t="s">
        <v>112</v>
      </c>
      <c r="B172" s="689"/>
      <c r="C172" s="689"/>
      <c r="D172" s="689"/>
      <c r="E172" s="689"/>
      <c r="F172" s="689"/>
      <c r="G172" s="689"/>
      <c r="H172" s="689"/>
      <c r="I172" s="689"/>
      <c r="J172" s="689"/>
      <c r="K172" s="689"/>
      <c r="L172" s="704"/>
      <c r="M172" s="705"/>
      <c r="N172" s="706"/>
    </row>
    <row r="173" s="588" customFormat="1" ht="30" customHeight="1" spans="1:14">
      <c r="A173" s="690"/>
      <c r="B173" s="691"/>
      <c r="C173" s="691"/>
      <c r="D173" s="691"/>
      <c r="E173" s="691"/>
      <c r="F173" s="691"/>
      <c r="G173" s="691"/>
      <c r="H173" s="691"/>
      <c r="I173" s="691"/>
      <c r="J173" s="691"/>
      <c r="K173" s="707" t="s">
        <v>113</v>
      </c>
      <c r="L173" s="708"/>
      <c r="M173" s="709"/>
      <c r="N173" s="709"/>
    </row>
    <row r="174" s="588" customFormat="1" ht="28" customHeight="1" spans="1:13">
      <c r="A174" s="600" t="s">
        <v>3</v>
      </c>
      <c r="B174" s="601" t="s">
        <v>4</v>
      </c>
      <c r="C174" s="601" t="s">
        <v>5</v>
      </c>
      <c r="D174" s="692" t="s">
        <v>114</v>
      </c>
      <c r="E174" s="623" t="s">
        <v>115</v>
      </c>
      <c r="F174" s="623" t="s">
        <v>116</v>
      </c>
      <c r="G174" s="623" t="s">
        <v>117</v>
      </c>
      <c r="H174" s="623" t="s">
        <v>118</v>
      </c>
      <c r="I174" s="623" t="s">
        <v>119</v>
      </c>
      <c r="J174" s="601" t="s">
        <v>10</v>
      </c>
      <c r="K174" s="601" t="s">
        <v>11</v>
      </c>
      <c r="L174" s="623" t="s">
        <v>12</v>
      </c>
      <c r="M174" s="710"/>
    </row>
    <row r="175" s="588" customFormat="1" ht="59" customHeight="1" spans="1:12">
      <c r="A175" s="693">
        <v>1</v>
      </c>
      <c r="B175" s="647" t="s">
        <v>38</v>
      </c>
      <c r="C175" s="526" t="s">
        <v>39</v>
      </c>
      <c r="D175" s="694">
        <v>4991.0665</v>
      </c>
      <c r="E175" s="695">
        <v>5062.69166666667</v>
      </c>
      <c r="F175" s="695">
        <v>917.739375</v>
      </c>
      <c r="G175" s="696">
        <v>0</v>
      </c>
      <c r="H175" s="696">
        <v>1400</v>
      </c>
      <c r="I175" s="696">
        <v>2240</v>
      </c>
      <c r="J175" s="695"/>
      <c r="K175" s="695">
        <f t="shared" ref="K175:K180" si="8">D175+E175+F175+G175-H175-I175-J175</f>
        <v>7331.49754166667</v>
      </c>
      <c r="L175" s="711" t="s">
        <v>120</v>
      </c>
    </row>
    <row r="176" s="588" customFormat="1" ht="48" customHeight="1" spans="1:12">
      <c r="A176" s="693">
        <v>2</v>
      </c>
      <c r="B176" s="647"/>
      <c r="C176" s="526" t="s">
        <v>54</v>
      </c>
      <c r="D176" s="694">
        <v>5890.38097375</v>
      </c>
      <c r="E176" s="695">
        <v>7583.89055666667</v>
      </c>
      <c r="F176" s="695">
        <v>7286.894125</v>
      </c>
      <c r="G176" s="697">
        <v>8839.1850661017</v>
      </c>
      <c r="H176" s="697">
        <v>0</v>
      </c>
      <c r="I176" s="696">
        <v>1600</v>
      </c>
      <c r="J176" s="695"/>
      <c r="K176" s="695">
        <f t="shared" si="8"/>
        <v>28000.3507215184</v>
      </c>
      <c r="L176" s="712"/>
    </row>
    <row r="177" s="588" customFormat="1" ht="78" customHeight="1" spans="1:12">
      <c r="A177" s="693">
        <v>3</v>
      </c>
      <c r="B177" s="647"/>
      <c r="C177" s="694" t="s">
        <v>121</v>
      </c>
      <c r="D177" s="694">
        <f>回款整体汇总!H6</f>
        <v>2118.389</v>
      </c>
      <c r="E177" s="695">
        <f>回款整体汇总!L6</f>
        <v>1537.326</v>
      </c>
      <c r="F177" s="695">
        <f>回款整体汇总!P6</f>
        <v>2443.548</v>
      </c>
      <c r="G177" s="697">
        <v>0</v>
      </c>
      <c r="H177" s="696">
        <v>2400</v>
      </c>
      <c r="I177" s="696">
        <v>1714.28571428571</v>
      </c>
      <c r="J177" s="695"/>
      <c r="K177" s="695">
        <f t="shared" si="8"/>
        <v>1984.97728571429</v>
      </c>
      <c r="L177" s="711" t="s">
        <v>122</v>
      </c>
    </row>
    <row r="178" s="588" customFormat="1" ht="63" customHeight="1" spans="1:12">
      <c r="A178" s="693">
        <v>4</v>
      </c>
      <c r="B178" s="647"/>
      <c r="C178" s="526" t="s">
        <v>40</v>
      </c>
      <c r="D178" s="694">
        <v>4887.92185</v>
      </c>
      <c r="E178" s="695">
        <v>4428.66573333333</v>
      </c>
      <c r="F178" s="695">
        <v>1421.99599879518</v>
      </c>
      <c r="G178" s="697">
        <v>3278.74965</v>
      </c>
      <c r="H178" s="696">
        <v>1400</v>
      </c>
      <c r="I178" s="696">
        <v>2266.66666666667</v>
      </c>
      <c r="J178" s="695"/>
      <c r="K178" s="695">
        <f t="shared" si="8"/>
        <v>10350.6665654618</v>
      </c>
      <c r="L178" s="711" t="s">
        <v>123</v>
      </c>
    </row>
    <row r="179" s="588" customFormat="1" ht="55" customHeight="1" spans="1:12">
      <c r="A179" s="693">
        <v>5</v>
      </c>
      <c r="B179" s="647" t="s">
        <v>43</v>
      </c>
      <c r="C179" s="526" t="s">
        <v>44</v>
      </c>
      <c r="D179" s="694">
        <v>2932.58790322581</v>
      </c>
      <c r="E179" s="695">
        <v>1772.85581395349</v>
      </c>
      <c r="F179" s="695">
        <v>4974.28396366333</v>
      </c>
      <c r="G179" s="697">
        <v>4575.67443074004</v>
      </c>
      <c r="H179" s="697">
        <v>0</v>
      </c>
      <c r="I179" s="697">
        <v>0</v>
      </c>
      <c r="J179" s="695"/>
      <c r="K179" s="695">
        <f t="shared" si="8"/>
        <v>14255.4021115827</v>
      </c>
      <c r="L179" s="712"/>
    </row>
    <row r="180" s="588" customFormat="1" ht="55" customHeight="1" spans="1:12">
      <c r="A180" s="693">
        <v>6</v>
      </c>
      <c r="B180" s="647"/>
      <c r="C180" s="526" t="s">
        <v>45</v>
      </c>
      <c r="D180" s="694">
        <v>4425.88734567901</v>
      </c>
      <c r="E180" s="695">
        <v>3850.05943605221</v>
      </c>
      <c r="F180" s="695">
        <v>2750.18387308982</v>
      </c>
      <c r="G180" s="697">
        <v>4578.84892718959</v>
      </c>
      <c r="H180" s="697">
        <v>0</v>
      </c>
      <c r="I180" s="697">
        <v>0</v>
      </c>
      <c r="J180" s="695"/>
      <c r="K180" s="695">
        <f t="shared" si="8"/>
        <v>15604.9795820106</v>
      </c>
      <c r="L180" s="712"/>
    </row>
    <row r="181" s="588" customFormat="1" ht="55" customHeight="1" spans="1:12">
      <c r="A181" s="693" t="s">
        <v>11</v>
      </c>
      <c r="B181" s="695"/>
      <c r="C181" s="695"/>
      <c r="D181" s="694">
        <f>SUM(D175:D180)</f>
        <v>25246.2335726548</v>
      </c>
      <c r="E181" s="694">
        <f t="shared" ref="E181:K181" si="9">SUM(E175:E180)</f>
        <v>24235.4892066724</v>
      </c>
      <c r="F181" s="694">
        <f t="shared" si="9"/>
        <v>19794.6453355483</v>
      </c>
      <c r="G181" s="694">
        <f t="shared" si="9"/>
        <v>21272.4580740313</v>
      </c>
      <c r="H181" s="694">
        <f t="shared" si="9"/>
        <v>5200</v>
      </c>
      <c r="I181" s="694">
        <f t="shared" si="9"/>
        <v>7820.95238095238</v>
      </c>
      <c r="J181" s="694">
        <f t="shared" si="9"/>
        <v>0</v>
      </c>
      <c r="K181" s="694">
        <f t="shared" si="9"/>
        <v>77527.8738079545</v>
      </c>
      <c r="L181" s="713"/>
    </row>
    <row r="182" spans="1:13">
      <c r="A182" s="617"/>
      <c r="B182" s="618"/>
      <c r="C182" s="618"/>
      <c r="D182" s="619"/>
      <c r="E182" s="619"/>
      <c r="F182" s="619"/>
      <c r="G182" s="619"/>
      <c r="H182" s="619"/>
      <c r="I182" s="619"/>
      <c r="J182" s="619"/>
      <c r="K182" s="619"/>
      <c r="L182" s="651"/>
      <c r="M182" s="619"/>
    </row>
    <row r="183" s="589" customFormat="1" ht="32" customHeight="1" spans="1:14">
      <c r="A183" s="698" t="s">
        <v>124</v>
      </c>
      <c r="B183" s="699"/>
      <c r="C183" s="700"/>
      <c r="D183" s="700"/>
      <c r="E183" s="700"/>
      <c r="F183" s="700"/>
      <c r="G183" s="699"/>
      <c r="H183" s="699"/>
      <c r="I183" s="699"/>
      <c r="J183" s="699"/>
      <c r="K183" s="699"/>
      <c r="L183" s="714"/>
      <c r="M183" s="700"/>
      <c r="N183" s="715"/>
    </row>
    <row r="186" s="589" customFormat="1" ht="30" customHeight="1" spans="1:14">
      <c r="A186" s="701" t="s">
        <v>125</v>
      </c>
      <c r="C186" s="702"/>
      <c r="D186" s="702"/>
      <c r="E186" s="702"/>
      <c r="F186" s="702"/>
      <c r="L186" s="716"/>
      <c r="M186" s="702"/>
      <c r="N186" s="715"/>
    </row>
    <row r="187" s="589" customFormat="1" ht="30" customHeight="1" spans="1:14">
      <c r="A187" s="701" t="s">
        <v>126</v>
      </c>
      <c r="C187" s="702"/>
      <c r="D187" s="702"/>
      <c r="E187" s="702"/>
      <c r="F187" s="702"/>
      <c r="L187" s="716"/>
      <c r="M187" s="702"/>
      <c r="N187" s="715"/>
    </row>
    <row r="188" s="556" customFormat="1" ht="30" customHeight="1" spans="1:42">
      <c r="A188" s="566" t="s">
        <v>127</v>
      </c>
      <c r="B188" s="567"/>
      <c r="C188" s="567"/>
      <c r="D188" s="567"/>
      <c r="E188" s="567"/>
      <c r="F188" s="567"/>
      <c r="G188" s="567"/>
      <c r="H188" s="567"/>
      <c r="I188" s="567"/>
      <c r="J188" s="567"/>
      <c r="K188" s="567"/>
      <c r="L188" s="567"/>
      <c r="M188" s="576"/>
      <c r="N188" s="567"/>
      <c r="R188" s="577"/>
      <c r="S188" s="577"/>
      <c r="T188" s="577"/>
      <c r="W188" s="577"/>
      <c r="Z188" s="577"/>
      <c r="AC188" s="577"/>
      <c r="AI188" s="578"/>
      <c r="AJ188" s="579"/>
      <c r="AK188" s="580"/>
      <c r="AL188" s="578"/>
      <c r="AM188" s="579"/>
      <c r="AN188" s="580"/>
      <c r="AO188" s="578"/>
      <c r="AP188" s="579"/>
    </row>
    <row r="189" s="556" customFormat="1" ht="30" customHeight="1" spans="1:42">
      <c r="A189" s="566" t="s">
        <v>128</v>
      </c>
      <c r="B189" s="567"/>
      <c r="C189" s="567"/>
      <c r="D189" s="567"/>
      <c r="E189" s="567"/>
      <c r="F189" s="567"/>
      <c r="G189" s="567"/>
      <c r="H189" s="567"/>
      <c r="I189" s="567"/>
      <c r="J189" s="567"/>
      <c r="K189" s="567"/>
      <c r="L189" s="567"/>
      <c r="M189" s="576"/>
      <c r="N189" s="567"/>
      <c r="R189" s="577"/>
      <c r="S189" s="577"/>
      <c r="T189" s="577"/>
      <c r="W189" s="577"/>
      <c r="Z189" s="577"/>
      <c r="AC189" s="577"/>
      <c r="AI189" s="578"/>
      <c r="AJ189" s="579"/>
      <c r="AK189" s="580"/>
      <c r="AL189" s="578"/>
      <c r="AM189" s="579"/>
      <c r="AN189" s="580"/>
      <c r="AO189" s="578"/>
      <c r="AP189" s="579"/>
    </row>
    <row r="190" s="556" customFormat="1" ht="30" customHeight="1" spans="1:42">
      <c r="A190" s="556" t="s">
        <v>129</v>
      </c>
      <c r="M190" s="576"/>
      <c r="N190" s="567"/>
      <c r="R190" s="577"/>
      <c r="S190" s="577"/>
      <c r="T190" s="577"/>
      <c r="W190" s="577"/>
      <c r="Z190" s="577"/>
      <c r="AC190" s="577"/>
      <c r="AI190" s="578"/>
      <c r="AJ190" s="579"/>
      <c r="AK190" s="580"/>
      <c r="AL190" s="578"/>
      <c r="AM190" s="579"/>
      <c r="AN190" s="580"/>
      <c r="AO190" s="578"/>
      <c r="AP190" s="579"/>
    </row>
    <row r="191" ht="30" customHeight="1"/>
    <row r="193" ht="25" spans="1:12">
      <c r="A193" s="595" t="s">
        <v>0</v>
      </c>
      <c r="B193" s="595"/>
      <c r="C193" s="595"/>
      <c r="D193" s="595"/>
      <c r="E193" s="595"/>
      <c r="F193" s="595"/>
      <c r="G193" s="595"/>
      <c r="H193" s="595"/>
      <c r="I193" s="595"/>
      <c r="J193" s="686"/>
      <c r="K193" s="686"/>
      <c r="L193" s="686"/>
    </row>
    <row r="194" ht="16.5" spans="1:12">
      <c r="A194" s="689" t="s">
        <v>130</v>
      </c>
      <c r="B194" s="689"/>
      <c r="C194" s="689"/>
      <c r="D194" s="689"/>
      <c r="E194" s="689"/>
      <c r="F194" s="689"/>
      <c r="G194" s="689"/>
      <c r="H194" s="689"/>
      <c r="I194" s="689"/>
      <c r="J194" s="730"/>
      <c r="K194" s="730"/>
      <c r="L194" s="730"/>
    </row>
    <row r="195" ht="14.5" spans="1:12">
      <c r="A195" s="690"/>
      <c r="B195" s="691"/>
      <c r="C195" s="691"/>
      <c r="D195" s="691"/>
      <c r="E195" s="691"/>
      <c r="F195" s="691"/>
      <c r="G195" s="691"/>
      <c r="H195" s="691"/>
      <c r="I195" s="707" t="s">
        <v>131</v>
      </c>
      <c r="J195" s="691"/>
      <c r="L195" s="708"/>
    </row>
    <row r="196" ht="31" customHeight="1" spans="1:14">
      <c r="A196" s="600" t="s">
        <v>3</v>
      </c>
      <c r="B196" s="601" t="s">
        <v>4</v>
      </c>
      <c r="C196" s="601" t="s">
        <v>5</v>
      </c>
      <c r="D196" s="692" t="s">
        <v>31</v>
      </c>
      <c r="E196" s="623" t="s">
        <v>118</v>
      </c>
      <c r="F196" s="623" t="s">
        <v>119</v>
      </c>
      <c r="G196" s="601" t="s">
        <v>10</v>
      </c>
      <c r="H196" s="601" t="s">
        <v>11</v>
      </c>
      <c r="I196" s="623" t="s">
        <v>12</v>
      </c>
      <c r="J196" s="587"/>
      <c r="K196" s="594"/>
      <c r="L196" s="592"/>
      <c r="M196" s="592"/>
      <c r="N196" s="592"/>
    </row>
    <row r="197" ht="74" customHeight="1" spans="1:14">
      <c r="A197" s="693">
        <v>1</v>
      </c>
      <c r="B197" s="647" t="s">
        <v>38</v>
      </c>
      <c r="C197" s="526" t="s">
        <v>39</v>
      </c>
      <c r="D197" s="717">
        <v>7940.31525</v>
      </c>
      <c r="E197" s="697">
        <v>0</v>
      </c>
      <c r="F197" s="696">
        <v>213.333333333333</v>
      </c>
      <c r="G197" s="697"/>
      <c r="H197" s="697">
        <f>D197-E197-F197-G197</f>
        <v>7726.98191666667</v>
      </c>
      <c r="I197" s="731" t="s">
        <v>132</v>
      </c>
      <c r="J197" s="587"/>
      <c r="K197" s="594"/>
      <c r="L197" s="592"/>
      <c r="M197" s="592"/>
      <c r="N197" s="592"/>
    </row>
    <row r="198" ht="52" customHeight="1" spans="1:14">
      <c r="A198" s="693">
        <v>2</v>
      </c>
      <c r="B198" s="647"/>
      <c r="C198" s="526" t="s">
        <v>54</v>
      </c>
      <c r="D198" s="717">
        <v>4493.98622790698</v>
      </c>
      <c r="E198" s="697">
        <v>0</v>
      </c>
      <c r="F198" s="696">
        <v>373.333333333333</v>
      </c>
      <c r="G198" s="697"/>
      <c r="H198" s="697">
        <f>D198-E198-F198-G198</f>
        <v>4120.65289457365</v>
      </c>
      <c r="I198" s="731" t="s">
        <v>133</v>
      </c>
      <c r="J198" s="587"/>
      <c r="K198" s="594"/>
      <c r="L198" s="592"/>
      <c r="M198" s="592"/>
      <c r="N198" s="592"/>
    </row>
    <row r="199" ht="67" customHeight="1" spans="1:14">
      <c r="A199" s="693">
        <v>3</v>
      </c>
      <c r="B199" s="647"/>
      <c r="C199" s="526" t="s">
        <v>40</v>
      </c>
      <c r="D199" s="717">
        <v>1079.297422</v>
      </c>
      <c r="E199" s="696">
        <v>1400</v>
      </c>
      <c r="F199" s="696">
        <v>622.222222222222</v>
      </c>
      <c r="G199" s="697"/>
      <c r="H199" s="718">
        <f>D199-E199-F199-G199</f>
        <v>-942.924800222222</v>
      </c>
      <c r="I199" s="731" t="s">
        <v>134</v>
      </c>
      <c r="J199" s="587"/>
      <c r="K199" s="594"/>
      <c r="L199" s="592"/>
      <c r="M199" s="592"/>
      <c r="N199" s="592"/>
    </row>
    <row r="200" ht="52" customHeight="1" spans="1:14">
      <c r="A200" s="693">
        <v>4</v>
      </c>
      <c r="B200" s="647" t="s">
        <v>43</v>
      </c>
      <c r="C200" s="526" t="s">
        <v>44</v>
      </c>
      <c r="D200" s="717">
        <v>5777.16306058222</v>
      </c>
      <c r="E200" s="697"/>
      <c r="F200" s="697"/>
      <c r="G200" s="697"/>
      <c r="H200" s="697">
        <f>D200-E200-F200-G200</f>
        <v>5777.16306058222</v>
      </c>
      <c r="I200" s="731"/>
      <c r="J200" s="587"/>
      <c r="K200" s="594"/>
      <c r="L200" s="592"/>
      <c r="M200" s="592"/>
      <c r="N200" s="592"/>
    </row>
    <row r="201" ht="52" customHeight="1" spans="1:14">
      <c r="A201" s="693">
        <v>5</v>
      </c>
      <c r="B201" s="647"/>
      <c r="C201" s="526" t="s">
        <v>45</v>
      </c>
      <c r="D201" s="717">
        <v>2331.73544303797</v>
      </c>
      <c r="E201" s="697"/>
      <c r="F201" s="697"/>
      <c r="G201" s="697"/>
      <c r="H201" s="697">
        <f>D201-E201-F201-G201</f>
        <v>2331.73544303797</v>
      </c>
      <c r="I201" s="731"/>
      <c r="J201" s="587"/>
      <c r="K201" s="594"/>
      <c r="L201" s="592"/>
      <c r="M201" s="592"/>
      <c r="N201" s="592"/>
    </row>
    <row r="202" ht="52" customHeight="1" spans="1:14">
      <c r="A202" s="693" t="s">
        <v>11</v>
      </c>
      <c r="B202" s="695"/>
      <c r="C202" s="695"/>
      <c r="D202" s="694">
        <f>SUM(D197:D201)</f>
        <v>21622.4974035272</v>
      </c>
      <c r="E202" s="694">
        <f>SUM(E197:E201)</f>
        <v>1400</v>
      </c>
      <c r="F202" s="694">
        <f>SUM(F197:F201)</f>
        <v>1208.88888888889</v>
      </c>
      <c r="G202" s="694">
        <f>SUM(G197:G201)</f>
        <v>0</v>
      </c>
      <c r="H202" s="694">
        <f>SUM(H197:H201)</f>
        <v>19013.6085146383</v>
      </c>
      <c r="I202" s="713"/>
      <c r="J202" s="587"/>
      <c r="K202" s="594"/>
      <c r="L202" s="592"/>
      <c r="M202" s="592"/>
      <c r="N202" s="592"/>
    </row>
    <row r="203" spans="1:12">
      <c r="A203" s="617"/>
      <c r="B203" s="618"/>
      <c r="C203" s="618"/>
      <c r="D203" s="619"/>
      <c r="E203" s="619"/>
      <c r="F203" s="619"/>
      <c r="G203" s="619"/>
      <c r="H203" s="619"/>
      <c r="I203" s="619"/>
      <c r="J203" s="619"/>
      <c r="K203" s="619"/>
      <c r="L203" s="651"/>
    </row>
    <row r="204" ht="16.5" spans="1:12">
      <c r="A204" s="698" t="s">
        <v>124</v>
      </c>
      <c r="B204" s="699"/>
      <c r="C204" s="700"/>
      <c r="D204" s="700"/>
      <c r="E204" s="700"/>
      <c r="F204" s="700"/>
      <c r="G204" s="699"/>
      <c r="H204" s="699"/>
      <c r="I204" s="699"/>
      <c r="J204" s="699"/>
      <c r="K204" s="699"/>
      <c r="L204" s="714"/>
    </row>
    <row r="207" ht="16.5" spans="1:12">
      <c r="A207" s="719" t="s">
        <v>125</v>
      </c>
      <c r="B207" s="720"/>
      <c r="C207" s="721"/>
      <c r="D207" s="721"/>
      <c r="E207" s="721"/>
      <c r="F207" s="721"/>
      <c r="G207" s="720"/>
      <c r="H207" s="720"/>
      <c r="I207" s="720"/>
      <c r="J207" s="589"/>
      <c r="K207" s="589"/>
      <c r="L207" s="716"/>
    </row>
    <row r="208" ht="16.5" spans="1:12">
      <c r="A208" s="719" t="s">
        <v>126</v>
      </c>
      <c r="B208" s="720"/>
      <c r="C208" s="721"/>
      <c r="D208" s="721"/>
      <c r="E208" s="721"/>
      <c r="F208" s="721"/>
      <c r="G208" s="720"/>
      <c r="H208" s="720"/>
      <c r="I208" s="720"/>
      <c r="J208" s="589"/>
      <c r="K208" s="589"/>
      <c r="L208" s="716"/>
    </row>
    <row r="209" ht="16.5" spans="1:12">
      <c r="A209" s="722" t="s">
        <v>127</v>
      </c>
      <c r="B209" s="722"/>
      <c r="C209" s="722"/>
      <c r="D209" s="722"/>
      <c r="E209" s="722"/>
      <c r="F209" s="722"/>
      <c r="G209" s="722"/>
      <c r="H209" s="722"/>
      <c r="I209" s="722"/>
      <c r="J209" s="732"/>
      <c r="K209" s="732"/>
      <c r="L209" s="732"/>
    </row>
    <row r="210" ht="16.5" spans="1:12">
      <c r="A210" s="722" t="s">
        <v>128</v>
      </c>
      <c r="B210" s="722"/>
      <c r="C210" s="722"/>
      <c r="D210" s="722"/>
      <c r="E210" s="722"/>
      <c r="F210" s="722"/>
      <c r="G210" s="722"/>
      <c r="H210" s="722"/>
      <c r="I210" s="722"/>
      <c r="J210" s="732"/>
      <c r="K210" s="732"/>
      <c r="L210" s="732"/>
    </row>
    <row r="211" ht="16.5" spans="1:12">
      <c r="A211" s="723" t="s">
        <v>129</v>
      </c>
      <c r="B211" s="723"/>
      <c r="C211" s="723"/>
      <c r="D211" s="723"/>
      <c r="E211" s="723"/>
      <c r="F211" s="723"/>
      <c r="G211" s="723"/>
      <c r="H211" s="723"/>
      <c r="I211" s="723"/>
      <c r="J211" s="733"/>
      <c r="K211" s="733"/>
      <c r="L211" s="733"/>
    </row>
    <row r="212" spans="1:9">
      <c r="A212" s="724"/>
      <c r="B212" s="725"/>
      <c r="C212" s="726"/>
      <c r="D212" s="726"/>
      <c r="E212" s="726"/>
      <c r="F212" s="726"/>
      <c r="G212" s="725"/>
      <c r="H212" s="725"/>
      <c r="I212" s="725"/>
    </row>
    <row r="213" spans="1:9">
      <c r="A213" s="724"/>
      <c r="B213" s="725"/>
      <c r="C213" s="726"/>
      <c r="D213" s="726"/>
      <c r="E213" s="726"/>
      <c r="F213" s="726"/>
      <c r="G213" s="725"/>
      <c r="H213" s="725"/>
      <c r="I213" s="725"/>
    </row>
    <row r="214" ht="25" spans="1:12">
      <c r="A214" s="595" t="s">
        <v>0</v>
      </c>
      <c r="B214" s="595"/>
      <c r="C214" s="595"/>
      <c r="D214" s="595"/>
      <c r="E214" s="595"/>
      <c r="F214" s="595"/>
      <c r="G214" s="595"/>
      <c r="H214" s="595"/>
      <c r="I214" s="595"/>
      <c r="J214" s="595"/>
      <c r="K214" s="595"/>
      <c r="L214" s="653"/>
    </row>
    <row r="215" ht="16.5" spans="1:12">
      <c r="A215" s="689" t="s">
        <v>135</v>
      </c>
      <c r="B215" s="689"/>
      <c r="C215" s="689"/>
      <c r="D215" s="689"/>
      <c r="E215" s="689"/>
      <c r="F215" s="689"/>
      <c r="G215" s="689"/>
      <c r="H215" s="689"/>
      <c r="I215" s="689"/>
      <c r="J215" s="689"/>
      <c r="K215" s="689"/>
      <c r="L215" s="704"/>
    </row>
    <row r="216" ht="14.5" spans="1:12">
      <c r="A216" s="690"/>
      <c r="B216" s="691"/>
      <c r="C216" s="691"/>
      <c r="D216" s="691"/>
      <c r="E216" s="691"/>
      <c r="F216" s="691"/>
      <c r="G216" s="691"/>
      <c r="H216" s="691"/>
      <c r="I216" s="691"/>
      <c r="J216" s="691"/>
      <c r="K216" s="707" t="s">
        <v>113</v>
      </c>
      <c r="L216" s="708"/>
    </row>
    <row r="217" ht="33" customHeight="1" spans="1:14">
      <c r="A217" s="600" t="s">
        <v>3</v>
      </c>
      <c r="B217" s="601" t="s">
        <v>4</v>
      </c>
      <c r="C217" s="601" t="s">
        <v>5</v>
      </c>
      <c r="D217" s="692" t="s">
        <v>114</v>
      </c>
      <c r="E217" s="623" t="s">
        <v>115</v>
      </c>
      <c r="F217" s="623" t="s">
        <v>116</v>
      </c>
      <c r="G217" s="623" t="s">
        <v>117</v>
      </c>
      <c r="H217" s="623" t="s">
        <v>31</v>
      </c>
      <c r="I217" s="601" t="s">
        <v>10</v>
      </c>
      <c r="J217" s="601" t="s">
        <v>11</v>
      </c>
      <c r="K217" s="623" t="s">
        <v>12</v>
      </c>
      <c r="L217" s="587"/>
      <c r="M217" s="594"/>
      <c r="N217" s="592"/>
    </row>
    <row r="218" ht="52" customHeight="1" spans="1:14">
      <c r="A218" s="693">
        <v>1</v>
      </c>
      <c r="B218" s="647" t="s">
        <v>67</v>
      </c>
      <c r="C218" s="526" t="s">
        <v>68</v>
      </c>
      <c r="D218" s="694">
        <v>3850</v>
      </c>
      <c r="E218" s="695">
        <v>3859.56666666667</v>
      </c>
      <c r="F218" s="695">
        <v>3845.52</v>
      </c>
      <c r="G218" s="697">
        <v>4952.9387368421</v>
      </c>
      <c r="H218" s="697">
        <v>3850</v>
      </c>
      <c r="I218" s="695">
        <v>0</v>
      </c>
      <c r="J218" s="695">
        <f>D218+E218+F218+G218+H218</f>
        <v>20358.0254035088</v>
      </c>
      <c r="K218" s="712"/>
      <c r="L218" s="587"/>
      <c r="M218" s="594"/>
      <c r="N218" s="592"/>
    </row>
    <row r="219" ht="52" customHeight="1" spans="1:14">
      <c r="A219" s="693" t="s">
        <v>11</v>
      </c>
      <c r="B219" s="695"/>
      <c r="C219" s="695"/>
      <c r="D219" s="694">
        <f>SUM(D218:D218)</f>
        <v>3850</v>
      </c>
      <c r="E219" s="694">
        <f>SUM(E218:E218)</f>
        <v>3859.56666666667</v>
      </c>
      <c r="F219" s="694">
        <f>SUM(F218:F218)</f>
        <v>3845.52</v>
      </c>
      <c r="G219" s="694">
        <f>SUM(G218:G218)</f>
        <v>4952.9387368421</v>
      </c>
      <c r="H219" s="694"/>
      <c r="I219" s="694">
        <f>SUM(I218:I218)</f>
        <v>0</v>
      </c>
      <c r="J219" s="694">
        <f>SUM(J218:J218)</f>
        <v>20358.0254035088</v>
      </c>
      <c r="K219" s="713"/>
      <c r="L219" s="587"/>
      <c r="M219" s="594"/>
      <c r="N219" s="592"/>
    </row>
    <row r="220" spans="1:12">
      <c r="A220" s="617"/>
      <c r="B220" s="618"/>
      <c r="C220" s="618"/>
      <c r="D220" s="619"/>
      <c r="E220" s="619"/>
      <c r="F220" s="619"/>
      <c r="G220" s="619"/>
      <c r="H220" s="619"/>
      <c r="I220" s="619"/>
      <c r="J220" s="619"/>
      <c r="K220" s="619"/>
      <c r="L220" s="651"/>
    </row>
    <row r="221" ht="16.5" spans="1:12">
      <c r="A221" s="698" t="s">
        <v>124</v>
      </c>
      <c r="B221" s="699"/>
      <c r="C221" s="700"/>
      <c r="D221" s="700"/>
      <c r="E221" s="700"/>
      <c r="F221" s="700"/>
      <c r="G221" s="699"/>
      <c r="H221" s="699"/>
      <c r="I221" s="699"/>
      <c r="J221" s="699"/>
      <c r="K221" s="699"/>
      <c r="L221" s="714"/>
    </row>
    <row r="224" ht="16.5" spans="1:12">
      <c r="A224" s="701" t="s">
        <v>125</v>
      </c>
      <c r="B224" s="589"/>
      <c r="C224" s="702"/>
      <c r="D224" s="702"/>
      <c r="E224" s="702"/>
      <c r="F224" s="702"/>
      <c r="G224" s="589"/>
      <c r="H224" s="589"/>
      <c r="I224" s="589"/>
      <c r="J224" s="589"/>
      <c r="K224" s="589"/>
      <c r="L224" s="716"/>
    </row>
    <row r="225" ht="16.5" spans="1:12">
      <c r="A225" s="701" t="s">
        <v>126</v>
      </c>
      <c r="B225" s="589"/>
      <c r="C225" s="702"/>
      <c r="D225" s="702"/>
      <c r="E225" s="702"/>
      <c r="F225" s="702"/>
      <c r="G225" s="589"/>
      <c r="H225" s="589"/>
      <c r="I225" s="589"/>
      <c r="J225" s="589"/>
      <c r="K225" s="589"/>
      <c r="L225" s="716"/>
    </row>
    <row r="226" ht="16.5" spans="1:12">
      <c r="A226" s="566" t="s">
        <v>127</v>
      </c>
      <c r="B226" s="567"/>
      <c r="C226" s="567"/>
      <c r="D226" s="567"/>
      <c r="E226" s="567"/>
      <c r="F226" s="567"/>
      <c r="G226" s="567"/>
      <c r="H226" s="567"/>
      <c r="I226" s="567"/>
      <c r="J226" s="567"/>
      <c r="K226" s="567"/>
      <c r="L226" s="567"/>
    </row>
    <row r="227" ht="16.5" spans="1:12">
      <c r="A227" s="566" t="s">
        <v>128</v>
      </c>
      <c r="B227" s="567"/>
      <c r="C227" s="567"/>
      <c r="D227" s="567"/>
      <c r="E227" s="567"/>
      <c r="F227" s="567"/>
      <c r="G227" s="567"/>
      <c r="H227" s="567"/>
      <c r="I227" s="567"/>
      <c r="J227" s="567"/>
      <c r="K227" s="567"/>
      <c r="L227" s="567"/>
    </row>
    <row r="228" ht="16.5" spans="1:12">
      <c r="A228" s="556" t="s">
        <v>129</v>
      </c>
      <c r="B228" s="556"/>
      <c r="C228" s="556"/>
      <c r="D228" s="556"/>
      <c r="E228" s="556"/>
      <c r="F228" s="556"/>
      <c r="G228" s="556"/>
      <c r="H228" s="556"/>
      <c r="I228" s="556"/>
      <c r="J228" s="556"/>
      <c r="K228" s="556"/>
      <c r="L228" s="556"/>
    </row>
    <row r="231" ht="25" spans="1:9">
      <c r="A231" s="595" t="s">
        <v>0</v>
      </c>
      <c r="B231" s="595"/>
      <c r="C231" s="595"/>
      <c r="D231" s="595"/>
      <c r="E231" s="595"/>
      <c r="F231" s="595"/>
      <c r="G231" s="595"/>
      <c r="H231" s="595"/>
      <c r="I231" s="595"/>
    </row>
    <row r="232" ht="16.5" spans="1:9">
      <c r="A232" s="689" t="s">
        <v>136</v>
      </c>
      <c r="B232" s="689"/>
      <c r="C232" s="689"/>
      <c r="D232" s="689"/>
      <c r="E232" s="689"/>
      <c r="F232" s="689"/>
      <c r="G232" s="689"/>
      <c r="H232" s="689"/>
      <c r="I232" s="689"/>
    </row>
    <row r="233" ht="14.5" spans="1:9">
      <c r="A233" s="690"/>
      <c r="B233" s="691"/>
      <c r="C233" s="691"/>
      <c r="D233" s="691"/>
      <c r="E233" s="691"/>
      <c r="F233" s="691"/>
      <c r="G233" s="691"/>
      <c r="H233" s="691"/>
      <c r="I233" s="707" t="s">
        <v>137</v>
      </c>
    </row>
    <row r="234" ht="32" customHeight="1" spans="1:9">
      <c r="A234" s="600" t="s">
        <v>3</v>
      </c>
      <c r="B234" s="601" t="s">
        <v>4</v>
      </c>
      <c r="C234" s="601" t="s">
        <v>5</v>
      </c>
      <c r="D234" s="692" t="s">
        <v>35</v>
      </c>
      <c r="E234" s="623" t="s">
        <v>118</v>
      </c>
      <c r="F234" s="623" t="s">
        <v>119</v>
      </c>
      <c r="G234" s="601" t="s">
        <v>10</v>
      </c>
      <c r="H234" s="601" t="s">
        <v>138</v>
      </c>
      <c r="I234" s="623" t="s">
        <v>12</v>
      </c>
    </row>
    <row r="235" ht="32" customHeight="1" spans="1:9">
      <c r="A235" s="693">
        <v>1</v>
      </c>
      <c r="B235" s="647" t="s">
        <v>38</v>
      </c>
      <c r="C235" s="526" t="s">
        <v>39</v>
      </c>
      <c r="D235" s="717">
        <v>5228.37554166667</v>
      </c>
      <c r="E235" s="697">
        <v>0</v>
      </c>
      <c r="F235" s="696">
        <f>厨电!D23</f>
        <v>480</v>
      </c>
      <c r="G235" s="697">
        <v>0</v>
      </c>
      <c r="H235" s="697">
        <f t="shared" ref="H235:H240" si="10">D235-E235-F235-G235</f>
        <v>4748.37554166667</v>
      </c>
      <c r="I235" s="731"/>
    </row>
    <row r="236" ht="32" customHeight="1" spans="1:9">
      <c r="A236" s="693">
        <v>2</v>
      </c>
      <c r="B236" s="647"/>
      <c r="C236" s="526" t="s">
        <v>54</v>
      </c>
      <c r="D236" s="717">
        <v>4150.1903</v>
      </c>
      <c r="E236" s="697">
        <v>0</v>
      </c>
      <c r="F236" s="696">
        <f>厨电!D24</f>
        <v>466.666666666667</v>
      </c>
      <c r="G236" s="697">
        <v>0</v>
      </c>
      <c r="H236" s="697">
        <f t="shared" si="10"/>
        <v>3683.52363333333</v>
      </c>
      <c r="I236" s="731"/>
    </row>
    <row r="237" ht="32" customHeight="1" spans="1:9">
      <c r="A237" s="693">
        <v>3</v>
      </c>
      <c r="B237" s="647"/>
      <c r="C237" s="526" t="s">
        <v>40</v>
      </c>
      <c r="D237" s="717">
        <v>2192.28054230769</v>
      </c>
      <c r="E237" s="696">
        <v>1400</v>
      </c>
      <c r="F237" s="696">
        <f>厨电!D25</f>
        <v>711.111111111111</v>
      </c>
      <c r="G237" s="697">
        <v>0</v>
      </c>
      <c r="H237" s="718">
        <f t="shared" si="10"/>
        <v>81.1694311965791</v>
      </c>
      <c r="I237" s="731" t="s">
        <v>139</v>
      </c>
    </row>
    <row r="238" ht="32" customHeight="1" spans="1:9">
      <c r="A238" s="693">
        <v>4</v>
      </c>
      <c r="B238" s="727" t="s">
        <v>43</v>
      </c>
      <c r="C238" s="526" t="s">
        <v>44</v>
      </c>
      <c r="D238" s="717">
        <v>2501.05226157083</v>
      </c>
      <c r="E238" s="697">
        <v>0</v>
      </c>
      <c r="F238" s="697">
        <v>0</v>
      </c>
      <c r="G238" s="697">
        <v>0</v>
      </c>
      <c r="H238" s="697">
        <f t="shared" si="10"/>
        <v>2501.05226157083</v>
      </c>
      <c r="I238" s="731"/>
    </row>
    <row r="239" ht="32" customHeight="1" spans="1:9">
      <c r="A239" s="693">
        <v>5</v>
      </c>
      <c r="B239" s="728"/>
      <c r="C239" s="526" t="s">
        <v>45</v>
      </c>
      <c r="D239" s="717">
        <v>2856.45261044177</v>
      </c>
      <c r="E239" s="697">
        <v>0</v>
      </c>
      <c r="F239" s="697">
        <v>0</v>
      </c>
      <c r="G239" s="697">
        <v>0</v>
      </c>
      <c r="H239" s="697">
        <f t="shared" si="10"/>
        <v>2856.45261044177</v>
      </c>
      <c r="I239" s="731"/>
    </row>
    <row r="240" ht="32" customHeight="1" spans="1:9">
      <c r="A240" s="693">
        <v>6</v>
      </c>
      <c r="B240" s="729" t="s">
        <v>67</v>
      </c>
      <c r="C240" s="526" t="s">
        <v>68</v>
      </c>
      <c r="D240" s="717">
        <v>2044.25375</v>
      </c>
      <c r="E240" s="697">
        <v>0</v>
      </c>
      <c r="F240" s="697">
        <v>0</v>
      </c>
      <c r="G240" s="697">
        <v>0</v>
      </c>
      <c r="H240" s="697">
        <f t="shared" si="10"/>
        <v>2044.25375</v>
      </c>
      <c r="I240" s="731"/>
    </row>
    <row r="241" ht="32" customHeight="1" spans="1:9">
      <c r="A241" s="693" t="s">
        <v>11</v>
      </c>
      <c r="B241" s="695"/>
      <c r="C241" s="695"/>
      <c r="D241" s="694">
        <f>SUM(D235:D240)</f>
        <v>18972.605005987</v>
      </c>
      <c r="E241" s="694">
        <f>SUM(E235:E240)</f>
        <v>1400</v>
      </c>
      <c r="F241" s="694">
        <f>SUM(F235:F240)</f>
        <v>1657.77777777778</v>
      </c>
      <c r="G241" s="694">
        <f>SUM(G235:G240)</f>
        <v>0</v>
      </c>
      <c r="H241" s="694">
        <f>SUM(H235:H240)</f>
        <v>15914.8272282092</v>
      </c>
      <c r="I241" s="713"/>
    </row>
    <row r="242" spans="1:9">
      <c r="A242" s="617"/>
      <c r="B242" s="618"/>
      <c r="C242" s="618"/>
      <c r="D242" s="619"/>
      <c r="E242" s="619"/>
      <c r="F242" s="619"/>
      <c r="G242" s="619"/>
      <c r="H242" s="619"/>
      <c r="I242" s="619"/>
    </row>
    <row r="243" ht="16.5" spans="1:9">
      <c r="A243" s="698" t="s">
        <v>124</v>
      </c>
      <c r="B243" s="699"/>
      <c r="C243" s="700"/>
      <c r="D243" s="700"/>
      <c r="E243" s="700"/>
      <c r="F243" s="700"/>
      <c r="G243" s="699"/>
      <c r="H243" s="699"/>
      <c r="I243" s="699"/>
    </row>
    <row r="246" ht="16.5" spans="1:9">
      <c r="A246" s="719" t="s">
        <v>125</v>
      </c>
      <c r="B246" s="720"/>
      <c r="C246" s="721"/>
      <c r="D246" s="721"/>
      <c r="E246" s="721"/>
      <c r="F246" s="721"/>
      <c r="G246" s="720"/>
      <c r="H246" s="720"/>
      <c r="I246" s="720"/>
    </row>
    <row r="247" ht="16.5" spans="1:9">
      <c r="A247" s="719" t="s">
        <v>126</v>
      </c>
      <c r="B247" s="720"/>
      <c r="C247" s="721"/>
      <c r="D247" s="721"/>
      <c r="E247" s="721"/>
      <c r="F247" s="721"/>
      <c r="G247" s="720"/>
      <c r="H247" s="720"/>
      <c r="I247" s="720"/>
    </row>
    <row r="248" ht="16.5" spans="1:9">
      <c r="A248" s="722" t="s">
        <v>127</v>
      </c>
      <c r="B248" s="722"/>
      <c r="C248" s="722"/>
      <c r="D248" s="722"/>
      <c r="E248" s="722"/>
      <c r="F248" s="722"/>
      <c r="G248" s="722"/>
      <c r="H248" s="722"/>
      <c r="I248" s="722"/>
    </row>
    <row r="249" ht="16.5" spans="1:9">
      <c r="A249" s="722" t="s">
        <v>128</v>
      </c>
      <c r="B249" s="722"/>
      <c r="C249" s="722"/>
      <c r="D249" s="722"/>
      <c r="E249" s="722"/>
      <c r="F249" s="722"/>
      <c r="G249" s="722"/>
      <c r="H249" s="722"/>
      <c r="I249" s="722"/>
    </row>
    <row r="250" ht="16.5" spans="1:9">
      <c r="A250" s="723" t="s">
        <v>129</v>
      </c>
      <c r="B250" s="723"/>
      <c r="C250" s="723"/>
      <c r="D250" s="723"/>
      <c r="E250" s="723"/>
      <c r="F250" s="723"/>
      <c r="G250" s="723"/>
      <c r="H250" s="723"/>
      <c r="I250" s="723"/>
    </row>
    <row r="251" spans="1:9">
      <c r="A251" s="724"/>
      <c r="B251" s="725"/>
      <c r="C251" s="726"/>
      <c r="D251" s="726"/>
      <c r="E251" s="726"/>
      <c r="F251" s="726"/>
      <c r="G251" s="725"/>
      <c r="H251" s="725"/>
      <c r="I251" s="725"/>
    </row>
    <row r="259" ht="25" spans="1:11">
      <c r="A259" s="595" t="s">
        <v>0</v>
      </c>
      <c r="B259" s="595"/>
      <c r="C259" s="595"/>
      <c r="D259" s="595"/>
      <c r="E259" s="595"/>
      <c r="F259" s="595"/>
      <c r="G259" s="595"/>
      <c r="H259" s="595"/>
      <c r="I259" s="595"/>
      <c r="J259" s="595"/>
      <c r="K259" s="595"/>
    </row>
    <row r="260" ht="16.5" spans="1:11">
      <c r="A260" s="689" t="s">
        <v>140</v>
      </c>
      <c r="B260" s="689"/>
      <c r="C260" s="689"/>
      <c r="D260" s="689"/>
      <c r="E260" s="689"/>
      <c r="F260" s="689"/>
      <c r="G260" s="689"/>
      <c r="H260" s="689"/>
      <c r="I260" s="689"/>
      <c r="J260" s="689"/>
      <c r="K260" s="689"/>
    </row>
    <row r="261" ht="14.5" spans="1:9">
      <c r="A261" s="690"/>
      <c r="B261" s="691"/>
      <c r="C261" s="691"/>
      <c r="D261" s="691"/>
      <c r="E261" s="691"/>
      <c r="F261" s="691"/>
      <c r="G261" s="691"/>
      <c r="H261" s="691"/>
      <c r="I261" s="707" t="s">
        <v>141</v>
      </c>
    </row>
    <row r="262" ht="29" spans="1:16">
      <c r="A262" s="600" t="s">
        <v>3</v>
      </c>
      <c r="B262" s="601" t="s">
        <v>4</v>
      </c>
      <c r="C262" s="601" t="s">
        <v>5</v>
      </c>
      <c r="D262" s="692" t="s">
        <v>51</v>
      </c>
      <c r="E262" s="623" t="s">
        <v>142</v>
      </c>
      <c r="F262" s="623" t="s">
        <v>119</v>
      </c>
      <c r="G262" s="623" t="s">
        <v>143</v>
      </c>
      <c r="H262" s="623" t="s">
        <v>144</v>
      </c>
      <c r="I262" s="601" t="s">
        <v>10</v>
      </c>
      <c r="J262" s="601" t="s">
        <v>138</v>
      </c>
      <c r="K262" s="623" t="s">
        <v>12</v>
      </c>
      <c r="L262" s="592"/>
      <c r="M262" s="592"/>
      <c r="N262" s="593"/>
      <c r="O262" s="587"/>
      <c r="P262" s="594"/>
    </row>
    <row r="263" ht="58" spans="1:16">
      <c r="A263" s="693">
        <v>1</v>
      </c>
      <c r="B263" s="647" t="s">
        <v>38</v>
      </c>
      <c r="C263" s="526" t="s">
        <v>39</v>
      </c>
      <c r="D263" s="717">
        <f>回款整体汇总!AG4</f>
        <v>2175.85</v>
      </c>
      <c r="E263" s="734">
        <v>1400</v>
      </c>
      <c r="F263" s="697">
        <f>厨电!D28</f>
        <v>133.33</v>
      </c>
      <c r="G263" s="697">
        <f>回款整体汇总!AM4</f>
        <v>6067.56</v>
      </c>
      <c r="H263" s="734">
        <v>1400</v>
      </c>
      <c r="I263" s="697">
        <v>0</v>
      </c>
      <c r="J263" s="697">
        <f>D263-E263-F263+G263+H263-I263</f>
        <v>8110.08</v>
      </c>
      <c r="K263" s="731" t="s">
        <v>145</v>
      </c>
      <c r="L263" s="592"/>
      <c r="M263" s="592"/>
      <c r="N263" s="593"/>
      <c r="O263" s="587"/>
      <c r="P263" s="594"/>
    </row>
    <row r="264" ht="47" customHeight="1" spans="1:16">
      <c r="A264" s="693">
        <v>2</v>
      </c>
      <c r="B264" s="647"/>
      <c r="C264" s="526" t="s">
        <v>54</v>
      </c>
      <c r="D264" s="717">
        <f>回款整体汇总!AG5</f>
        <v>4875.51</v>
      </c>
      <c r="E264" s="697">
        <v>0</v>
      </c>
      <c r="F264" s="697">
        <f>厨电!D29</f>
        <v>533.33</v>
      </c>
      <c r="G264" s="697">
        <f>回款整体汇总!AM5</f>
        <v>5811.06</v>
      </c>
      <c r="H264" s="697">
        <v>0</v>
      </c>
      <c r="I264" s="697">
        <v>0</v>
      </c>
      <c r="J264" s="697">
        <f t="shared" ref="J264:J270" si="11">D264-E264-F264+G264+H264-I264</f>
        <v>10153.24</v>
      </c>
      <c r="K264" s="731"/>
      <c r="L264" s="592"/>
      <c r="M264" s="592"/>
      <c r="N264" s="593"/>
      <c r="O264" s="587"/>
      <c r="P264" s="594"/>
    </row>
    <row r="265" ht="72.5" spans="1:16">
      <c r="A265" s="693">
        <v>3</v>
      </c>
      <c r="B265" s="647"/>
      <c r="C265" s="526" t="s">
        <v>40</v>
      </c>
      <c r="D265" s="717">
        <f>回款整体汇总!AG8</f>
        <v>2488.66</v>
      </c>
      <c r="E265" s="734">
        <v>700</v>
      </c>
      <c r="F265" s="697">
        <f>厨电!D30</f>
        <v>266.67</v>
      </c>
      <c r="G265" s="734">
        <v>0</v>
      </c>
      <c r="H265" s="697">
        <v>0</v>
      </c>
      <c r="I265" s="697">
        <v>0</v>
      </c>
      <c r="J265" s="697">
        <f t="shared" si="11"/>
        <v>1521.99</v>
      </c>
      <c r="K265" s="731" t="s">
        <v>146</v>
      </c>
      <c r="L265" s="592"/>
      <c r="M265" s="592"/>
      <c r="N265" s="593"/>
      <c r="O265" s="587"/>
      <c r="P265" s="594"/>
    </row>
    <row r="266" ht="57" customHeight="1" spans="1:16">
      <c r="A266" s="693">
        <v>4</v>
      </c>
      <c r="B266" s="647" t="s">
        <v>43</v>
      </c>
      <c r="C266" s="526" t="s">
        <v>44</v>
      </c>
      <c r="D266" s="717">
        <f>回款整体汇总!AG9</f>
        <v>3364.65</v>
      </c>
      <c r="E266" s="697">
        <v>0</v>
      </c>
      <c r="F266" s="697">
        <v>0</v>
      </c>
      <c r="G266" s="697">
        <f>回款整体汇总!AM9</f>
        <v>4909.11</v>
      </c>
      <c r="H266" s="697">
        <v>0</v>
      </c>
      <c r="I266" s="697">
        <v>0</v>
      </c>
      <c r="J266" s="697">
        <f t="shared" si="11"/>
        <v>8273.76</v>
      </c>
      <c r="K266" s="731"/>
      <c r="L266" s="592"/>
      <c r="M266" s="592"/>
      <c r="N266" s="593"/>
      <c r="O266" s="587"/>
      <c r="P266" s="594"/>
    </row>
    <row r="267" ht="57" customHeight="1" spans="1:16">
      <c r="A267" s="693">
        <v>5</v>
      </c>
      <c r="B267" s="647"/>
      <c r="C267" s="526" t="s">
        <v>45</v>
      </c>
      <c r="D267" s="717">
        <f>回款整体汇总!AG10</f>
        <v>3518.67</v>
      </c>
      <c r="E267" s="697">
        <v>0</v>
      </c>
      <c r="F267" s="697">
        <v>0</v>
      </c>
      <c r="G267" s="697">
        <f>回款整体汇总!AM10</f>
        <v>3807.8</v>
      </c>
      <c r="H267" s="697">
        <v>0</v>
      </c>
      <c r="I267" s="697">
        <v>0</v>
      </c>
      <c r="J267" s="697">
        <f t="shared" si="11"/>
        <v>7326.47</v>
      </c>
      <c r="K267" s="731"/>
      <c r="L267" s="592"/>
      <c r="M267" s="592"/>
      <c r="N267" s="593"/>
      <c r="O267" s="587"/>
      <c r="P267" s="594"/>
    </row>
    <row r="268" ht="76" customHeight="1" spans="1:16">
      <c r="A268" s="693">
        <v>6</v>
      </c>
      <c r="B268" s="647"/>
      <c r="C268" s="526" t="s">
        <v>147</v>
      </c>
      <c r="D268" s="717">
        <f>回款整体汇总!AG11</f>
        <v>1381.34</v>
      </c>
      <c r="E268" s="697">
        <v>0</v>
      </c>
      <c r="F268" s="697">
        <v>0</v>
      </c>
      <c r="G268" s="734">
        <v>0</v>
      </c>
      <c r="H268" s="697">
        <v>0</v>
      </c>
      <c r="I268" s="697"/>
      <c r="J268" s="697">
        <f t="shared" si="11"/>
        <v>1381.34</v>
      </c>
      <c r="K268" s="737" t="s">
        <v>148</v>
      </c>
      <c r="L268" s="592"/>
      <c r="M268" s="592"/>
      <c r="N268" s="593"/>
      <c r="O268" s="587"/>
      <c r="P268" s="594"/>
    </row>
    <row r="269" ht="50" customHeight="1" spans="1:16">
      <c r="A269" s="693">
        <v>7</v>
      </c>
      <c r="B269" s="647" t="s">
        <v>67</v>
      </c>
      <c r="C269" s="526" t="s">
        <v>68</v>
      </c>
      <c r="D269" s="717">
        <f>回款整体汇总!AG13</f>
        <v>1309.88</v>
      </c>
      <c r="E269" s="697">
        <v>0</v>
      </c>
      <c r="F269" s="697">
        <v>0</v>
      </c>
      <c r="G269" s="697">
        <f>回款整体汇总!AM13</f>
        <v>2845.53</v>
      </c>
      <c r="H269" s="697">
        <v>0</v>
      </c>
      <c r="I269" s="697">
        <v>0</v>
      </c>
      <c r="J269" s="697">
        <f t="shared" si="11"/>
        <v>4155.41</v>
      </c>
      <c r="K269" s="731"/>
      <c r="L269" s="592"/>
      <c r="M269" s="592"/>
      <c r="N269" s="593"/>
      <c r="O269" s="587"/>
      <c r="P269" s="594"/>
    </row>
    <row r="270" ht="60" customHeight="1" spans="1:16">
      <c r="A270" s="693">
        <v>8</v>
      </c>
      <c r="B270" s="647"/>
      <c r="C270" s="526" t="s">
        <v>70</v>
      </c>
      <c r="D270" s="717">
        <f>回款整体汇总!AG14</f>
        <v>94.2</v>
      </c>
      <c r="E270" s="697">
        <v>0</v>
      </c>
      <c r="F270" s="697">
        <v>0</v>
      </c>
      <c r="G270" s="734">
        <v>0</v>
      </c>
      <c r="H270" s="697">
        <v>0</v>
      </c>
      <c r="I270" s="697"/>
      <c r="J270" s="697">
        <f t="shared" si="11"/>
        <v>94.2</v>
      </c>
      <c r="K270" s="737" t="s">
        <v>149</v>
      </c>
      <c r="L270" s="592"/>
      <c r="M270" s="592"/>
      <c r="N270" s="593"/>
      <c r="O270" s="587"/>
      <c r="P270" s="594"/>
    </row>
    <row r="271" ht="32" customHeight="1" spans="1:16">
      <c r="A271" s="693" t="s">
        <v>11</v>
      </c>
      <c r="B271" s="695"/>
      <c r="C271" s="695"/>
      <c r="D271" s="717">
        <f>SUM(D263:D270)</f>
        <v>19208.76</v>
      </c>
      <c r="E271" s="717">
        <f t="shared" ref="E271:J271" si="12">SUM(E263:E270)</f>
        <v>2100</v>
      </c>
      <c r="F271" s="717">
        <f t="shared" si="12"/>
        <v>933.33</v>
      </c>
      <c r="G271" s="717">
        <f t="shared" si="12"/>
        <v>23441.06</v>
      </c>
      <c r="H271" s="717">
        <f t="shared" si="12"/>
        <v>1400</v>
      </c>
      <c r="I271" s="717">
        <f t="shared" si="12"/>
        <v>0</v>
      </c>
      <c r="J271" s="717">
        <f t="shared" si="12"/>
        <v>41016.49</v>
      </c>
      <c r="K271" s="738"/>
      <c r="L271" s="592"/>
      <c r="M271" s="592"/>
      <c r="N271" s="593"/>
      <c r="O271" s="587"/>
      <c r="P271" s="594"/>
    </row>
    <row r="272" spans="1:9">
      <c r="A272" s="617"/>
      <c r="B272" s="618"/>
      <c r="C272" s="618"/>
      <c r="D272" s="619"/>
      <c r="E272" s="619"/>
      <c r="F272" s="619"/>
      <c r="G272" s="619"/>
      <c r="H272" s="619"/>
      <c r="I272" s="619"/>
    </row>
    <row r="273" ht="16.5" spans="1:9">
      <c r="A273" s="698" t="s">
        <v>124</v>
      </c>
      <c r="B273" s="699"/>
      <c r="C273" s="700"/>
      <c r="D273" s="700"/>
      <c r="E273" s="700"/>
      <c r="F273" s="700"/>
      <c r="G273" s="699"/>
      <c r="H273" s="699"/>
      <c r="I273" s="699"/>
    </row>
    <row r="276" ht="16.5" spans="1:9">
      <c r="A276" s="719" t="s">
        <v>125</v>
      </c>
      <c r="B276" s="720"/>
      <c r="C276" s="721"/>
      <c r="D276" s="721"/>
      <c r="E276" s="721"/>
      <c r="F276" s="721"/>
      <c r="G276" s="720"/>
      <c r="H276" s="720"/>
      <c r="I276" s="720"/>
    </row>
    <row r="277" ht="16.5" spans="1:9">
      <c r="A277" s="719" t="s">
        <v>126</v>
      </c>
      <c r="B277" s="720"/>
      <c r="C277" s="721"/>
      <c r="D277" s="721"/>
      <c r="E277" s="721"/>
      <c r="F277" s="721"/>
      <c r="G277" s="720"/>
      <c r="H277" s="720"/>
      <c r="I277" s="720"/>
    </row>
    <row r="278" ht="16.5" spans="1:9">
      <c r="A278" s="722" t="s">
        <v>127</v>
      </c>
      <c r="B278" s="722"/>
      <c r="C278" s="722"/>
      <c r="D278" s="722"/>
      <c r="E278" s="722"/>
      <c r="F278" s="722"/>
      <c r="G278" s="722"/>
      <c r="H278" s="722"/>
      <c r="I278" s="722"/>
    </row>
    <row r="279" ht="16.5" spans="1:9">
      <c r="A279" s="722" t="s">
        <v>128</v>
      </c>
      <c r="B279" s="722"/>
      <c r="C279" s="722"/>
      <c r="D279" s="722"/>
      <c r="E279" s="722"/>
      <c r="F279" s="722"/>
      <c r="G279" s="722"/>
      <c r="H279" s="722"/>
      <c r="I279" s="722"/>
    </row>
    <row r="280" ht="16.5" spans="1:9">
      <c r="A280" s="723" t="s">
        <v>129</v>
      </c>
      <c r="B280" s="723"/>
      <c r="C280" s="723"/>
      <c r="D280" s="723"/>
      <c r="E280" s="723"/>
      <c r="F280" s="723"/>
      <c r="G280" s="723"/>
      <c r="H280" s="723"/>
      <c r="I280" s="723"/>
    </row>
    <row r="281" spans="1:9">
      <c r="A281" s="724"/>
      <c r="B281" s="725"/>
      <c r="C281" s="726"/>
      <c r="D281" s="726"/>
      <c r="E281" s="726"/>
      <c r="F281" s="726"/>
      <c r="G281" s="725"/>
      <c r="H281" s="725"/>
      <c r="I281" s="725"/>
    </row>
    <row r="282" ht="25" spans="1:9">
      <c r="A282" s="595" t="s">
        <v>0</v>
      </c>
      <c r="B282" s="595"/>
      <c r="C282" s="595"/>
      <c r="D282" s="595"/>
      <c r="E282" s="595"/>
      <c r="F282" s="595"/>
      <c r="G282" s="595"/>
      <c r="H282" s="595"/>
      <c r="I282" s="595"/>
    </row>
    <row r="283" ht="16.5" spans="1:9">
      <c r="A283" s="689" t="s">
        <v>150</v>
      </c>
      <c r="B283" s="689"/>
      <c r="C283" s="689"/>
      <c r="D283" s="689"/>
      <c r="E283" s="689"/>
      <c r="F283" s="689"/>
      <c r="G283" s="689"/>
      <c r="H283" s="689"/>
      <c r="I283" s="689"/>
    </row>
    <row r="284" ht="14.5" spans="1:9">
      <c r="A284" s="690"/>
      <c r="B284" s="691"/>
      <c r="C284" s="691"/>
      <c r="D284" s="691"/>
      <c r="E284" s="691"/>
      <c r="F284" s="691"/>
      <c r="G284" s="691"/>
      <c r="H284" s="707" t="s">
        <v>151</v>
      </c>
      <c r="I284" s="707"/>
    </row>
    <row r="285" ht="24" customHeight="1" spans="1:9">
      <c r="A285" s="600" t="s">
        <v>3</v>
      </c>
      <c r="B285" s="601" t="s">
        <v>4</v>
      </c>
      <c r="C285" s="601" t="s">
        <v>5</v>
      </c>
      <c r="D285" s="692" t="s">
        <v>64</v>
      </c>
      <c r="E285" s="623" t="s">
        <v>118</v>
      </c>
      <c r="F285" s="623" t="s">
        <v>119</v>
      </c>
      <c r="G285" s="601" t="s">
        <v>10</v>
      </c>
      <c r="H285" s="601" t="s">
        <v>138</v>
      </c>
      <c r="I285" s="623" t="s">
        <v>12</v>
      </c>
    </row>
    <row r="286" s="590" customFormat="1" ht="29" customHeight="1" spans="1:14">
      <c r="A286" s="735">
        <v>1</v>
      </c>
      <c r="B286" s="736" t="s">
        <v>38</v>
      </c>
      <c r="C286" s="526" t="s">
        <v>39</v>
      </c>
      <c r="D286" s="717">
        <f>回款整体汇总!AQ4</f>
        <v>11303.4621</v>
      </c>
      <c r="E286" s="697">
        <v>0</v>
      </c>
      <c r="F286" s="697">
        <f>厨电!D32</f>
        <v>800</v>
      </c>
      <c r="G286" s="697">
        <v>0</v>
      </c>
      <c r="H286" s="697">
        <f>D286-E286-F286-G286</f>
        <v>10503.4621</v>
      </c>
      <c r="I286" s="731" t="s">
        <v>152</v>
      </c>
      <c r="L286" s="739"/>
      <c r="M286" s="676"/>
      <c r="N286" s="740"/>
    </row>
    <row r="287" s="590" customFormat="1" ht="39" customHeight="1" spans="1:14">
      <c r="A287" s="735">
        <v>2</v>
      </c>
      <c r="B287" s="736"/>
      <c r="C287" s="526" t="s">
        <v>54</v>
      </c>
      <c r="D287" s="717">
        <f>回款整体汇总!AQ5</f>
        <v>2248.46635263158</v>
      </c>
      <c r="E287" s="718">
        <f>7000*0.2</f>
        <v>1400</v>
      </c>
      <c r="F287" s="697">
        <f>厨电!D33</f>
        <v>768</v>
      </c>
      <c r="G287" s="697">
        <v>0</v>
      </c>
      <c r="H287" s="697">
        <f>D287-E287-F287-G287</f>
        <v>80.466352631579</v>
      </c>
      <c r="I287" s="731" t="s">
        <v>153</v>
      </c>
      <c r="L287" s="739"/>
      <c r="M287" s="676"/>
      <c r="N287" s="740"/>
    </row>
    <row r="288" s="590" customFormat="1" ht="29" customHeight="1" spans="1:14">
      <c r="A288" s="735">
        <v>3</v>
      </c>
      <c r="B288" s="736"/>
      <c r="C288" s="526" t="s">
        <v>40</v>
      </c>
      <c r="D288" s="717">
        <f>回款整体汇总!AQ8</f>
        <v>4712.47939555556</v>
      </c>
      <c r="E288" s="697">
        <v>0</v>
      </c>
      <c r="F288" s="697">
        <f>厨电!D34</f>
        <v>693.33</v>
      </c>
      <c r="G288" s="697">
        <v>0</v>
      </c>
      <c r="H288" s="697">
        <f>D288-E288-F288-G288</f>
        <v>4019.14939555556</v>
      </c>
      <c r="I288" s="731" t="s">
        <v>154</v>
      </c>
      <c r="L288" s="739"/>
      <c r="M288" s="676"/>
      <c r="N288" s="740"/>
    </row>
    <row r="289" s="590" customFormat="1" ht="29" customHeight="1" spans="1:14">
      <c r="A289" s="735">
        <v>4</v>
      </c>
      <c r="B289" s="736" t="s">
        <v>43</v>
      </c>
      <c r="C289" s="526" t="s">
        <v>44</v>
      </c>
      <c r="D289" s="717">
        <f>回款整体汇总!AQ9</f>
        <v>2332.06129032258</v>
      </c>
      <c r="E289" s="697">
        <v>0</v>
      </c>
      <c r="F289" s="697">
        <v>0</v>
      </c>
      <c r="G289" s="697">
        <v>0</v>
      </c>
      <c r="H289" s="697">
        <f>D289-E289-F289-G289</f>
        <v>2332.06129032258</v>
      </c>
      <c r="I289" s="731" t="s">
        <v>155</v>
      </c>
      <c r="L289" s="739"/>
      <c r="M289" s="676"/>
      <c r="N289" s="740"/>
    </row>
    <row r="290" s="590" customFormat="1" ht="29" customHeight="1" spans="1:14">
      <c r="A290" s="735">
        <v>5</v>
      </c>
      <c r="B290" s="736"/>
      <c r="C290" s="526" t="s">
        <v>45</v>
      </c>
      <c r="D290" s="717">
        <f>回款整体汇总!AQ10</f>
        <v>2203.08977777778</v>
      </c>
      <c r="E290" s="697">
        <v>0</v>
      </c>
      <c r="F290" s="697">
        <v>0</v>
      </c>
      <c r="G290" s="697">
        <v>0</v>
      </c>
      <c r="H290" s="697">
        <f>D290-E290-F290-G290</f>
        <v>2203.08977777778</v>
      </c>
      <c r="I290" s="731" t="s">
        <v>156</v>
      </c>
      <c r="L290" s="739"/>
      <c r="M290" s="676"/>
      <c r="N290" s="740"/>
    </row>
    <row r="291" s="590" customFormat="1" ht="29" customHeight="1" spans="1:14">
      <c r="A291" s="735">
        <v>6</v>
      </c>
      <c r="B291" s="736"/>
      <c r="C291" s="526" t="s">
        <v>147</v>
      </c>
      <c r="D291" s="717">
        <f>回款整体汇总!AQ11</f>
        <v>268.783727687837</v>
      </c>
      <c r="E291" s="697">
        <v>0</v>
      </c>
      <c r="F291" s="697">
        <v>0</v>
      </c>
      <c r="G291" s="697">
        <v>0</v>
      </c>
      <c r="H291" s="697"/>
      <c r="I291" s="731" t="s">
        <v>157</v>
      </c>
      <c r="L291" s="739"/>
      <c r="M291" s="676"/>
      <c r="N291" s="740"/>
    </row>
    <row r="292" s="590" customFormat="1" ht="29" customHeight="1" spans="1:14">
      <c r="A292" s="735">
        <v>7</v>
      </c>
      <c r="B292" s="736" t="s">
        <v>67</v>
      </c>
      <c r="C292" s="526" t="s">
        <v>68</v>
      </c>
      <c r="D292" s="717">
        <f>回款整体汇总!AQ13</f>
        <v>3020.545</v>
      </c>
      <c r="E292" s="697">
        <v>0</v>
      </c>
      <c r="F292" s="697">
        <v>0</v>
      </c>
      <c r="G292" s="697">
        <v>0</v>
      </c>
      <c r="H292" s="697">
        <f>D292-E292-F292-G292</f>
        <v>3020.545</v>
      </c>
      <c r="I292" s="731" t="s">
        <v>158</v>
      </c>
      <c r="L292" s="739"/>
      <c r="M292" s="676"/>
      <c r="N292" s="740"/>
    </row>
    <row r="293" s="590" customFormat="1" ht="29" customHeight="1" spans="1:14">
      <c r="A293" s="735" t="s">
        <v>11</v>
      </c>
      <c r="B293" s="697"/>
      <c r="C293" s="697"/>
      <c r="D293" s="717"/>
      <c r="E293" s="717"/>
      <c r="F293" s="717"/>
      <c r="G293" s="717">
        <f>SUM(G286:G292)</f>
        <v>0</v>
      </c>
      <c r="H293" s="717">
        <f>SUM(H286:H292)</f>
        <v>22158.7739162875</v>
      </c>
      <c r="I293" s="738"/>
      <c r="L293" s="739"/>
      <c r="M293" s="676"/>
      <c r="N293" s="740"/>
    </row>
    <row r="294" spans="1:9">
      <c r="A294" s="617"/>
      <c r="B294" s="618"/>
      <c r="C294" s="618"/>
      <c r="D294" s="619"/>
      <c r="E294" s="619"/>
      <c r="F294" s="619"/>
      <c r="G294" s="619"/>
      <c r="H294" s="619"/>
      <c r="I294" s="619"/>
    </row>
    <row r="295" ht="16.5" spans="1:9">
      <c r="A295" s="698" t="s">
        <v>124</v>
      </c>
      <c r="B295" s="699"/>
      <c r="C295" s="700"/>
      <c r="D295" s="700"/>
      <c r="E295" s="700"/>
      <c r="F295" s="700"/>
      <c r="G295" s="699"/>
      <c r="H295" s="699"/>
      <c r="I295" s="699"/>
    </row>
    <row r="298" ht="16.5" spans="1:9">
      <c r="A298" s="719" t="s">
        <v>125</v>
      </c>
      <c r="B298" s="720"/>
      <c r="C298" s="721"/>
      <c r="D298" s="721"/>
      <c r="E298" s="721"/>
      <c r="F298" s="721"/>
      <c r="G298" s="720"/>
      <c r="H298" s="720"/>
      <c r="I298" s="720"/>
    </row>
    <row r="299" ht="16.5" spans="1:9">
      <c r="A299" s="719" t="s">
        <v>126</v>
      </c>
      <c r="B299" s="720"/>
      <c r="C299" s="721"/>
      <c r="D299" s="721"/>
      <c r="E299" s="721"/>
      <c r="F299" s="721"/>
      <c r="G299" s="720"/>
      <c r="H299" s="720"/>
      <c r="I299" s="720"/>
    </row>
    <row r="300" ht="16.5" spans="1:9">
      <c r="A300" s="722" t="s">
        <v>127</v>
      </c>
      <c r="B300" s="722"/>
      <c r="C300" s="722"/>
      <c r="D300" s="722"/>
      <c r="E300" s="722"/>
      <c r="F300" s="722"/>
      <c r="G300" s="722"/>
      <c r="H300" s="722"/>
      <c r="I300" s="722"/>
    </row>
    <row r="301" ht="16.5" spans="1:9">
      <c r="A301" s="722" t="s">
        <v>128</v>
      </c>
      <c r="B301" s="722"/>
      <c r="C301" s="722"/>
      <c r="D301" s="722"/>
      <c r="E301" s="722"/>
      <c r="F301" s="722"/>
      <c r="G301" s="722"/>
      <c r="H301" s="722"/>
      <c r="I301" s="722"/>
    </row>
    <row r="302" ht="16.5" spans="1:9">
      <c r="A302" s="723" t="s">
        <v>129</v>
      </c>
      <c r="B302" s="723"/>
      <c r="C302" s="723"/>
      <c r="D302" s="723"/>
      <c r="E302" s="723"/>
      <c r="F302" s="723"/>
      <c r="G302" s="723"/>
      <c r="H302" s="723"/>
      <c r="I302" s="723"/>
    </row>
    <row r="303" spans="1:9">
      <c r="A303" s="724"/>
      <c r="B303" s="725"/>
      <c r="C303" s="726"/>
      <c r="D303" s="726"/>
      <c r="E303" s="726"/>
      <c r="F303" s="726"/>
      <c r="G303" s="725"/>
      <c r="H303" s="725"/>
      <c r="I303" s="725"/>
    </row>
    <row r="305" ht="34" customHeight="1" spans="1:9">
      <c r="A305" s="689" t="s">
        <v>159</v>
      </c>
      <c r="B305" s="689"/>
      <c r="C305" s="689"/>
      <c r="D305" s="689"/>
      <c r="E305" s="689"/>
      <c r="F305" s="689"/>
      <c r="G305" s="689"/>
      <c r="H305" s="689"/>
      <c r="I305" s="689"/>
    </row>
    <row r="306" ht="14.5" spans="1:9">
      <c r="A306" s="690"/>
      <c r="B306" s="691"/>
      <c r="C306" s="691"/>
      <c r="D306" s="691"/>
      <c r="E306" s="691"/>
      <c r="F306" s="691"/>
      <c r="G306" s="691"/>
      <c r="H306" s="707" t="s">
        <v>160</v>
      </c>
      <c r="I306" s="707"/>
    </row>
    <row r="307" ht="24" customHeight="1" spans="1:9">
      <c r="A307" s="600" t="s">
        <v>3</v>
      </c>
      <c r="B307" s="601" t="s">
        <v>4</v>
      </c>
      <c r="C307" s="601" t="s">
        <v>5</v>
      </c>
      <c r="D307" s="692" t="s">
        <v>73</v>
      </c>
      <c r="E307" s="623" t="s">
        <v>118</v>
      </c>
      <c r="F307" s="623" t="s">
        <v>119</v>
      </c>
      <c r="G307" s="601" t="s">
        <v>10</v>
      </c>
      <c r="H307" s="601" t="s">
        <v>138</v>
      </c>
      <c r="I307" s="623" t="s">
        <v>12</v>
      </c>
    </row>
    <row r="308" ht="30" customHeight="1" spans="1:9">
      <c r="A308" s="735">
        <v>1</v>
      </c>
      <c r="B308" s="736" t="s">
        <v>38</v>
      </c>
      <c r="C308" s="526" t="s">
        <v>39</v>
      </c>
      <c r="D308" s="717">
        <f>回款整体汇总!AU4</f>
        <v>5215.06</v>
      </c>
      <c r="E308" s="697">
        <v>0</v>
      </c>
      <c r="F308" s="734">
        <f>厨电!D36</f>
        <v>720</v>
      </c>
      <c r="G308" s="697">
        <v>0</v>
      </c>
      <c r="H308" s="697">
        <f t="shared" ref="H308:H315" si="13">D308-E308-F308-G308</f>
        <v>4495.06</v>
      </c>
      <c r="I308" s="741">
        <v>1.0643</v>
      </c>
    </row>
    <row r="309" ht="46" customHeight="1" spans="1:9">
      <c r="A309" s="735">
        <v>2</v>
      </c>
      <c r="B309" s="736"/>
      <c r="C309" s="526" t="s">
        <v>54</v>
      </c>
      <c r="D309" s="717">
        <f>回款整体汇总!AU5</f>
        <v>24.52</v>
      </c>
      <c r="E309" s="718">
        <v>0</v>
      </c>
      <c r="F309" s="734">
        <f>厨电!D37</f>
        <v>800</v>
      </c>
      <c r="G309" s="697">
        <v>0</v>
      </c>
      <c r="H309" s="697">
        <f t="shared" si="13"/>
        <v>-775.48</v>
      </c>
      <c r="I309" s="741" t="s">
        <v>161</v>
      </c>
    </row>
    <row r="310" ht="43.5" spans="1:9">
      <c r="A310" s="735">
        <v>3</v>
      </c>
      <c r="B310" s="736"/>
      <c r="C310" s="526" t="s">
        <v>40</v>
      </c>
      <c r="D310" s="717">
        <f>回款整体汇总!AU8</f>
        <v>2188.42</v>
      </c>
      <c r="E310" s="718">
        <v>0</v>
      </c>
      <c r="F310" s="734">
        <f>厨电!D38</f>
        <v>480</v>
      </c>
      <c r="G310" s="697">
        <v>0</v>
      </c>
      <c r="H310" s="697">
        <f t="shared" si="13"/>
        <v>1708.42</v>
      </c>
      <c r="I310" s="741" t="s">
        <v>162</v>
      </c>
    </row>
    <row r="311" ht="50" customHeight="1" spans="1:9">
      <c r="A311" s="735">
        <v>4</v>
      </c>
      <c r="B311" s="736"/>
      <c r="C311" s="526" t="s">
        <v>163</v>
      </c>
      <c r="D311" s="717">
        <f>回款整体汇总!AU6</f>
        <v>1855.6</v>
      </c>
      <c r="E311" s="718">
        <v>0</v>
      </c>
      <c r="F311" s="734">
        <f>厨电!D39</f>
        <v>525.71</v>
      </c>
      <c r="G311" s="697">
        <v>0</v>
      </c>
      <c r="H311" s="697">
        <f t="shared" si="13"/>
        <v>1329.89</v>
      </c>
      <c r="I311" s="741" t="s">
        <v>164</v>
      </c>
    </row>
    <row r="312" ht="30" customHeight="1" spans="1:9">
      <c r="A312" s="735">
        <v>5</v>
      </c>
      <c r="B312" s="736" t="s">
        <v>43</v>
      </c>
      <c r="C312" s="526" t="s">
        <v>44</v>
      </c>
      <c r="D312" s="717">
        <f>回款整体汇总!AU9</f>
        <v>57.29</v>
      </c>
      <c r="E312" s="697">
        <v>0</v>
      </c>
      <c r="F312" s="697">
        <v>0</v>
      </c>
      <c r="G312" s="697">
        <v>0</v>
      </c>
      <c r="H312" s="697">
        <f t="shared" si="13"/>
        <v>57.29</v>
      </c>
      <c r="I312" s="741" t="s">
        <v>165</v>
      </c>
    </row>
    <row r="313" ht="30" customHeight="1" spans="1:9">
      <c r="A313" s="735">
        <v>6</v>
      </c>
      <c r="B313" s="736"/>
      <c r="C313" s="526" t="s">
        <v>45</v>
      </c>
      <c r="D313" s="717">
        <f>回款整体汇总!AU10</f>
        <v>1400.04</v>
      </c>
      <c r="E313" s="697">
        <v>0</v>
      </c>
      <c r="F313" s="697">
        <v>0</v>
      </c>
      <c r="G313" s="697">
        <v>0</v>
      </c>
      <c r="H313" s="697">
        <f t="shared" si="13"/>
        <v>1400.04</v>
      </c>
      <c r="I313" s="741" t="s">
        <v>166</v>
      </c>
    </row>
    <row r="314" ht="30" customHeight="1" spans="1:10">
      <c r="A314" s="735">
        <v>7</v>
      </c>
      <c r="B314" s="736"/>
      <c r="C314" s="526" t="s">
        <v>147</v>
      </c>
      <c r="D314" s="717">
        <f>回款整体汇总!AU11</f>
        <v>1231.23</v>
      </c>
      <c r="E314" s="697">
        <v>0</v>
      </c>
      <c r="F314" s="697">
        <v>0</v>
      </c>
      <c r="G314" s="697">
        <v>0</v>
      </c>
      <c r="H314" s="697">
        <f t="shared" si="13"/>
        <v>1231.23</v>
      </c>
      <c r="I314" s="741" t="s">
        <v>167</v>
      </c>
      <c r="J314" s="742" t="s">
        <v>168</v>
      </c>
    </row>
    <row r="315" ht="30" customHeight="1" spans="1:9">
      <c r="A315" s="735">
        <v>8</v>
      </c>
      <c r="B315" s="736" t="s">
        <v>67</v>
      </c>
      <c r="C315" s="526" t="s">
        <v>68</v>
      </c>
      <c r="D315" s="717">
        <f>回款整体汇总!AU13</f>
        <v>2030.86</v>
      </c>
      <c r="E315" s="697">
        <v>0</v>
      </c>
      <c r="F315" s="697">
        <v>0</v>
      </c>
      <c r="G315" s="697">
        <v>0</v>
      </c>
      <c r="H315" s="697">
        <f t="shared" si="13"/>
        <v>2030.86</v>
      </c>
      <c r="I315" s="741" t="s">
        <v>169</v>
      </c>
    </row>
    <row r="316" ht="30" customHeight="1" spans="1:9">
      <c r="A316" s="735" t="s">
        <v>11</v>
      </c>
      <c r="B316" s="697"/>
      <c r="C316" s="697"/>
      <c r="D316" s="717">
        <f>SUM(D308:D315)</f>
        <v>14003.02</v>
      </c>
      <c r="E316" s="717">
        <f>SUM(E308:E315)</f>
        <v>0</v>
      </c>
      <c r="F316" s="717">
        <f>SUM(F308:F315)</f>
        <v>2525.71</v>
      </c>
      <c r="G316" s="697">
        <v>0</v>
      </c>
      <c r="H316" s="717">
        <f>SUM(H308:H315)</f>
        <v>11477.31</v>
      </c>
      <c r="I316" s="738"/>
    </row>
    <row r="317" spans="1:9">
      <c r="A317" s="617"/>
      <c r="B317" s="618"/>
      <c r="C317" s="618"/>
      <c r="D317" s="619"/>
      <c r="E317" s="619"/>
      <c r="F317" s="619"/>
      <c r="G317" s="619"/>
      <c r="H317" s="619"/>
      <c r="I317" s="619"/>
    </row>
    <row r="318" ht="16.5" spans="1:9">
      <c r="A318" s="698" t="s">
        <v>124</v>
      </c>
      <c r="B318" s="699"/>
      <c r="C318" s="700"/>
      <c r="D318" s="700"/>
      <c r="E318" s="700"/>
      <c r="F318" s="700"/>
      <c r="G318" s="699"/>
      <c r="H318" s="699"/>
      <c r="I318" s="699"/>
    </row>
    <row r="321" ht="16.5" spans="1:9">
      <c r="A321" s="719" t="s">
        <v>125</v>
      </c>
      <c r="B321" s="720"/>
      <c r="C321" s="721"/>
      <c r="D321" s="721"/>
      <c r="E321" s="721"/>
      <c r="F321" s="721"/>
      <c r="G321" s="720"/>
      <c r="H321" s="720"/>
      <c r="I321" s="720"/>
    </row>
    <row r="322" ht="16.5" spans="1:9">
      <c r="A322" s="719" t="s">
        <v>126</v>
      </c>
      <c r="B322" s="720"/>
      <c r="C322" s="721"/>
      <c r="D322" s="721"/>
      <c r="E322" s="721"/>
      <c r="F322" s="721"/>
      <c r="G322" s="720"/>
      <c r="H322" s="720"/>
      <c r="I322" s="720"/>
    </row>
    <row r="323" ht="16.5" spans="1:9">
      <c r="A323" s="722" t="s">
        <v>127</v>
      </c>
      <c r="B323" s="722"/>
      <c r="C323" s="722"/>
      <c r="D323" s="722"/>
      <c r="E323" s="722"/>
      <c r="F323" s="722"/>
      <c r="G323" s="722"/>
      <c r="H323" s="722"/>
      <c r="I323" s="722"/>
    </row>
    <row r="324" ht="16.5" spans="1:9">
      <c r="A324" s="722" t="s">
        <v>128</v>
      </c>
      <c r="B324" s="722"/>
      <c r="C324" s="722"/>
      <c r="D324" s="722"/>
      <c r="E324" s="722"/>
      <c r="F324" s="722"/>
      <c r="G324" s="722"/>
      <c r="H324" s="722"/>
      <c r="I324" s="722"/>
    </row>
    <row r="325" ht="16.5" spans="1:9">
      <c r="A325" s="723" t="s">
        <v>129</v>
      </c>
      <c r="B325" s="723"/>
      <c r="C325" s="723"/>
      <c r="D325" s="723"/>
      <c r="E325" s="723"/>
      <c r="F325" s="723"/>
      <c r="G325" s="723"/>
      <c r="H325" s="723"/>
      <c r="I325" s="723"/>
    </row>
    <row r="326" spans="1:9">
      <c r="A326" s="724"/>
      <c r="B326" s="725"/>
      <c r="C326" s="726"/>
      <c r="D326" s="726"/>
      <c r="E326" s="726"/>
      <c r="F326" s="726"/>
      <c r="G326" s="725"/>
      <c r="H326" s="725"/>
      <c r="I326" s="725"/>
    </row>
  </sheetData>
  <mergeCells count="107">
    <mergeCell ref="A1:M1"/>
    <mergeCell ref="A2:M2"/>
    <mergeCell ref="L3:N3"/>
    <mergeCell ref="A13:C13"/>
    <mergeCell ref="A18:K18"/>
    <mergeCell ref="A19:K19"/>
    <mergeCell ref="A32:K32"/>
    <mergeCell ref="A33:K33"/>
    <mergeCell ref="A43:C43"/>
    <mergeCell ref="A51:K51"/>
    <mergeCell ref="A52:K52"/>
    <mergeCell ref="A64:C64"/>
    <mergeCell ref="A69:K69"/>
    <mergeCell ref="A70:K70"/>
    <mergeCell ref="A82:C82"/>
    <mergeCell ref="A85:K85"/>
    <mergeCell ref="A86:K86"/>
    <mergeCell ref="A98:C98"/>
    <mergeCell ref="A103:M103"/>
    <mergeCell ref="A104:M104"/>
    <mergeCell ref="A118:C118"/>
    <mergeCell ref="A121:J121"/>
    <mergeCell ref="A122:J122"/>
    <mergeCell ref="A134:C134"/>
    <mergeCell ref="A137:J137"/>
    <mergeCell ref="A138:J138"/>
    <mergeCell ref="A149:C149"/>
    <mergeCell ref="A153:M153"/>
    <mergeCell ref="A154:M154"/>
    <mergeCell ref="A166:C166"/>
    <mergeCell ref="A171:L171"/>
    <mergeCell ref="A172:L172"/>
    <mergeCell ref="A181:C181"/>
    <mergeCell ref="A188:L188"/>
    <mergeCell ref="A189:L189"/>
    <mergeCell ref="A190:L190"/>
    <mergeCell ref="A193:I193"/>
    <mergeCell ref="A194:I194"/>
    <mergeCell ref="A202:C202"/>
    <mergeCell ref="A209:I209"/>
    <mergeCell ref="A210:I210"/>
    <mergeCell ref="A211:I211"/>
    <mergeCell ref="A214:L214"/>
    <mergeCell ref="A215:L215"/>
    <mergeCell ref="A219:C219"/>
    <mergeCell ref="A226:L226"/>
    <mergeCell ref="A227:L227"/>
    <mergeCell ref="A228:L228"/>
    <mergeCell ref="A231:I231"/>
    <mergeCell ref="A232:I232"/>
    <mergeCell ref="A241:C241"/>
    <mergeCell ref="A248:I248"/>
    <mergeCell ref="A249:I249"/>
    <mergeCell ref="A250:I250"/>
    <mergeCell ref="A259:K259"/>
    <mergeCell ref="A260:K260"/>
    <mergeCell ref="A271:C271"/>
    <mergeCell ref="A278:I278"/>
    <mergeCell ref="A279:I279"/>
    <mergeCell ref="A280:I280"/>
    <mergeCell ref="A282:I282"/>
    <mergeCell ref="A283:I283"/>
    <mergeCell ref="A293:C293"/>
    <mergeCell ref="A300:I300"/>
    <mergeCell ref="A301:I301"/>
    <mergeCell ref="A302:I302"/>
    <mergeCell ref="A305:I305"/>
    <mergeCell ref="A316:C316"/>
    <mergeCell ref="A323:I323"/>
    <mergeCell ref="A324:I324"/>
    <mergeCell ref="A325:I325"/>
    <mergeCell ref="B5:B8"/>
    <mergeCell ref="B9:B11"/>
    <mergeCell ref="B22:B25"/>
    <mergeCell ref="B26:B28"/>
    <mergeCell ref="B36:B39"/>
    <mergeCell ref="B40:B42"/>
    <mergeCell ref="B55:B59"/>
    <mergeCell ref="B60:B62"/>
    <mergeCell ref="B73:B76"/>
    <mergeCell ref="B77:B79"/>
    <mergeCell ref="B80:B81"/>
    <mergeCell ref="B89:B92"/>
    <mergeCell ref="B93:B95"/>
    <mergeCell ref="B96:B97"/>
    <mergeCell ref="B107:B110"/>
    <mergeCell ref="B111:B113"/>
    <mergeCell ref="B114:B115"/>
    <mergeCell ref="B125:B129"/>
    <mergeCell ref="B130:B131"/>
    <mergeCell ref="B141:B144"/>
    <mergeCell ref="B145:B146"/>
    <mergeCell ref="B157:B160"/>
    <mergeCell ref="B161:B162"/>
    <mergeCell ref="B175:B178"/>
    <mergeCell ref="B179:B180"/>
    <mergeCell ref="B197:B199"/>
    <mergeCell ref="B200:B201"/>
    <mergeCell ref="B235:B237"/>
    <mergeCell ref="B238:B239"/>
    <mergeCell ref="B263:B265"/>
    <mergeCell ref="B266:B268"/>
    <mergeCell ref="B269:B270"/>
    <mergeCell ref="B286:B288"/>
    <mergeCell ref="B289:B291"/>
    <mergeCell ref="B308:B311"/>
    <mergeCell ref="B312:B314"/>
  </mergeCells>
  <printOptions horizontalCentered="1"/>
  <pageMargins left="0.38125" right="0.200694444444444" top="0.786805555555556" bottom="0.751388888888889" header="0.298611111111111" footer="0.298611111111111"/>
  <pageSetup paperSize="9" scale="75" orientation="portrait" horizontalDpi="600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26"/>
  <sheetViews>
    <sheetView workbookViewId="0">
      <pane ySplit="2" topLeftCell="A3" activePane="bottomLeft" state="frozen"/>
      <selection/>
      <selection pane="bottomLeft" activeCell="C21" sqref="C21"/>
    </sheetView>
  </sheetViews>
  <sheetFormatPr defaultColWidth="9" defaultRowHeight="14.5"/>
  <cols>
    <col min="1" max="1" width="10" style="509" customWidth="1"/>
    <col min="2" max="2" width="17.6272727272727" style="507" customWidth="1"/>
    <col min="3" max="3" width="22.8727272727273" style="507" customWidth="1"/>
    <col min="4" max="4" width="14.6272727272727" style="507" customWidth="1"/>
    <col min="5" max="5" width="13.1272727272727" style="507" customWidth="1"/>
    <col min="6" max="6" width="12.3727272727273" style="557" customWidth="1"/>
    <col min="7" max="7" width="10.8727272727273" style="510" customWidth="1"/>
    <col min="8" max="8" width="14.7545454545455" style="510" customWidth="1"/>
    <col min="9" max="9" width="16.7545454545455" style="510" customWidth="1"/>
    <col min="10" max="10" width="12.6272727272727" style="512"/>
    <col min="11" max="11" width="14.7545454545455" style="511" customWidth="1"/>
    <col min="12" max="12" width="9" style="512"/>
    <col min="13" max="13" width="14.3727272727273" style="512" customWidth="1"/>
    <col min="14" max="14" width="13.3727272727273" style="512" customWidth="1"/>
    <col min="15" max="17" width="11.3727272727273" style="513"/>
    <col min="18" max="18" width="11.5" style="514"/>
    <col min="19" max="19" width="10.2545454545455" style="514"/>
    <col min="20" max="20" width="11.3727272727273" style="515"/>
    <col min="21" max="22" width="11.3727272727273" style="514"/>
    <col min="23" max="23" width="11.3727272727273" style="515"/>
    <col min="24" max="25" width="11.3727272727273" style="514"/>
    <col min="26" max="26" width="9" style="515"/>
    <col min="27" max="27" width="9" style="514"/>
    <col min="28" max="29" width="9" style="507"/>
    <col min="30" max="30" width="9" style="512"/>
    <col min="31" max="31" width="12" style="512" customWidth="1"/>
    <col min="32" max="32" width="11" style="516" customWidth="1"/>
    <col min="33" max="33" width="12.5" style="517" customWidth="1"/>
    <col min="34" max="34" width="11" style="510" customWidth="1"/>
    <col min="35" max="35" width="12.2545454545455" style="516" customWidth="1"/>
    <col min="36" max="36" width="16" style="517" customWidth="1"/>
    <col min="37" max="37" width="12.5" style="510" customWidth="1"/>
    <col min="38" max="38" width="12.1272727272727" style="516" customWidth="1"/>
    <col min="39" max="39" width="13.7545454545455" style="517" customWidth="1"/>
    <col min="40" max="16380" width="9" style="507"/>
  </cols>
  <sheetData>
    <row r="1" ht="27.95" customHeight="1" spans="1:27">
      <c r="A1" s="558" t="s">
        <v>170</v>
      </c>
      <c r="B1" s="559"/>
      <c r="C1" s="559"/>
      <c r="D1" s="559"/>
      <c r="E1" s="559"/>
      <c r="F1" s="559"/>
      <c r="G1" s="560"/>
      <c r="H1" s="560"/>
      <c r="J1" s="1"/>
      <c r="K1"/>
      <c r="L1"/>
      <c r="M1" s="1"/>
      <c r="N1" s="1"/>
      <c r="O1" s="541"/>
      <c r="P1" s="541"/>
      <c r="Q1" s="1"/>
      <c r="R1"/>
      <c r="S1"/>
      <c r="T1"/>
      <c r="U1"/>
      <c r="V1"/>
      <c r="W1"/>
      <c r="X1"/>
      <c r="Y1"/>
      <c r="Z1"/>
      <c r="AA1"/>
    </row>
    <row r="2" s="506" customFormat="1" ht="45" customHeight="1" spans="1:27">
      <c r="A2" s="520" t="s">
        <v>171</v>
      </c>
      <c r="B2" s="520" t="s">
        <v>172</v>
      </c>
      <c r="C2" s="520" t="s">
        <v>173</v>
      </c>
      <c r="D2" s="561" t="s">
        <v>174</v>
      </c>
      <c r="E2" s="561" t="s">
        <v>175</v>
      </c>
      <c r="F2" s="562" t="s">
        <v>176</v>
      </c>
      <c r="G2" s="522" t="s">
        <v>177</v>
      </c>
      <c r="H2" s="521" t="s">
        <v>178</v>
      </c>
      <c r="I2" s="522" t="s">
        <v>12</v>
      </c>
      <c r="J2" s="1"/>
      <c r="K2"/>
      <c r="L2"/>
      <c r="M2" s="1"/>
      <c r="N2" s="1"/>
      <c r="O2" s="541"/>
      <c r="P2" s="541"/>
      <c r="Q2" s="1"/>
      <c r="R2"/>
      <c r="S2"/>
      <c r="T2"/>
      <c r="U2"/>
      <c r="V2"/>
      <c r="W2"/>
      <c r="X2"/>
      <c r="Y2"/>
      <c r="Z2"/>
      <c r="AA2"/>
    </row>
    <row r="3" ht="21" hidden="1" customHeight="1" spans="1:27">
      <c r="A3" s="524" t="s">
        <v>114</v>
      </c>
      <c r="B3" s="526" t="s">
        <v>179</v>
      </c>
      <c r="C3" s="526" t="s">
        <v>39</v>
      </c>
      <c r="D3" s="526">
        <v>23</v>
      </c>
      <c r="E3" s="526">
        <v>-23622.32</v>
      </c>
      <c r="F3" s="581">
        <f>ROUND(E3/D3/10000,2)</f>
        <v>-0.1</v>
      </c>
      <c r="G3" s="582">
        <v>5000</v>
      </c>
      <c r="H3" s="540">
        <f>IF(F3&lt;50%,G3*20%,IF(F3&lt;80%,G3*10%,"0"))</f>
        <v>1000</v>
      </c>
      <c r="I3" s="585"/>
      <c r="J3" s="1">
        <f>3750/3</f>
        <v>1250</v>
      </c>
      <c r="K3"/>
      <c r="L3"/>
      <c r="M3" s="1"/>
      <c r="N3" s="1"/>
      <c r="O3" s="541"/>
      <c r="P3" s="541"/>
      <c r="Q3" s="1"/>
      <c r="R3"/>
      <c r="S3"/>
      <c r="T3"/>
      <c r="U3"/>
      <c r="V3"/>
      <c r="W3"/>
      <c r="X3"/>
      <c r="Y3"/>
      <c r="Z3"/>
      <c r="AA3"/>
    </row>
    <row r="4" ht="21" hidden="1" customHeight="1" spans="1:27">
      <c r="A4" s="524" t="s">
        <v>114</v>
      </c>
      <c r="B4" s="526" t="s">
        <v>180</v>
      </c>
      <c r="C4" s="526" t="s">
        <v>39</v>
      </c>
      <c r="D4" s="526">
        <v>39</v>
      </c>
      <c r="E4" s="526">
        <v>209882.35</v>
      </c>
      <c r="F4" s="581">
        <f>ROUND(E4/D4/10000,2)</f>
        <v>0.54</v>
      </c>
      <c r="G4" s="582">
        <v>2500</v>
      </c>
      <c r="H4" s="540">
        <f t="shared" ref="H4:H20" si="0">IF(F4&lt;50%,G4*20%,IF(F4&lt;80%,G4*10%,"0"))</f>
        <v>250</v>
      </c>
      <c r="I4" s="585"/>
      <c r="K4"/>
      <c r="L4"/>
      <c r="M4" s="1"/>
      <c r="N4" s="1"/>
      <c r="O4" s="541"/>
      <c r="P4" s="541"/>
      <c r="Q4" s="1"/>
      <c r="R4"/>
      <c r="S4"/>
      <c r="T4"/>
      <c r="U4"/>
      <c r="V4"/>
      <c r="W4"/>
      <c r="X4"/>
      <c r="Y4"/>
      <c r="Z4"/>
      <c r="AA4"/>
    </row>
    <row r="5" ht="21" hidden="1" customHeight="1" spans="1:27">
      <c r="A5" s="524" t="s">
        <v>114</v>
      </c>
      <c r="B5" s="526" t="s">
        <v>181</v>
      </c>
      <c r="C5" s="526" t="s">
        <v>182</v>
      </c>
      <c r="D5" s="526">
        <v>78</v>
      </c>
      <c r="E5" s="526">
        <v>490284.88</v>
      </c>
      <c r="F5" s="581">
        <f t="shared" ref="F5:F17" si="1">ROUND(E5/D5/10000,2)</f>
        <v>0.63</v>
      </c>
      <c r="G5" s="582">
        <v>7000</v>
      </c>
      <c r="H5" s="540">
        <f t="shared" si="0"/>
        <v>700</v>
      </c>
      <c r="I5" s="585"/>
      <c r="J5" s="1">
        <f>ROUND(2800/3,0)</f>
        <v>933</v>
      </c>
      <c r="K5"/>
      <c r="L5"/>
      <c r="M5" s="1"/>
      <c r="N5" s="1"/>
      <c r="O5" s="541"/>
      <c r="P5" s="541"/>
      <c r="Q5" s="1"/>
      <c r="R5"/>
      <c r="S5"/>
      <c r="T5"/>
      <c r="U5"/>
      <c r="V5"/>
      <c r="W5"/>
      <c r="X5"/>
      <c r="Y5"/>
      <c r="Z5"/>
      <c r="AA5"/>
    </row>
    <row r="6" ht="21" hidden="1" customHeight="1" spans="1:10">
      <c r="A6" s="524" t="s">
        <v>114</v>
      </c>
      <c r="B6" s="526" t="s">
        <v>183</v>
      </c>
      <c r="C6" s="526" t="s">
        <v>41</v>
      </c>
      <c r="D6" s="526">
        <v>100</v>
      </c>
      <c r="E6" s="526">
        <v>538874</v>
      </c>
      <c r="F6" s="581">
        <f t="shared" si="1"/>
        <v>0.54</v>
      </c>
      <c r="G6" s="540"/>
      <c r="H6" s="540">
        <f t="shared" si="0"/>
        <v>0</v>
      </c>
      <c r="I6" s="585" t="s">
        <v>184</v>
      </c>
      <c r="J6" s="1">
        <f>ROUND(2100/3,0)</f>
        <v>700</v>
      </c>
    </row>
    <row r="7" ht="21" hidden="1" customHeight="1" spans="1:10">
      <c r="A7" s="524" t="s">
        <v>114</v>
      </c>
      <c r="B7" s="526" t="s">
        <v>185</v>
      </c>
      <c r="C7" s="526" t="s">
        <v>40</v>
      </c>
      <c r="D7" s="526">
        <v>38</v>
      </c>
      <c r="E7" s="526">
        <v>170948.28</v>
      </c>
      <c r="F7" s="581">
        <f t="shared" si="1"/>
        <v>0.45</v>
      </c>
      <c r="G7" s="540">
        <v>7000</v>
      </c>
      <c r="H7" s="540">
        <f t="shared" si="0"/>
        <v>1400</v>
      </c>
      <c r="I7" s="585"/>
      <c r="J7" s="512">
        <f>4200/3</f>
        <v>1400</v>
      </c>
    </row>
    <row r="8" ht="21" hidden="1" customHeight="1" spans="1:9">
      <c r="A8" s="524" t="s">
        <v>115</v>
      </c>
      <c r="B8" s="526" t="s">
        <v>179</v>
      </c>
      <c r="C8" s="526" t="s">
        <v>39</v>
      </c>
      <c r="D8" s="526">
        <v>18</v>
      </c>
      <c r="E8" s="526">
        <v>16445</v>
      </c>
      <c r="F8" s="581">
        <f t="shared" si="1"/>
        <v>0.09</v>
      </c>
      <c r="G8" s="582">
        <v>5000</v>
      </c>
      <c r="H8" s="540">
        <f t="shared" si="0"/>
        <v>1000</v>
      </c>
      <c r="I8" s="585"/>
    </row>
    <row r="9" ht="21" hidden="1" customHeight="1" spans="1:9">
      <c r="A9" s="524" t="s">
        <v>115</v>
      </c>
      <c r="B9" s="526" t="s">
        <v>180</v>
      </c>
      <c r="C9" s="526" t="s">
        <v>39</v>
      </c>
      <c r="D9" s="526">
        <v>39</v>
      </c>
      <c r="E9" s="526">
        <v>0</v>
      </c>
      <c r="F9" s="581">
        <f t="shared" si="1"/>
        <v>0</v>
      </c>
      <c r="G9" s="582">
        <v>2500</v>
      </c>
      <c r="H9" s="540">
        <f t="shared" si="0"/>
        <v>500</v>
      </c>
      <c r="I9" s="585"/>
    </row>
    <row r="10" ht="21" hidden="1" customHeight="1" spans="1:9">
      <c r="A10" s="524" t="s">
        <v>115</v>
      </c>
      <c r="B10" s="526" t="s">
        <v>181</v>
      </c>
      <c r="C10" s="526" t="s">
        <v>182</v>
      </c>
      <c r="D10" s="526">
        <v>63</v>
      </c>
      <c r="E10" s="526">
        <v>246890</v>
      </c>
      <c r="F10" s="581">
        <f t="shared" si="1"/>
        <v>0.39</v>
      </c>
      <c r="G10" s="582">
        <v>7000</v>
      </c>
      <c r="H10" s="540">
        <f t="shared" si="0"/>
        <v>1400</v>
      </c>
      <c r="I10" s="585"/>
    </row>
    <row r="11" ht="21" hidden="1" customHeight="1" spans="1:9">
      <c r="A11" s="524" t="s">
        <v>115</v>
      </c>
      <c r="B11" s="526" t="s">
        <v>183</v>
      </c>
      <c r="C11" s="526" t="s">
        <v>41</v>
      </c>
      <c r="D11" s="526">
        <v>80</v>
      </c>
      <c r="E11" s="526">
        <v>251248</v>
      </c>
      <c r="F11" s="581">
        <f t="shared" si="1"/>
        <v>0.31</v>
      </c>
      <c r="G11" s="540">
        <v>7000</v>
      </c>
      <c r="H11" s="540">
        <f t="shared" si="0"/>
        <v>1400</v>
      </c>
      <c r="I11" s="585"/>
    </row>
    <row r="12" ht="21" hidden="1" customHeight="1" spans="1:9">
      <c r="A12" s="524" t="s">
        <v>115</v>
      </c>
      <c r="B12" s="526" t="s">
        <v>185</v>
      </c>
      <c r="C12" s="526" t="s">
        <v>40</v>
      </c>
      <c r="D12" s="526">
        <v>29</v>
      </c>
      <c r="E12" s="526">
        <v>10342</v>
      </c>
      <c r="F12" s="581">
        <f t="shared" si="1"/>
        <v>0.04</v>
      </c>
      <c r="G12" s="540">
        <v>7000</v>
      </c>
      <c r="H12" s="540">
        <f t="shared" si="0"/>
        <v>1400</v>
      </c>
      <c r="I12" s="585"/>
    </row>
    <row r="13" ht="21" hidden="1" customHeight="1" spans="1:9">
      <c r="A13" s="524" t="s">
        <v>116</v>
      </c>
      <c r="B13" s="526" t="s">
        <v>179</v>
      </c>
      <c r="C13" s="526" t="s">
        <v>39</v>
      </c>
      <c r="D13" s="526">
        <v>34</v>
      </c>
      <c r="E13" s="526">
        <v>40800</v>
      </c>
      <c r="F13" s="581">
        <f t="shared" si="1"/>
        <v>0.12</v>
      </c>
      <c r="G13" s="582">
        <v>5000</v>
      </c>
      <c r="H13" s="540">
        <f t="shared" si="0"/>
        <v>1000</v>
      </c>
      <c r="I13" s="585"/>
    </row>
    <row r="14" ht="21" hidden="1" customHeight="1" spans="1:9">
      <c r="A14" s="524" t="s">
        <v>116</v>
      </c>
      <c r="B14" s="526" t="s">
        <v>180</v>
      </c>
      <c r="C14" s="526" t="s">
        <v>39</v>
      </c>
      <c r="D14" s="526">
        <v>63</v>
      </c>
      <c r="E14" s="526">
        <v>638942.87</v>
      </c>
      <c r="F14" s="581">
        <f t="shared" si="1"/>
        <v>1.01</v>
      </c>
      <c r="G14" s="582">
        <v>2500</v>
      </c>
      <c r="H14" s="540" t="str">
        <f t="shared" si="0"/>
        <v>0</v>
      </c>
      <c r="I14" s="585"/>
    </row>
    <row r="15" ht="21" hidden="1" customHeight="1" spans="1:9">
      <c r="A15" s="524" t="s">
        <v>116</v>
      </c>
      <c r="B15" s="526" t="s">
        <v>181</v>
      </c>
      <c r="C15" s="526" t="s">
        <v>182</v>
      </c>
      <c r="D15" s="526">
        <v>83</v>
      </c>
      <c r="E15" s="526">
        <v>471978</v>
      </c>
      <c r="F15" s="581">
        <f t="shared" si="1"/>
        <v>0.57</v>
      </c>
      <c r="G15" s="582">
        <v>7000</v>
      </c>
      <c r="H15" s="540">
        <f t="shared" si="0"/>
        <v>700</v>
      </c>
      <c r="I15" s="585"/>
    </row>
    <row r="16" ht="21" hidden="1" customHeight="1" spans="1:9">
      <c r="A16" s="524" t="s">
        <v>116</v>
      </c>
      <c r="B16" s="526" t="s">
        <v>183</v>
      </c>
      <c r="C16" s="526" t="s">
        <v>41</v>
      </c>
      <c r="D16" s="526">
        <v>115</v>
      </c>
      <c r="E16" s="526">
        <v>769723</v>
      </c>
      <c r="F16" s="581">
        <f t="shared" si="1"/>
        <v>0.67</v>
      </c>
      <c r="G16" s="540">
        <v>7000</v>
      </c>
      <c r="H16" s="540">
        <f t="shared" si="0"/>
        <v>700</v>
      </c>
      <c r="I16" s="585"/>
    </row>
    <row r="17" ht="21" hidden="1" customHeight="1" spans="1:9">
      <c r="A17" s="524" t="s">
        <v>116</v>
      </c>
      <c r="B17" s="526" t="s">
        <v>185</v>
      </c>
      <c r="C17" s="526" t="s">
        <v>40</v>
      </c>
      <c r="D17" s="526">
        <v>38</v>
      </c>
      <c r="E17" s="526">
        <v>152373.6</v>
      </c>
      <c r="F17" s="581">
        <f t="shared" si="1"/>
        <v>0.4</v>
      </c>
      <c r="G17" s="540">
        <v>7000</v>
      </c>
      <c r="H17" s="540">
        <f t="shared" si="0"/>
        <v>1400</v>
      </c>
      <c r="I17" s="585"/>
    </row>
    <row r="18" s="507" customFormat="1" ht="21" customHeight="1" spans="1:39">
      <c r="A18" s="524" t="s">
        <v>35</v>
      </c>
      <c r="B18" s="526" t="s">
        <v>180</v>
      </c>
      <c r="C18" s="526" t="s">
        <v>39</v>
      </c>
      <c r="D18" s="526">
        <v>99</v>
      </c>
      <c r="E18" s="526">
        <v>680548.5</v>
      </c>
      <c r="F18" s="581">
        <v>0.687422727272727</v>
      </c>
      <c r="G18" s="540">
        <v>7000</v>
      </c>
      <c r="H18" s="540">
        <f t="shared" si="0"/>
        <v>700</v>
      </c>
      <c r="I18" s="575"/>
      <c r="J18" s="512"/>
      <c r="K18" s="511"/>
      <c r="L18" s="512"/>
      <c r="M18" s="512"/>
      <c r="N18" s="512"/>
      <c r="O18" s="513"/>
      <c r="P18" s="513"/>
      <c r="Q18" s="513"/>
      <c r="R18" s="514"/>
      <c r="S18" s="514"/>
      <c r="T18" s="515"/>
      <c r="U18" s="514"/>
      <c r="V18" s="514"/>
      <c r="W18" s="515"/>
      <c r="X18" s="514"/>
      <c r="Y18" s="514"/>
      <c r="Z18" s="515"/>
      <c r="AA18" s="514"/>
      <c r="AD18" s="512"/>
      <c r="AE18" s="512"/>
      <c r="AF18" s="516"/>
      <c r="AG18" s="517"/>
      <c r="AH18" s="510"/>
      <c r="AI18" s="516"/>
      <c r="AJ18" s="517"/>
      <c r="AK18" s="510"/>
      <c r="AL18" s="516"/>
      <c r="AM18" s="517"/>
    </row>
    <row r="19" s="507" customFormat="1" ht="21" customHeight="1" spans="1:39">
      <c r="A19" s="524" t="s">
        <v>35</v>
      </c>
      <c r="B19" s="526" t="s">
        <v>183</v>
      </c>
      <c r="C19" s="526" t="s">
        <v>41</v>
      </c>
      <c r="D19" s="526">
        <v>126</v>
      </c>
      <c r="E19" s="526">
        <v>814660</v>
      </c>
      <c r="F19" s="581">
        <v>0.646555555555556</v>
      </c>
      <c r="G19" s="540">
        <v>7000</v>
      </c>
      <c r="H19" s="540">
        <f t="shared" si="0"/>
        <v>700</v>
      </c>
      <c r="I19" s="575"/>
      <c r="J19" s="512"/>
      <c r="K19" s="511"/>
      <c r="L19" s="512"/>
      <c r="M19" s="512"/>
      <c r="N19" s="512"/>
      <c r="O19" s="513"/>
      <c r="P19" s="513"/>
      <c r="Q19" s="513"/>
      <c r="R19" s="514"/>
      <c r="S19" s="514"/>
      <c r="T19" s="515"/>
      <c r="U19" s="514"/>
      <c r="V19" s="514"/>
      <c r="W19" s="515"/>
      <c r="X19" s="514"/>
      <c r="Y19" s="514"/>
      <c r="Z19" s="515"/>
      <c r="AA19" s="514"/>
      <c r="AD19" s="512"/>
      <c r="AE19" s="512"/>
      <c r="AF19" s="516"/>
      <c r="AG19" s="517"/>
      <c r="AH19" s="510"/>
      <c r="AI19" s="516"/>
      <c r="AJ19" s="517"/>
      <c r="AK19" s="510"/>
      <c r="AL19" s="516"/>
      <c r="AM19" s="517"/>
    </row>
    <row r="20" s="507" customFormat="1" ht="21" customHeight="1" spans="1:39">
      <c r="A20" s="524" t="s">
        <v>35</v>
      </c>
      <c r="B20" s="526" t="s">
        <v>185</v>
      </c>
      <c r="C20" s="526" t="s">
        <v>40</v>
      </c>
      <c r="D20" s="526">
        <v>48</v>
      </c>
      <c r="E20" s="526">
        <v>351710.45</v>
      </c>
      <c r="F20" s="581">
        <v>0.732730104166667</v>
      </c>
      <c r="G20" s="540">
        <v>7000</v>
      </c>
      <c r="H20" s="540">
        <f t="shared" si="0"/>
        <v>700</v>
      </c>
      <c r="I20" s="575"/>
      <c r="J20" s="512"/>
      <c r="K20" s="511"/>
      <c r="L20" s="512"/>
      <c r="M20" s="512"/>
      <c r="N20" s="512"/>
      <c r="O20" s="513"/>
      <c r="P20" s="513"/>
      <c r="Q20" s="513"/>
      <c r="R20" s="514"/>
      <c r="S20" s="514"/>
      <c r="T20" s="515"/>
      <c r="U20" s="514"/>
      <c r="V20" s="514"/>
      <c r="W20" s="515"/>
      <c r="X20" s="514"/>
      <c r="Y20" s="514"/>
      <c r="Z20" s="515"/>
      <c r="AA20" s="514"/>
      <c r="AD20" s="512"/>
      <c r="AE20" s="512"/>
      <c r="AF20" s="516"/>
      <c r="AG20" s="517"/>
      <c r="AH20" s="510"/>
      <c r="AI20" s="516"/>
      <c r="AJ20" s="517"/>
      <c r="AK20" s="510"/>
      <c r="AL20" s="516"/>
      <c r="AM20" s="517"/>
    </row>
    <row r="21" s="507" customFormat="1" ht="21" customHeight="1" spans="1:39">
      <c r="A21" s="524" t="s">
        <v>35</v>
      </c>
      <c r="B21" s="526" t="s">
        <v>179</v>
      </c>
      <c r="C21" s="526" t="s">
        <v>54</v>
      </c>
      <c r="D21" s="526">
        <v>39</v>
      </c>
      <c r="E21" s="526">
        <v>309190.52</v>
      </c>
      <c r="F21" s="581">
        <v>0.792796205128205</v>
      </c>
      <c r="G21" s="536"/>
      <c r="H21" s="540"/>
      <c r="I21" s="575"/>
      <c r="J21" s="512"/>
      <c r="K21" s="511"/>
      <c r="L21" s="512"/>
      <c r="M21" s="512"/>
      <c r="N21" s="512"/>
      <c r="O21" s="513"/>
      <c r="P21" s="513"/>
      <c r="Q21" s="513"/>
      <c r="R21" s="514"/>
      <c r="S21" s="514"/>
      <c r="T21" s="515"/>
      <c r="U21" s="514"/>
      <c r="V21" s="514"/>
      <c r="W21" s="515"/>
      <c r="X21" s="514"/>
      <c r="Y21" s="514"/>
      <c r="Z21" s="515"/>
      <c r="AA21" s="514"/>
      <c r="AD21" s="512"/>
      <c r="AE21" s="512"/>
      <c r="AF21" s="516"/>
      <c r="AG21" s="517"/>
      <c r="AH21" s="510"/>
      <c r="AI21" s="516"/>
      <c r="AJ21" s="517"/>
      <c r="AK21" s="510"/>
      <c r="AL21" s="516"/>
      <c r="AM21" s="517"/>
    </row>
    <row r="22" s="507" customFormat="1" ht="21" customHeight="1" spans="1:39">
      <c r="A22" s="524" t="s">
        <v>35</v>
      </c>
      <c r="B22" s="526" t="s">
        <v>181</v>
      </c>
      <c r="C22" s="526"/>
      <c r="D22" s="526">
        <v>110</v>
      </c>
      <c r="E22" s="526">
        <v>419373</v>
      </c>
      <c r="F22" s="581">
        <v>0.381248181818182</v>
      </c>
      <c r="G22" s="540"/>
      <c r="H22" s="540"/>
      <c r="I22" s="575"/>
      <c r="J22" s="512"/>
      <c r="K22" s="511"/>
      <c r="L22" s="512"/>
      <c r="M22" s="512"/>
      <c r="N22" s="512"/>
      <c r="O22" s="513"/>
      <c r="P22" s="513"/>
      <c r="Q22" s="513"/>
      <c r="R22" s="514"/>
      <c r="S22" s="514"/>
      <c r="T22" s="515"/>
      <c r="U22" s="514"/>
      <c r="V22" s="514"/>
      <c r="W22" s="515"/>
      <c r="X22" s="514"/>
      <c r="Y22" s="514"/>
      <c r="Z22" s="515"/>
      <c r="AA22" s="514"/>
      <c r="AD22" s="512"/>
      <c r="AE22" s="512"/>
      <c r="AF22" s="516"/>
      <c r="AG22" s="517"/>
      <c r="AH22" s="510"/>
      <c r="AI22" s="516"/>
      <c r="AJ22" s="517"/>
      <c r="AK22" s="510"/>
      <c r="AL22" s="516"/>
      <c r="AM22" s="517"/>
    </row>
    <row r="23" s="556" customFormat="1" ht="20.1" customHeight="1" spans="1:39">
      <c r="A23" s="566" t="s">
        <v>186</v>
      </c>
      <c r="B23" s="567"/>
      <c r="C23" s="567"/>
      <c r="D23" s="567"/>
      <c r="E23" s="567"/>
      <c r="F23" s="567"/>
      <c r="G23" s="567"/>
      <c r="H23" s="567"/>
      <c r="I23" s="567"/>
      <c r="J23" s="576"/>
      <c r="K23" s="567"/>
      <c r="O23" s="577"/>
      <c r="P23" s="577"/>
      <c r="Q23" s="577"/>
      <c r="T23" s="577"/>
      <c r="W23" s="577"/>
      <c r="Z23" s="577"/>
      <c r="AF23" s="578"/>
      <c r="AG23" s="579"/>
      <c r="AH23" s="580"/>
      <c r="AI23" s="578"/>
      <c r="AJ23" s="579"/>
      <c r="AK23" s="580"/>
      <c r="AL23" s="578"/>
      <c r="AM23" s="579"/>
    </row>
    <row r="24" s="556" customFormat="1" ht="27" customHeight="1" spans="1:39">
      <c r="A24" s="566" t="s">
        <v>127</v>
      </c>
      <c r="B24" s="567"/>
      <c r="C24" s="567"/>
      <c r="D24" s="567"/>
      <c r="E24" s="567"/>
      <c r="F24" s="567"/>
      <c r="G24" s="567"/>
      <c r="H24" s="567"/>
      <c r="I24" s="567"/>
      <c r="J24" s="576"/>
      <c r="K24" s="567"/>
      <c r="O24" s="577"/>
      <c r="P24" s="577"/>
      <c r="Q24" s="577"/>
      <c r="T24" s="577"/>
      <c r="W24" s="577"/>
      <c r="Z24" s="577"/>
      <c r="AF24" s="578"/>
      <c r="AG24" s="579"/>
      <c r="AH24" s="580"/>
      <c r="AI24" s="578"/>
      <c r="AJ24" s="579"/>
      <c r="AK24" s="580"/>
      <c r="AL24" s="578"/>
      <c r="AM24" s="579"/>
    </row>
    <row r="25" s="556" customFormat="1" ht="27" customHeight="1" spans="1:39">
      <c r="A25" s="583" t="s">
        <v>128</v>
      </c>
      <c r="B25" s="584"/>
      <c r="C25" s="584"/>
      <c r="D25" s="584"/>
      <c r="E25" s="584"/>
      <c r="F25" s="584"/>
      <c r="G25" s="584"/>
      <c r="H25" s="584"/>
      <c r="I25" s="584"/>
      <c r="J25" s="576"/>
      <c r="K25" s="567"/>
      <c r="O25" s="577"/>
      <c r="P25" s="577"/>
      <c r="Q25" s="577"/>
      <c r="T25" s="577"/>
      <c r="W25" s="577"/>
      <c r="Z25" s="577"/>
      <c r="AF25" s="578"/>
      <c r="AG25" s="579"/>
      <c r="AH25" s="580"/>
      <c r="AI25" s="578"/>
      <c r="AJ25" s="579"/>
      <c r="AK25" s="580"/>
      <c r="AL25" s="578"/>
      <c r="AM25" s="579"/>
    </row>
    <row r="26" s="556" customFormat="1" ht="16.5" spans="6:39">
      <c r="F26" s="577"/>
      <c r="G26" s="580"/>
      <c r="H26" s="580"/>
      <c r="I26" s="580"/>
      <c r="J26" s="576"/>
      <c r="K26" s="567"/>
      <c r="O26" s="577"/>
      <c r="P26" s="577"/>
      <c r="Q26" s="577"/>
      <c r="T26" s="577"/>
      <c r="W26" s="577"/>
      <c r="Z26" s="577"/>
      <c r="AF26" s="578"/>
      <c r="AG26" s="579"/>
      <c r="AH26" s="580"/>
      <c r="AI26" s="578"/>
      <c r="AJ26" s="579"/>
      <c r="AK26" s="580"/>
      <c r="AL26" s="578"/>
      <c r="AM26" s="579"/>
    </row>
  </sheetData>
  <mergeCells count="3">
    <mergeCell ref="A23:I23"/>
    <mergeCell ref="A24:I24"/>
    <mergeCell ref="A25:I25"/>
  </mergeCells>
  <pageMargins left="0" right="0" top="1" bottom="1" header="0.5" footer="0.5"/>
  <pageSetup paperSize="9" scale="72" orientation="portrait"/>
  <headerFooter/>
  <colBreaks count="1" manualBreakCount="1">
    <brk id="11" max="1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P24"/>
  <sheetViews>
    <sheetView workbookViewId="0">
      <pane ySplit="3" topLeftCell="A4" activePane="bottomLeft" state="frozen"/>
      <selection/>
      <selection pane="bottomLeft" activeCell="A22" sqref="$A22:$XFD24"/>
    </sheetView>
  </sheetViews>
  <sheetFormatPr defaultColWidth="9" defaultRowHeight="14.5"/>
  <cols>
    <col min="1" max="1" width="10" style="509" customWidth="1"/>
    <col min="2" max="2" width="10.7272727272727" style="507" customWidth="1"/>
    <col min="3" max="3" width="7.90909090909091" style="507" customWidth="1"/>
    <col min="4" max="4" width="8.81818181818182" style="507" customWidth="1"/>
    <col min="5" max="5" width="13.1272727272727" style="507" customWidth="1"/>
    <col min="6" max="6" width="9.09090909090909" style="557" customWidth="1"/>
    <col min="7" max="7" width="10.8727272727273" style="510" customWidth="1"/>
    <col min="8" max="8" width="9.72727272727273" style="510" customWidth="1"/>
    <col min="9" max="10" width="9.36363636363636" style="510" customWidth="1"/>
    <col min="11" max="11" width="14.7545454545455" style="510" customWidth="1"/>
    <col min="12" max="12" width="26.5454545454545" style="510" customWidth="1"/>
    <col min="13" max="13" width="14" style="512"/>
    <col min="14" max="14" width="14.7545454545455" style="511" customWidth="1"/>
    <col min="15" max="15" width="9" style="512"/>
    <col min="16" max="16" width="14.3727272727273" style="512" customWidth="1"/>
    <col min="17" max="17" width="13.3727272727273" style="512" customWidth="1"/>
    <col min="18" max="20" width="11.3727272727273" style="513"/>
    <col min="21" max="21" width="11.5" style="514"/>
    <col min="22" max="22" width="10.2545454545455" style="514"/>
    <col min="23" max="23" width="11.3727272727273" style="515"/>
    <col min="24" max="25" width="11.3727272727273" style="514"/>
    <col min="26" max="26" width="11.3727272727273" style="515"/>
    <col min="27" max="28" width="11.3727272727273" style="514"/>
    <col min="29" max="29" width="9" style="515"/>
    <col min="30" max="30" width="9" style="514"/>
    <col min="31" max="32" width="9" style="507"/>
    <col min="33" max="33" width="9" style="512"/>
    <col min="34" max="34" width="12" style="512" customWidth="1"/>
    <col min="35" max="35" width="11" style="516" customWidth="1"/>
    <col min="36" max="36" width="12.5" style="517" customWidth="1"/>
    <col min="37" max="37" width="11" style="510" customWidth="1"/>
    <col min="38" max="38" width="12.2545454545455" style="516" customWidth="1"/>
    <col min="39" max="39" width="16" style="517" customWidth="1"/>
    <col min="40" max="40" width="12.5" style="510" customWidth="1"/>
    <col min="41" max="41" width="12.1272727272727" style="516" customWidth="1"/>
    <col min="42" max="42" width="13.7545454545455" style="517" customWidth="1"/>
    <col min="43" max="16383" width="9" style="507"/>
  </cols>
  <sheetData>
    <row r="1" ht="27.95" customHeight="1" spans="1:30">
      <c r="A1" s="558" t="s">
        <v>187</v>
      </c>
      <c r="B1" s="559"/>
      <c r="C1" s="559"/>
      <c r="D1" s="559"/>
      <c r="E1" s="559"/>
      <c r="F1" s="559"/>
      <c r="G1" s="560"/>
      <c r="H1" s="560"/>
      <c r="I1" s="560"/>
      <c r="J1" s="560"/>
      <c r="K1" s="560"/>
      <c r="M1" s="1"/>
      <c r="N1"/>
      <c r="O1"/>
      <c r="P1" s="1"/>
      <c r="Q1" s="1"/>
      <c r="R1" s="541"/>
      <c r="S1" s="541"/>
      <c r="T1" s="1"/>
      <c r="U1"/>
      <c r="V1"/>
      <c r="W1"/>
      <c r="X1"/>
      <c r="Y1"/>
      <c r="Z1"/>
      <c r="AA1"/>
      <c r="AB1"/>
      <c r="AC1"/>
      <c r="AD1"/>
    </row>
    <row r="2" customFormat="1" ht="32" customHeight="1" spans="1:20">
      <c r="A2" s="520" t="s">
        <v>171</v>
      </c>
      <c r="B2" s="520" t="s">
        <v>172</v>
      </c>
      <c r="C2" s="520" t="s">
        <v>173</v>
      </c>
      <c r="D2" s="561" t="s">
        <v>174</v>
      </c>
      <c r="E2" s="561" t="s">
        <v>175</v>
      </c>
      <c r="F2" s="562" t="s">
        <v>176</v>
      </c>
      <c r="G2" s="522" t="s">
        <v>188</v>
      </c>
      <c r="H2" s="522" t="s">
        <v>189</v>
      </c>
      <c r="I2" s="522"/>
      <c r="J2" s="568" t="s">
        <v>190</v>
      </c>
      <c r="K2" s="521" t="s">
        <v>191</v>
      </c>
      <c r="L2" s="569" t="s">
        <v>12</v>
      </c>
      <c r="M2" s="570" t="s">
        <v>192</v>
      </c>
      <c r="P2" s="1"/>
      <c r="Q2" s="1"/>
      <c r="R2" s="541"/>
      <c r="S2" s="541"/>
      <c r="T2" s="1"/>
    </row>
    <row r="3" s="506" customFormat="1" ht="18" customHeight="1" spans="1:30">
      <c r="A3" s="520"/>
      <c r="B3" s="520"/>
      <c r="C3" s="520"/>
      <c r="D3" s="561"/>
      <c r="E3" s="561"/>
      <c r="F3" s="562"/>
      <c r="G3" s="522"/>
      <c r="H3" s="521" t="s">
        <v>193</v>
      </c>
      <c r="I3" s="521" t="s">
        <v>119</v>
      </c>
      <c r="J3" s="571"/>
      <c r="K3" s="521"/>
      <c r="L3" s="569"/>
      <c r="M3" s="570"/>
      <c r="N3"/>
      <c r="O3"/>
      <c r="P3" s="1"/>
      <c r="Q3" s="1"/>
      <c r="R3" s="541"/>
      <c r="S3" s="541"/>
      <c r="T3" s="1"/>
      <c r="U3"/>
      <c r="V3"/>
      <c r="W3"/>
      <c r="X3"/>
      <c r="Y3"/>
      <c r="Z3"/>
      <c r="AA3"/>
      <c r="AB3"/>
      <c r="AC3"/>
      <c r="AD3"/>
    </row>
    <row r="4" s="507" customFormat="1" ht="26" customHeight="1" spans="1:42">
      <c r="A4" s="524">
        <v>1</v>
      </c>
      <c r="B4" s="526" t="s">
        <v>179</v>
      </c>
      <c r="C4" s="526" t="s">
        <v>54</v>
      </c>
      <c r="D4" s="526"/>
      <c r="E4" s="563"/>
      <c r="F4" s="564" t="e">
        <f t="shared" ref="F4:F10" si="0">E4/D4/10000</f>
        <v>#DIV/0!</v>
      </c>
      <c r="G4" s="540">
        <v>6500</v>
      </c>
      <c r="H4" s="536"/>
      <c r="I4" s="531">
        <f t="shared" ref="I4:I15" si="1">800*(1-M4)</f>
        <v>640</v>
      </c>
      <c r="J4" s="572"/>
      <c r="K4" s="527">
        <f t="shared" ref="K4:K15" si="2">H4+I4-J4</f>
        <v>640</v>
      </c>
      <c r="L4" s="573" t="s">
        <v>194</v>
      </c>
      <c r="M4" s="528">
        <f>3/15</f>
        <v>0.2</v>
      </c>
      <c r="N4" s="511"/>
      <c r="O4" s="512"/>
      <c r="P4" s="512"/>
      <c r="Q4" s="512"/>
      <c r="R4" s="513"/>
      <c r="S4" s="513"/>
      <c r="T4" s="513"/>
      <c r="U4" s="514"/>
      <c r="V4" s="514"/>
      <c r="W4" s="515"/>
      <c r="X4" s="514"/>
      <c r="Y4" s="514"/>
      <c r="Z4" s="515"/>
      <c r="AA4" s="514"/>
      <c r="AB4" s="514"/>
      <c r="AC4" s="515"/>
      <c r="AD4" s="514"/>
      <c r="AG4" s="512"/>
      <c r="AH4" s="512"/>
      <c r="AI4" s="516"/>
      <c r="AJ4" s="517"/>
      <c r="AK4" s="510"/>
      <c r="AL4" s="516"/>
      <c r="AM4" s="517"/>
      <c r="AN4" s="510"/>
      <c r="AO4" s="516"/>
      <c r="AP4" s="517"/>
    </row>
    <row r="5" s="507" customFormat="1" ht="26" customHeight="1" spans="1:42">
      <c r="A5" s="524">
        <v>1</v>
      </c>
      <c r="B5" s="526" t="s">
        <v>185</v>
      </c>
      <c r="C5" s="526" t="s">
        <v>40</v>
      </c>
      <c r="D5" s="526"/>
      <c r="E5" s="563"/>
      <c r="F5" s="564" t="e">
        <f t="shared" si="0"/>
        <v>#DIV/0!</v>
      </c>
      <c r="G5" s="540">
        <v>7000</v>
      </c>
      <c r="H5" s="536"/>
      <c r="I5" s="531">
        <f t="shared" si="1"/>
        <v>800</v>
      </c>
      <c r="J5" s="572"/>
      <c r="K5" s="527">
        <f t="shared" si="2"/>
        <v>800</v>
      </c>
      <c r="L5" s="574" t="s">
        <v>195</v>
      </c>
      <c r="M5" s="528">
        <f>0/6</f>
        <v>0</v>
      </c>
      <c r="N5" s="511"/>
      <c r="O5" s="512"/>
      <c r="P5" s="512"/>
      <c r="Q5" s="512"/>
      <c r="R5" s="513"/>
      <c r="S5" s="513"/>
      <c r="T5" s="513"/>
      <c r="U5" s="514"/>
      <c r="V5" s="514"/>
      <c r="W5" s="515"/>
      <c r="X5" s="514"/>
      <c r="Y5" s="514"/>
      <c r="Z5" s="515"/>
      <c r="AA5" s="514"/>
      <c r="AB5" s="514"/>
      <c r="AC5" s="515"/>
      <c r="AD5" s="514"/>
      <c r="AG5" s="512"/>
      <c r="AH5" s="512"/>
      <c r="AI5" s="516"/>
      <c r="AJ5" s="517"/>
      <c r="AK5" s="510"/>
      <c r="AL5" s="516"/>
      <c r="AM5" s="517"/>
      <c r="AN5" s="510"/>
      <c r="AO5" s="516"/>
      <c r="AP5" s="517"/>
    </row>
    <row r="6" s="507" customFormat="1" ht="26" customHeight="1" spans="1:42">
      <c r="A6" s="524">
        <v>1</v>
      </c>
      <c r="B6" s="51" t="s">
        <v>196</v>
      </c>
      <c r="C6" s="526" t="s">
        <v>39</v>
      </c>
      <c r="D6" s="526"/>
      <c r="E6" s="563"/>
      <c r="F6" s="564" t="e">
        <f t="shared" si="0"/>
        <v>#DIV/0!</v>
      </c>
      <c r="G6" s="540">
        <v>7000</v>
      </c>
      <c r="H6" s="536"/>
      <c r="I6" s="531">
        <f t="shared" si="1"/>
        <v>746.666666666667</v>
      </c>
      <c r="J6" s="572"/>
      <c r="K6" s="527">
        <f t="shared" si="2"/>
        <v>746.666666666667</v>
      </c>
      <c r="L6" s="574" t="s">
        <v>197</v>
      </c>
      <c r="M6" s="528">
        <f>1/15</f>
        <v>0.0666666666666667</v>
      </c>
      <c r="N6" s="511"/>
      <c r="O6" s="512"/>
      <c r="P6" s="512"/>
      <c r="Q6" s="512"/>
      <c r="R6" s="513"/>
      <c r="S6" s="513"/>
      <c r="T6" s="513"/>
      <c r="U6" s="514"/>
      <c r="V6" s="514"/>
      <c r="W6" s="515"/>
      <c r="X6" s="514"/>
      <c r="Y6" s="514"/>
      <c r="Z6" s="515"/>
      <c r="AA6" s="514"/>
      <c r="AB6" s="514"/>
      <c r="AC6" s="515"/>
      <c r="AD6" s="514"/>
      <c r="AG6" s="512"/>
      <c r="AH6" s="512"/>
      <c r="AI6" s="516"/>
      <c r="AJ6" s="517"/>
      <c r="AK6" s="510"/>
      <c r="AL6" s="516"/>
      <c r="AM6" s="517"/>
      <c r="AN6" s="510"/>
      <c r="AO6" s="516"/>
      <c r="AP6" s="517"/>
    </row>
    <row r="7" s="507" customFormat="1" ht="26" customHeight="1" spans="1:42">
      <c r="A7" s="524">
        <v>1</v>
      </c>
      <c r="B7" s="51" t="s">
        <v>198</v>
      </c>
      <c r="C7" s="526" t="s">
        <v>121</v>
      </c>
      <c r="D7" s="526"/>
      <c r="E7" s="563"/>
      <c r="F7" s="564"/>
      <c r="G7" s="540">
        <v>6000</v>
      </c>
      <c r="H7" s="536"/>
      <c r="I7" s="531">
        <f t="shared" si="1"/>
        <v>609.52380952381</v>
      </c>
      <c r="J7" s="572"/>
      <c r="K7" s="527">
        <f t="shared" si="2"/>
        <v>609.52380952381</v>
      </c>
      <c r="L7" s="574" t="s">
        <v>199</v>
      </c>
      <c r="M7" s="528">
        <f>5/21</f>
        <v>0.238095238095238</v>
      </c>
      <c r="N7" s="511"/>
      <c r="O7" s="512"/>
      <c r="P7" s="512"/>
      <c r="Q7" s="512"/>
      <c r="R7" s="513"/>
      <c r="S7" s="513"/>
      <c r="T7" s="513"/>
      <c r="U7" s="514"/>
      <c r="V7" s="514"/>
      <c r="W7" s="515"/>
      <c r="X7" s="514"/>
      <c r="Y7" s="514"/>
      <c r="Z7" s="515"/>
      <c r="AA7" s="514"/>
      <c r="AB7" s="514"/>
      <c r="AC7" s="515"/>
      <c r="AD7" s="514"/>
      <c r="AG7" s="512"/>
      <c r="AH7" s="512"/>
      <c r="AI7" s="516"/>
      <c r="AJ7" s="517"/>
      <c r="AK7" s="510"/>
      <c r="AL7" s="516"/>
      <c r="AM7" s="517"/>
      <c r="AN7" s="510"/>
      <c r="AO7" s="516"/>
      <c r="AP7" s="517"/>
    </row>
    <row r="8" s="507" customFormat="1" ht="26" customHeight="1" spans="1:42">
      <c r="A8" s="524">
        <v>2</v>
      </c>
      <c r="B8" s="526" t="s">
        <v>179</v>
      </c>
      <c r="C8" s="526" t="s">
        <v>54</v>
      </c>
      <c r="D8" s="526"/>
      <c r="E8" s="563"/>
      <c r="F8" s="564"/>
      <c r="G8" s="540">
        <v>7000</v>
      </c>
      <c r="H8" s="536"/>
      <c r="I8" s="531">
        <f t="shared" si="1"/>
        <v>693.333333333334</v>
      </c>
      <c r="J8" s="572"/>
      <c r="K8" s="527">
        <f t="shared" si="2"/>
        <v>693.333333333334</v>
      </c>
      <c r="L8" s="573" t="s">
        <v>200</v>
      </c>
      <c r="M8" s="528">
        <f t="shared" ref="M8:M12" si="3">2/15</f>
        <v>0.133333333333333</v>
      </c>
      <c r="N8" s="511"/>
      <c r="O8" s="512"/>
      <c r="P8" s="512"/>
      <c r="Q8" s="512"/>
      <c r="R8" s="513"/>
      <c r="S8" s="513"/>
      <c r="T8" s="513"/>
      <c r="U8" s="514"/>
      <c r="V8" s="514"/>
      <c r="W8" s="515"/>
      <c r="X8" s="514"/>
      <c r="Y8" s="514"/>
      <c r="Z8" s="515"/>
      <c r="AA8" s="514"/>
      <c r="AB8" s="514"/>
      <c r="AC8" s="515"/>
      <c r="AD8" s="514"/>
      <c r="AG8" s="512"/>
      <c r="AH8" s="512"/>
      <c r="AI8" s="516"/>
      <c r="AJ8" s="517"/>
      <c r="AK8" s="510"/>
      <c r="AL8" s="516"/>
      <c r="AM8" s="517"/>
      <c r="AN8" s="510"/>
      <c r="AO8" s="516"/>
      <c r="AP8" s="517"/>
    </row>
    <row r="9" s="507" customFormat="1" ht="26" customHeight="1" spans="1:42">
      <c r="A9" s="524">
        <v>2</v>
      </c>
      <c r="B9" s="526" t="s">
        <v>185</v>
      </c>
      <c r="C9" s="526" t="s">
        <v>40</v>
      </c>
      <c r="D9" s="526"/>
      <c r="E9" s="563"/>
      <c r="F9" s="564"/>
      <c r="G9" s="540">
        <v>7000</v>
      </c>
      <c r="H9" s="536"/>
      <c r="I9" s="531">
        <f t="shared" si="1"/>
        <v>666.666666666666</v>
      </c>
      <c r="J9" s="572"/>
      <c r="K9" s="527">
        <f t="shared" si="2"/>
        <v>666.666666666666</v>
      </c>
      <c r="L9" s="574" t="s">
        <v>201</v>
      </c>
      <c r="M9" s="528">
        <f>1/6</f>
        <v>0.166666666666667</v>
      </c>
      <c r="N9" s="511"/>
      <c r="O9" s="512"/>
      <c r="P9" s="512"/>
      <c r="Q9" s="512"/>
      <c r="R9" s="513"/>
      <c r="S9" s="513"/>
      <c r="T9" s="513"/>
      <c r="U9" s="514"/>
      <c r="V9" s="514"/>
      <c r="W9" s="515"/>
      <c r="X9" s="514"/>
      <c r="Y9" s="514"/>
      <c r="Z9" s="515"/>
      <c r="AA9" s="514"/>
      <c r="AB9" s="514"/>
      <c r="AC9" s="515"/>
      <c r="AD9" s="514"/>
      <c r="AG9" s="512"/>
      <c r="AH9" s="512"/>
      <c r="AI9" s="516"/>
      <c r="AJ9" s="517"/>
      <c r="AK9" s="510"/>
      <c r="AL9" s="516"/>
      <c r="AM9" s="517"/>
      <c r="AN9" s="510"/>
      <c r="AO9" s="516"/>
      <c r="AP9" s="517"/>
    </row>
    <row r="10" s="507" customFormat="1" ht="26" customHeight="1" spans="1:42">
      <c r="A10" s="524">
        <v>2</v>
      </c>
      <c r="B10" s="51" t="s">
        <v>196</v>
      </c>
      <c r="C10" s="526" t="s">
        <v>39</v>
      </c>
      <c r="D10" s="526"/>
      <c r="E10" s="563"/>
      <c r="F10" s="564"/>
      <c r="G10" s="540">
        <v>7000</v>
      </c>
      <c r="H10" s="536"/>
      <c r="I10" s="531">
        <f t="shared" si="1"/>
        <v>693.333333333334</v>
      </c>
      <c r="J10" s="572"/>
      <c r="K10" s="527">
        <f t="shared" si="2"/>
        <v>693.333333333334</v>
      </c>
      <c r="L10" s="574" t="s">
        <v>200</v>
      </c>
      <c r="M10" s="528">
        <f t="shared" si="3"/>
        <v>0.133333333333333</v>
      </c>
      <c r="N10" s="511"/>
      <c r="O10" s="512"/>
      <c r="P10" s="512"/>
      <c r="Q10" s="512"/>
      <c r="R10" s="513"/>
      <c r="S10" s="513"/>
      <c r="T10" s="513"/>
      <c r="U10" s="514"/>
      <c r="V10" s="514"/>
      <c r="W10" s="515"/>
      <c r="X10" s="514"/>
      <c r="Y10" s="514"/>
      <c r="Z10" s="515"/>
      <c r="AA10" s="514"/>
      <c r="AB10" s="514"/>
      <c r="AC10" s="515"/>
      <c r="AD10" s="514"/>
      <c r="AG10" s="512"/>
      <c r="AH10" s="512"/>
      <c r="AI10" s="516"/>
      <c r="AJ10" s="517"/>
      <c r="AK10" s="510"/>
      <c r="AL10" s="516"/>
      <c r="AM10" s="517"/>
      <c r="AN10" s="510"/>
      <c r="AO10" s="516"/>
      <c r="AP10" s="517"/>
    </row>
    <row r="11" s="507" customFormat="1" ht="26" customHeight="1" spans="1:42">
      <c r="A11" s="524">
        <v>2</v>
      </c>
      <c r="B11" s="51" t="s">
        <v>198</v>
      </c>
      <c r="C11" s="526" t="s">
        <v>121</v>
      </c>
      <c r="D11" s="526"/>
      <c r="E11" s="563"/>
      <c r="F11" s="564"/>
      <c r="G11" s="540">
        <v>6000</v>
      </c>
      <c r="H11" s="536"/>
      <c r="I11" s="531">
        <f t="shared" si="1"/>
        <v>571.428571428571</v>
      </c>
      <c r="J11" s="572"/>
      <c r="K11" s="527">
        <f t="shared" si="2"/>
        <v>571.428571428571</v>
      </c>
      <c r="L11" s="574" t="s">
        <v>202</v>
      </c>
      <c r="M11" s="528">
        <f>6/21</f>
        <v>0.285714285714286</v>
      </c>
      <c r="N11" s="511"/>
      <c r="O11" s="512"/>
      <c r="P11" s="512"/>
      <c r="Q11" s="512"/>
      <c r="R11" s="513"/>
      <c r="S11" s="513"/>
      <c r="T11" s="513"/>
      <c r="U11" s="514"/>
      <c r="V11" s="514"/>
      <c r="W11" s="515"/>
      <c r="X11" s="514"/>
      <c r="Y11" s="514"/>
      <c r="Z11" s="515"/>
      <c r="AA11" s="514"/>
      <c r="AB11" s="514"/>
      <c r="AC11" s="515"/>
      <c r="AD11" s="514"/>
      <c r="AG11" s="512"/>
      <c r="AH11" s="512"/>
      <c r="AI11" s="516"/>
      <c r="AJ11" s="517"/>
      <c r="AK11" s="510"/>
      <c r="AL11" s="516"/>
      <c r="AM11" s="517"/>
      <c r="AN11" s="510"/>
      <c r="AO11" s="516"/>
      <c r="AP11" s="517"/>
    </row>
    <row r="12" s="507" customFormat="1" ht="26" customHeight="1" spans="1:42">
      <c r="A12" s="524">
        <v>3</v>
      </c>
      <c r="B12" s="526" t="s">
        <v>179</v>
      </c>
      <c r="C12" s="526" t="s">
        <v>54</v>
      </c>
      <c r="D12" s="526"/>
      <c r="E12" s="563"/>
      <c r="F12" s="564"/>
      <c r="G12" s="540">
        <v>7000</v>
      </c>
      <c r="H12" s="536"/>
      <c r="I12" s="531">
        <f t="shared" si="1"/>
        <v>373.333333333333</v>
      </c>
      <c r="J12" s="572"/>
      <c r="K12" s="527">
        <f t="shared" si="2"/>
        <v>373.333333333333</v>
      </c>
      <c r="L12" s="573" t="s">
        <v>203</v>
      </c>
      <c r="M12" s="528">
        <f>8/15</f>
        <v>0.533333333333333</v>
      </c>
      <c r="N12" s="511"/>
      <c r="O12" s="512"/>
      <c r="P12" s="512"/>
      <c r="Q12" s="512"/>
      <c r="R12" s="513"/>
      <c r="S12" s="513"/>
      <c r="T12" s="513"/>
      <c r="U12" s="514"/>
      <c r="V12" s="514"/>
      <c r="W12" s="515"/>
      <c r="X12" s="514"/>
      <c r="Y12" s="514"/>
      <c r="Z12" s="515"/>
      <c r="AA12" s="514"/>
      <c r="AB12" s="514"/>
      <c r="AC12" s="515"/>
      <c r="AD12" s="514"/>
      <c r="AG12" s="512"/>
      <c r="AH12" s="512"/>
      <c r="AI12" s="516"/>
      <c r="AJ12" s="517"/>
      <c r="AK12" s="510"/>
      <c r="AL12" s="516"/>
      <c r="AM12" s="517"/>
      <c r="AN12" s="510"/>
      <c r="AO12" s="516"/>
      <c r="AP12" s="517"/>
    </row>
    <row r="13" s="507" customFormat="1" ht="26" customHeight="1" spans="1:42">
      <c r="A13" s="524">
        <v>3</v>
      </c>
      <c r="B13" s="526" t="s">
        <v>185</v>
      </c>
      <c r="C13" s="526" t="s">
        <v>40</v>
      </c>
      <c r="D13" s="526"/>
      <c r="E13" s="563"/>
      <c r="F13" s="564"/>
      <c r="G13" s="540">
        <v>7000</v>
      </c>
      <c r="H13" s="536"/>
      <c r="I13" s="531">
        <f t="shared" si="1"/>
        <v>800</v>
      </c>
      <c r="J13" s="572"/>
      <c r="K13" s="527">
        <f t="shared" si="2"/>
        <v>800</v>
      </c>
      <c r="L13" s="574" t="s">
        <v>195</v>
      </c>
      <c r="M13" s="528">
        <f>0/6</f>
        <v>0</v>
      </c>
      <c r="N13" s="511"/>
      <c r="O13" s="512"/>
      <c r="P13" s="512"/>
      <c r="Q13" s="512"/>
      <c r="R13" s="513"/>
      <c r="S13" s="513"/>
      <c r="T13" s="513"/>
      <c r="U13" s="514"/>
      <c r="V13" s="514"/>
      <c r="W13" s="515"/>
      <c r="X13" s="514"/>
      <c r="Y13" s="514"/>
      <c r="Z13" s="515"/>
      <c r="AA13" s="514"/>
      <c r="AB13" s="514"/>
      <c r="AC13" s="515"/>
      <c r="AD13" s="514"/>
      <c r="AG13" s="512"/>
      <c r="AH13" s="512"/>
      <c r="AI13" s="516"/>
      <c r="AJ13" s="517"/>
      <c r="AK13" s="510"/>
      <c r="AL13" s="516"/>
      <c r="AM13" s="517"/>
      <c r="AN13" s="510"/>
      <c r="AO13" s="516"/>
      <c r="AP13" s="517"/>
    </row>
    <row r="14" s="507" customFormat="1" ht="26" customHeight="1" spans="1:42">
      <c r="A14" s="524">
        <v>3</v>
      </c>
      <c r="B14" s="51" t="s">
        <v>196</v>
      </c>
      <c r="C14" s="526" t="s">
        <v>39</v>
      </c>
      <c r="D14" s="526"/>
      <c r="E14" s="563"/>
      <c r="F14" s="564"/>
      <c r="G14" s="540">
        <v>7000</v>
      </c>
      <c r="H14" s="536"/>
      <c r="I14" s="531">
        <f t="shared" si="1"/>
        <v>800</v>
      </c>
      <c r="J14" s="572"/>
      <c r="K14" s="527">
        <f t="shared" si="2"/>
        <v>800</v>
      </c>
      <c r="L14" s="574" t="s">
        <v>204</v>
      </c>
      <c r="M14" s="528">
        <f>0/15</f>
        <v>0</v>
      </c>
      <c r="N14" s="511"/>
      <c r="O14" s="512"/>
      <c r="P14" s="512"/>
      <c r="Q14" s="512"/>
      <c r="R14" s="513"/>
      <c r="S14" s="513"/>
      <c r="T14" s="513"/>
      <c r="U14" s="514"/>
      <c r="V14" s="514"/>
      <c r="W14" s="515"/>
      <c r="X14" s="514"/>
      <c r="Y14" s="514"/>
      <c r="Z14" s="515"/>
      <c r="AA14" s="514"/>
      <c r="AB14" s="514"/>
      <c r="AC14" s="515"/>
      <c r="AD14" s="514"/>
      <c r="AG14" s="512"/>
      <c r="AH14" s="512"/>
      <c r="AI14" s="516"/>
      <c r="AJ14" s="517"/>
      <c r="AK14" s="510"/>
      <c r="AL14" s="516"/>
      <c r="AM14" s="517"/>
      <c r="AN14" s="510"/>
      <c r="AO14" s="516"/>
      <c r="AP14" s="517"/>
    </row>
    <row r="15" s="507" customFormat="1" ht="26" customHeight="1" spans="1:42">
      <c r="A15" s="524">
        <v>3</v>
      </c>
      <c r="B15" s="51" t="s">
        <v>198</v>
      </c>
      <c r="C15" s="526" t="s">
        <v>121</v>
      </c>
      <c r="D15" s="526"/>
      <c r="E15" s="563"/>
      <c r="F15" s="564"/>
      <c r="G15" s="540">
        <v>6000</v>
      </c>
      <c r="H15" s="536"/>
      <c r="I15" s="531">
        <f t="shared" si="1"/>
        <v>533.333333333333</v>
      </c>
      <c r="J15" s="572"/>
      <c r="K15" s="527">
        <f t="shared" si="2"/>
        <v>533.333333333333</v>
      </c>
      <c r="L15" s="574" t="s">
        <v>205</v>
      </c>
      <c r="M15" s="528">
        <f>7/21</f>
        <v>0.333333333333333</v>
      </c>
      <c r="N15" s="511"/>
      <c r="O15" s="512"/>
      <c r="P15" s="512"/>
      <c r="Q15" s="512"/>
      <c r="R15" s="513"/>
      <c r="S15" s="513"/>
      <c r="T15" s="513"/>
      <c r="U15" s="514"/>
      <c r="V15" s="514"/>
      <c r="W15" s="515"/>
      <c r="X15" s="514"/>
      <c r="Y15" s="514"/>
      <c r="Z15" s="515"/>
      <c r="AA15" s="514"/>
      <c r="AB15" s="514"/>
      <c r="AC15" s="515"/>
      <c r="AD15" s="514"/>
      <c r="AG15" s="512"/>
      <c r="AH15" s="512"/>
      <c r="AI15" s="516"/>
      <c r="AJ15" s="517"/>
      <c r="AK15" s="510"/>
      <c r="AL15" s="516"/>
      <c r="AM15" s="517"/>
      <c r="AN15" s="510"/>
      <c r="AO15" s="516"/>
      <c r="AP15" s="517"/>
    </row>
    <row r="16" s="507" customFormat="1" ht="26" customHeight="1" spans="1:42">
      <c r="A16" s="524"/>
      <c r="B16" s="51"/>
      <c r="C16" s="526"/>
      <c r="D16" s="526"/>
      <c r="E16" s="563"/>
      <c r="F16" s="564"/>
      <c r="G16" s="540"/>
      <c r="H16" s="536"/>
      <c r="I16" s="531"/>
      <c r="J16" s="572"/>
      <c r="K16" s="527"/>
      <c r="L16" s="574"/>
      <c r="M16" s="528"/>
      <c r="N16" s="511"/>
      <c r="O16" s="512"/>
      <c r="P16" s="512"/>
      <c r="Q16" s="512"/>
      <c r="R16" s="513"/>
      <c r="S16" s="513"/>
      <c r="T16" s="513"/>
      <c r="U16" s="514"/>
      <c r="V16" s="514"/>
      <c r="W16" s="515"/>
      <c r="X16" s="514"/>
      <c r="Y16" s="514"/>
      <c r="Z16" s="515"/>
      <c r="AA16" s="514"/>
      <c r="AB16" s="514"/>
      <c r="AC16" s="515"/>
      <c r="AD16" s="514"/>
      <c r="AG16" s="512"/>
      <c r="AH16" s="512"/>
      <c r="AI16" s="516"/>
      <c r="AJ16" s="517"/>
      <c r="AK16" s="510"/>
      <c r="AL16" s="516"/>
      <c r="AM16" s="517"/>
      <c r="AN16" s="510"/>
      <c r="AO16" s="516"/>
      <c r="AP16" s="517"/>
    </row>
    <row r="17" s="507" customFormat="1" ht="26" customHeight="1" spans="1:42">
      <c r="A17" s="524"/>
      <c r="B17" s="51"/>
      <c r="C17" s="526"/>
      <c r="D17" s="526"/>
      <c r="E17" s="563"/>
      <c r="F17" s="564"/>
      <c r="G17" s="540"/>
      <c r="H17" s="536"/>
      <c r="I17" s="531"/>
      <c r="J17" s="572"/>
      <c r="K17" s="527"/>
      <c r="L17" s="574"/>
      <c r="M17" s="528"/>
      <c r="N17" s="511"/>
      <c r="O17" s="512"/>
      <c r="P17" s="512"/>
      <c r="Q17" s="512"/>
      <c r="R17" s="513"/>
      <c r="S17" s="513"/>
      <c r="T17" s="513"/>
      <c r="U17" s="514"/>
      <c r="V17" s="514"/>
      <c r="W17" s="515"/>
      <c r="X17" s="514"/>
      <c r="Y17" s="514"/>
      <c r="Z17" s="515"/>
      <c r="AA17" s="514"/>
      <c r="AB17" s="514"/>
      <c r="AC17" s="515"/>
      <c r="AD17" s="514"/>
      <c r="AG17" s="512"/>
      <c r="AH17" s="512"/>
      <c r="AI17" s="516"/>
      <c r="AJ17" s="517"/>
      <c r="AK17" s="510"/>
      <c r="AL17" s="516"/>
      <c r="AM17" s="517"/>
      <c r="AN17" s="510"/>
      <c r="AO17" s="516"/>
      <c r="AP17" s="517"/>
    </row>
    <row r="18" s="507" customFormat="1" ht="26" customHeight="1" spans="1:42">
      <c r="A18" s="524"/>
      <c r="B18" s="51"/>
      <c r="C18" s="526"/>
      <c r="D18" s="526"/>
      <c r="E18" s="563"/>
      <c r="F18" s="564"/>
      <c r="G18" s="540"/>
      <c r="H18" s="536"/>
      <c r="I18" s="531"/>
      <c r="J18" s="572"/>
      <c r="K18" s="527"/>
      <c r="L18" s="574"/>
      <c r="M18" s="528"/>
      <c r="N18" s="511"/>
      <c r="O18" s="512"/>
      <c r="P18" s="512"/>
      <c r="Q18" s="512"/>
      <c r="R18" s="513"/>
      <c r="S18" s="513"/>
      <c r="T18" s="513"/>
      <c r="U18" s="514"/>
      <c r="V18" s="514"/>
      <c r="W18" s="515"/>
      <c r="X18" s="514"/>
      <c r="Y18" s="514"/>
      <c r="Z18" s="515"/>
      <c r="AA18" s="514"/>
      <c r="AB18" s="514"/>
      <c r="AC18" s="515"/>
      <c r="AD18" s="514"/>
      <c r="AG18" s="512"/>
      <c r="AH18" s="512"/>
      <c r="AI18" s="516"/>
      <c r="AJ18" s="517"/>
      <c r="AK18" s="510"/>
      <c r="AL18" s="516"/>
      <c r="AM18" s="517"/>
      <c r="AN18" s="510"/>
      <c r="AO18" s="516"/>
      <c r="AP18" s="517"/>
    </row>
    <row r="19" s="507" customFormat="1" ht="26" customHeight="1" spans="1:42">
      <c r="A19" s="524"/>
      <c r="B19" s="51"/>
      <c r="C19" s="526"/>
      <c r="D19" s="526"/>
      <c r="E19" s="563"/>
      <c r="F19" s="564"/>
      <c r="G19" s="540"/>
      <c r="H19" s="536"/>
      <c r="I19" s="531"/>
      <c r="J19" s="572"/>
      <c r="K19" s="527"/>
      <c r="L19" s="574"/>
      <c r="M19" s="528"/>
      <c r="N19" s="511"/>
      <c r="O19" s="512"/>
      <c r="P19" s="512"/>
      <c r="Q19" s="512"/>
      <c r="R19" s="513"/>
      <c r="S19" s="513"/>
      <c r="T19" s="513"/>
      <c r="U19" s="514"/>
      <c r="V19" s="514"/>
      <c r="W19" s="515"/>
      <c r="X19" s="514"/>
      <c r="Y19" s="514"/>
      <c r="Z19" s="515"/>
      <c r="AA19" s="514"/>
      <c r="AB19" s="514"/>
      <c r="AC19" s="515"/>
      <c r="AD19" s="514"/>
      <c r="AG19" s="512"/>
      <c r="AH19" s="512"/>
      <c r="AI19" s="516"/>
      <c r="AJ19" s="517"/>
      <c r="AK19" s="510"/>
      <c r="AL19" s="516"/>
      <c r="AM19" s="517"/>
      <c r="AN19" s="510"/>
      <c r="AO19" s="516"/>
      <c r="AP19" s="517"/>
    </row>
    <row r="20" s="507" customFormat="1" ht="26" customHeight="1" spans="1:42">
      <c r="A20" s="526" t="s">
        <v>11</v>
      </c>
      <c r="B20" s="526"/>
      <c r="C20" s="526"/>
      <c r="D20" s="526" t="e">
        <f>SUM(#REF!)</f>
        <v>#REF!</v>
      </c>
      <c r="E20" s="526" t="e">
        <f>SUM(#REF!)</f>
        <v>#REF!</v>
      </c>
      <c r="F20" s="565" t="e">
        <f>E20/D20/10000</f>
        <v>#REF!</v>
      </c>
      <c r="G20" s="526" t="e">
        <f>SUM(#REF!)</f>
        <v>#REF!</v>
      </c>
      <c r="H20" s="526" t="e">
        <f>SUM(#REF!)</f>
        <v>#REF!</v>
      </c>
      <c r="I20" s="527" t="e">
        <f>SUM(#REF!)</f>
        <v>#REF!</v>
      </c>
      <c r="J20" s="527" t="e">
        <f>SUM(#REF!)</f>
        <v>#REF!</v>
      </c>
      <c r="K20" s="531" t="e">
        <f>SUM(#REF!)</f>
        <v>#REF!</v>
      </c>
      <c r="L20" s="575"/>
      <c r="M20" s="526"/>
      <c r="N20" s="511"/>
      <c r="O20" s="512"/>
      <c r="P20" s="512"/>
      <c r="Q20" s="512"/>
      <c r="R20" s="513"/>
      <c r="S20" s="513"/>
      <c r="T20" s="513"/>
      <c r="U20" s="514"/>
      <c r="V20" s="514"/>
      <c r="W20" s="515"/>
      <c r="X20" s="514"/>
      <c r="Y20" s="514"/>
      <c r="Z20" s="515"/>
      <c r="AA20" s="514"/>
      <c r="AB20" s="514"/>
      <c r="AC20" s="515"/>
      <c r="AD20" s="514"/>
      <c r="AG20" s="512"/>
      <c r="AH20" s="512"/>
      <c r="AI20" s="516"/>
      <c r="AJ20" s="517"/>
      <c r="AK20" s="510"/>
      <c r="AL20" s="516"/>
      <c r="AM20" s="517"/>
      <c r="AN20" s="510"/>
      <c r="AO20" s="516"/>
      <c r="AP20" s="517"/>
    </row>
    <row r="21" s="556" customFormat="1" ht="20.1" customHeight="1" spans="1:42">
      <c r="A21" s="566" t="s">
        <v>186</v>
      </c>
      <c r="B21" s="567"/>
      <c r="C21" s="567"/>
      <c r="D21" s="567"/>
      <c r="E21" s="567"/>
      <c r="F21" s="567"/>
      <c r="G21" s="567"/>
      <c r="H21" s="567"/>
      <c r="I21" s="567"/>
      <c r="J21" s="567"/>
      <c r="K21" s="567"/>
      <c r="L21" s="567"/>
      <c r="M21" s="576"/>
      <c r="N21" s="567"/>
      <c r="R21" s="577"/>
      <c r="S21" s="577"/>
      <c r="T21" s="577"/>
      <c r="W21" s="577"/>
      <c r="Z21" s="577"/>
      <c r="AC21" s="577"/>
      <c r="AI21" s="578"/>
      <c r="AJ21" s="579"/>
      <c r="AK21" s="580"/>
      <c r="AL21" s="578"/>
      <c r="AM21" s="579"/>
      <c r="AN21" s="580"/>
      <c r="AO21" s="578"/>
      <c r="AP21" s="579"/>
    </row>
    <row r="22" s="556" customFormat="1" ht="27" customHeight="1" spans="1:42">
      <c r="A22" s="566" t="s">
        <v>127</v>
      </c>
      <c r="B22" s="567"/>
      <c r="C22" s="567"/>
      <c r="D22" s="567"/>
      <c r="E22" s="567"/>
      <c r="F22" s="567"/>
      <c r="G22" s="567"/>
      <c r="H22" s="567"/>
      <c r="I22" s="567"/>
      <c r="J22" s="567"/>
      <c r="K22" s="567"/>
      <c r="L22" s="567"/>
      <c r="M22" s="576"/>
      <c r="N22" s="567"/>
      <c r="R22" s="577"/>
      <c r="S22" s="577"/>
      <c r="T22" s="577"/>
      <c r="W22" s="577"/>
      <c r="Z22" s="577"/>
      <c r="AC22" s="577"/>
      <c r="AI22" s="578"/>
      <c r="AJ22" s="579"/>
      <c r="AK22" s="580"/>
      <c r="AL22" s="578"/>
      <c r="AM22" s="579"/>
      <c r="AN22" s="580"/>
      <c r="AO22" s="578"/>
      <c r="AP22" s="579"/>
    </row>
    <row r="23" s="556" customFormat="1" ht="27" customHeight="1" spans="1:42">
      <c r="A23" s="566" t="s">
        <v>128</v>
      </c>
      <c r="B23" s="567"/>
      <c r="C23" s="567"/>
      <c r="D23" s="567"/>
      <c r="E23" s="567"/>
      <c r="F23" s="567"/>
      <c r="G23" s="567"/>
      <c r="H23" s="567"/>
      <c r="I23" s="567"/>
      <c r="J23" s="567"/>
      <c r="K23" s="567"/>
      <c r="L23" s="567"/>
      <c r="M23" s="576"/>
      <c r="N23" s="567"/>
      <c r="R23" s="577"/>
      <c r="S23" s="577"/>
      <c r="T23" s="577"/>
      <c r="W23" s="577"/>
      <c r="Z23" s="577"/>
      <c r="AC23" s="577"/>
      <c r="AI23" s="578"/>
      <c r="AJ23" s="579"/>
      <c r="AK23" s="580"/>
      <c r="AL23" s="578"/>
      <c r="AM23" s="579"/>
      <c r="AN23" s="580"/>
      <c r="AO23" s="578"/>
      <c r="AP23" s="579"/>
    </row>
    <row r="24" s="556" customFormat="1" ht="25" customHeight="1" spans="1:42">
      <c r="A24" s="556" t="s">
        <v>129</v>
      </c>
      <c r="M24" s="576"/>
      <c r="N24" s="567"/>
      <c r="R24" s="577"/>
      <c r="S24" s="577"/>
      <c r="T24" s="577"/>
      <c r="W24" s="577"/>
      <c r="Z24" s="577"/>
      <c r="AC24" s="577"/>
      <c r="AI24" s="578"/>
      <c r="AJ24" s="579"/>
      <c r="AK24" s="580"/>
      <c r="AL24" s="578"/>
      <c r="AM24" s="579"/>
      <c r="AN24" s="580"/>
      <c r="AO24" s="578"/>
      <c r="AP24" s="579"/>
    </row>
  </sheetData>
  <mergeCells count="17">
    <mergeCell ref="H2:I2"/>
    <mergeCell ref="A20:C20"/>
    <mergeCell ref="A21:L21"/>
    <mergeCell ref="A22:L22"/>
    <mergeCell ref="A23:L23"/>
    <mergeCell ref="A24:L24"/>
    <mergeCell ref="A2:A3"/>
    <mergeCell ref="B2:B3"/>
    <mergeCell ref="C2:C3"/>
    <mergeCell ref="D2:D3"/>
    <mergeCell ref="E2:E3"/>
    <mergeCell ref="F2:F3"/>
    <mergeCell ref="G2:G3"/>
    <mergeCell ref="J2:J3"/>
    <mergeCell ref="K2:K3"/>
    <mergeCell ref="L2:L3"/>
    <mergeCell ref="M2:M3"/>
  </mergeCells>
  <pageMargins left="0" right="0" top="1" bottom="1" header="0.5" footer="0.5"/>
  <pageSetup paperSize="9" scale="72" orientation="landscape"/>
  <headerFooter/>
  <colBreaks count="1" manualBreakCount="1">
    <brk id="14" max="2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AL39"/>
  <sheetViews>
    <sheetView view="pageBreakPreview" zoomScaleNormal="100" workbookViewId="0">
      <pane ySplit="2" topLeftCell="A3" activePane="bottomLeft" state="frozen"/>
      <selection/>
      <selection pane="bottomLeft" activeCell="A1" sqref="A1:I39"/>
    </sheetView>
  </sheetViews>
  <sheetFormatPr defaultColWidth="9" defaultRowHeight="14.5"/>
  <cols>
    <col min="1" max="1" width="10" style="509" customWidth="1"/>
    <col min="2" max="2" width="17.1090909090909" style="507" customWidth="1"/>
    <col min="3" max="3" width="14.1818181818182" style="507" customWidth="1"/>
    <col min="4" max="4" width="13.9090909090909" style="510" customWidth="1"/>
    <col min="5" max="5" width="9.36363636363636" style="510" hidden="1" customWidth="1"/>
    <col min="6" max="6" width="9.36363636363636" style="510" customWidth="1"/>
    <col min="7" max="8" width="11.7272727272727" style="510" customWidth="1"/>
    <col min="9" max="9" width="31.3727272727273" style="510" customWidth="1"/>
    <col min="10" max="10" width="14.7545454545455" style="511" customWidth="1"/>
    <col min="11" max="11" width="9" style="512"/>
    <col min="12" max="12" width="14.3727272727273" style="512" customWidth="1"/>
    <col min="13" max="13" width="13.3727272727273" style="512" customWidth="1"/>
    <col min="14" max="16" width="11.3727272727273" style="513"/>
    <col min="17" max="17" width="11.5" style="514"/>
    <col min="18" max="18" width="10.2545454545455" style="514"/>
    <col min="19" max="19" width="11.3727272727273" style="515"/>
    <col min="20" max="21" width="11.3727272727273" style="514"/>
    <col min="22" max="22" width="11.3727272727273" style="515"/>
    <col min="23" max="24" width="11.3727272727273" style="514"/>
    <col min="25" max="25" width="9" style="515"/>
    <col min="26" max="26" width="9" style="514"/>
    <col min="27" max="28" width="9" style="507"/>
    <col min="29" max="29" width="9" style="512"/>
    <col min="30" max="30" width="12" style="512" customWidth="1"/>
    <col min="31" max="31" width="11" style="516" customWidth="1"/>
    <col min="32" max="32" width="12.5" style="517" customWidth="1"/>
    <col min="33" max="33" width="11" style="510" customWidth="1"/>
    <col min="34" max="34" width="12.2545454545455" style="516" customWidth="1"/>
    <col min="35" max="35" width="16" style="517" customWidth="1"/>
    <col min="36" max="36" width="12.5" style="510" customWidth="1"/>
    <col min="37" max="37" width="12.1272727272727" style="516" customWidth="1"/>
    <col min="38" max="38" width="13.7545454545455" style="517" customWidth="1"/>
    <col min="39" max="16379" width="9" style="507"/>
  </cols>
  <sheetData>
    <row r="1" ht="40" customHeight="1" spans="1:26">
      <c r="A1" s="518" t="s">
        <v>206</v>
      </c>
      <c r="B1" s="519"/>
      <c r="C1" s="519"/>
      <c r="D1" s="519"/>
      <c r="E1" s="519"/>
      <c r="F1" s="519"/>
      <c r="G1" s="519"/>
      <c r="H1" s="519"/>
      <c r="I1" s="519"/>
      <c r="J1"/>
      <c r="K1"/>
      <c r="L1" s="1"/>
      <c r="M1" s="1"/>
      <c r="N1" s="541"/>
      <c r="O1" s="541"/>
      <c r="P1" s="1"/>
      <c r="Q1"/>
      <c r="R1"/>
      <c r="S1"/>
      <c r="T1"/>
      <c r="U1"/>
      <c r="V1"/>
      <c r="W1"/>
      <c r="X1"/>
      <c r="Y1"/>
      <c r="Z1"/>
    </row>
    <row r="2" s="506" customFormat="1" ht="32" customHeight="1" spans="1:38">
      <c r="A2" s="520" t="s">
        <v>171</v>
      </c>
      <c r="B2" s="520" t="s">
        <v>172</v>
      </c>
      <c r="C2" s="520" t="s">
        <v>173</v>
      </c>
      <c r="D2" s="521" t="s">
        <v>119</v>
      </c>
      <c r="E2" s="522" t="s">
        <v>190</v>
      </c>
      <c r="F2" s="522" t="s">
        <v>207</v>
      </c>
      <c r="G2" s="522" t="s">
        <v>208</v>
      </c>
      <c r="H2" s="523" t="s">
        <v>192</v>
      </c>
      <c r="I2" s="522" t="s">
        <v>12</v>
      </c>
      <c r="J2" s="542"/>
      <c r="K2" s="543"/>
      <c r="L2" s="544"/>
      <c r="M2" s="544"/>
      <c r="N2" s="545"/>
      <c r="O2" s="545"/>
      <c r="P2" s="544"/>
      <c r="Q2" s="552"/>
      <c r="R2" s="552"/>
      <c r="S2" s="553"/>
      <c r="T2" s="552"/>
      <c r="U2" s="552"/>
      <c r="V2" s="553"/>
      <c r="W2" s="552"/>
      <c r="X2" s="552"/>
      <c r="Y2" s="553"/>
      <c r="Z2" s="552"/>
      <c r="AC2" s="543"/>
      <c r="AD2" s="543"/>
      <c r="AE2" s="554"/>
      <c r="AF2" s="517"/>
      <c r="AG2" s="555"/>
      <c r="AH2" s="554"/>
      <c r="AI2" s="517"/>
      <c r="AJ2" s="555"/>
      <c r="AK2" s="554"/>
      <c r="AL2" s="517"/>
    </row>
    <row r="3" s="507" customFormat="1" ht="26" hidden="1" customHeight="1" spans="1:38">
      <c r="A3" s="524">
        <v>1</v>
      </c>
      <c r="B3" s="525" t="s">
        <v>196</v>
      </c>
      <c r="C3" s="526" t="s">
        <v>39</v>
      </c>
      <c r="D3" s="527">
        <f>800*(1-H3)</f>
        <v>746.666666666667</v>
      </c>
      <c r="E3" s="527"/>
      <c r="F3" s="527">
        <v>15</v>
      </c>
      <c r="G3" s="527">
        <v>1</v>
      </c>
      <c r="H3" s="528">
        <f t="shared" ref="H3:H39" si="0">G3/F3</f>
        <v>0.0666666666666667</v>
      </c>
      <c r="I3" s="546" t="s">
        <v>197</v>
      </c>
      <c r="J3" s="511"/>
      <c r="K3" s="512"/>
      <c r="L3" s="512"/>
      <c r="M3" s="512"/>
      <c r="N3" s="513"/>
      <c r="O3" s="513"/>
      <c r="P3" s="513"/>
      <c r="Q3" s="514"/>
      <c r="R3" s="514"/>
      <c r="S3" s="515"/>
      <c r="T3" s="514"/>
      <c r="U3" s="514"/>
      <c r="V3" s="515"/>
      <c r="W3" s="514"/>
      <c r="X3" s="514"/>
      <c r="Y3" s="515"/>
      <c r="Z3" s="514"/>
      <c r="AC3" s="512"/>
      <c r="AD3" s="512"/>
      <c r="AE3" s="516"/>
      <c r="AF3" s="517"/>
      <c r="AG3" s="510"/>
      <c r="AH3" s="516"/>
      <c r="AI3" s="517"/>
      <c r="AJ3" s="510"/>
      <c r="AK3" s="516"/>
      <c r="AL3" s="517"/>
    </row>
    <row r="4" s="507" customFormat="1" ht="26" hidden="1" customHeight="1" spans="1:38">
      <c r="A4" s="524">
        <v>2</v>
      </c>
      <c r="B4" s="525" t="s">
        <v>196</v>
      </c>
      <c r="C4" s="526" t="s">
        <v>39</v>
      </c>
      <c r="D4" s="527">
        <f>800*(1-H4)</f>
        <v>693.333333333333</v>
      </c>
      <c r="E4" s="527"/>
      <c r="F4" s="527">
        <v>15</v>
      </c>
      <c r="G4" s="527">
        <v>2</v>
      </c>
      <c r="H4" s="528">
        <f t="shared" si="0"/>
        <v>0.133333333333333</v>
      </c>
      <c r="I4" s="546" t="s">
        <v>200</v>
      </c>
      <c r="J4" s="511"/>
      <c r="K4" s="512"/>
      <c r="L4" s="512"/>
      <c r="M4" s="512"/>
      <c r="N4" s="513"/>
      <c r="O4" s="513"/>
      <c r="P4" s="513"/>
      <c r="Q4" s="514"/>
      <c r="R4" s="514"/>
      <c r="S4" s="515"/>
      <c r="T4" s="514"/>
      <c r="U4" s="514"/>
      <c r="V4" s="515"/>
      <c r="W4" s="514"/>
      <c r="X4" s="514"/>
      <c r="Y4" s="515"/>
      <c r="Z4" s="514"/>
      <c r="AC4" s="512"/>
      <c r="AD4" s="512"/>
      <c r="AE4" s="516"/>
      <c r="AF4" s="517"/>
      <c r="AG4" s="510"/>
      <c r="AH4" s="516"/>
      <c r="AI4" s="517"/>
      <c r="AJ4" s="510"/>
      <c r="AK4" s="516"/>
      <c r="AL4" s="517"/>
    </row>
    <row r="5" s="507" customFormat="1" ht="26" hidden="1" customHeight="1" spans="1:38">
      <c r="A5" s="524">
        <v>3</v>
      </c>
      <c r="B5" s="525" t="s">
        <v>196</v>
      </c>
      <c r="C5" s="526" t="s">
        <v>39</v>
      </c>
      <c r="D5" s="527">
        <f>800*(1-H5)</f>
        <v>800</v>
      </c>
      <c r="E5" s="527"/>
      <c r="F5" s="527">
        <v>15</v>
      </c>
      <c r="G5" s="527">
        <v>0</v>
      </c>
      <c r="H5" s="528">
        <f t="shared" si="0"/>
        <v>0</v>
      </c>
      <c r="I5" s="546" t="s">
        <v>204</v>
      </c>
      <c r="J5" s="511"/>
      <c r="K5" s="512"/>
      <c r="L5" s="512"/>
      <c r="M5" s="512"/>
      <c r="N5" s="513"/>
      <c r="O5" s="513"/>
      <c r="P5" s="513"/>
      <c r="Q5" s="514"/>
      <c r="R5" s="514"/>
      <c r="S5" s="515"/>
      <c r="T5" s="514"/>
      <c r="U5" s="514"/>
      <c r="V5" s="515"/>
      <c r="W5" s="514"/>
      <c r="X5" s="514"/>
      <c r="Y5" s="515"/>
      <c r="Z5" s="514"/>
      <c r="AC5" s="512"/>
      <c r="AD5" s="512"/>
      <c r="AE5" s="516"/>
      <c r="AF5" s="517"/>
      <c r="AG5" s="510"/>
      <c r="AH5" s="516"/>
      <c r="AI5" s="517"/>
      <c r="AJ5" s="510"/>
      <c r="AK5" s="516"/>
      <c r="AL5" s="517"/>
    </row>
    <row r="6" s="507" customFormat="1" ht="26" hidden="1" customHeight="1" spans="1:38">
      <c r="A6" s="529" t="s">
        <v>209</v>
      </c>
      <c r="B6" s="529"/>
      <c r="C6" s="529"/>
      <c r="D6" s="530">
        <f>SUM(D3:D5)</f>
        <v>2240</v>
      </c>
      <c r="E6" s="531"/>
      <c r="F6" s="531">
        <f>SUM(F3:F5)</f>
        <v>45</v>
      </c>
      <c r="G6" s="531">
        <f>SUM(G3:G5)</f>
        <v>3</v>
      </c>
      <c r="H6" s="532">
        <f t="shared" si="0"/>
        <v>0.0666666666666667</v>
      </c>
      <c r="I6" s="547" t="s">
        <v>210</v>
      </c>
      <c r="J6" s="511"/>
      <c r="K6" s="512"/>
      <c r="L6" s="512"/>
      <c r="M6" s="512"/>
      <c r="N6" s="513"/>
      <c r="O6" s="513"/>
      <c r="P6" s="513"/>
      <c r="Q6" s="514"/>
      <c r="R6" s="514"/>
      <c r="S6" s="515"/>
      <c r="T6" s="514"/>
      <c r="U6" s="514"/>
      <c r="V6" s="515"/>
      <c r="W6" s="514"/>
      <c r="X6" s="514"/>
      <c r="Y6" s="515"/>
      <c r="Z6" s="514"/>
      <c r="AC6" s="512"/>
      <c r="AD6" s="512"/>
      <c r="AE6" s="516"/>
      <c r="AF6" s="517"/>
      <c r="AG6" s="510"/>
      <c r="AH6" s="516"/>
      <c r="AI6" s="517"/>
      <c r="AJ6" s="510"/>
      <c r="AK6" s="516"/>
      <c r="AL6" s="517"/>
    </row>
    <row r="7" s="507" customFormat="1" ht="26" hidden="1" customHeight="1" spans="1:38">
      <c r="A7" s="524">
        <v>1</v>
      </c>
      <c r="B7" s="526" t="s">
        <v>185</v>
      </c>
      <c r="C7" s="526" t="s">
        <v>40</v>
      </c>
      <c r="D7" s="527">
        <f>800*(1-H7)</f>
        <v>800</v>
      </c>
      <c r="E7" s="527"/>
      <c r="F7" s="527">
        <v>6</v>
      </c>
      <c r="G7" s="527">
        <v>0</v>
      </c>
      <c r="H7" s="528">
        <f t="shared" si="0"/>
        <v>0</v>
      </c>
      <c r="I7" s="546" t="s">
        <v>195</v>
      </c>
      <c r="J7" s="511"/>
      <c r="K7" s="512"/>
      <c r="L7" s="512"/>
      <c r="M7" s="512"/>
      <c r="N7" s="513"/>
      <c r="O7" s="513"/>
      <c r="P7" s="513"/>
      <c r="Q7" s="514"/>
      <c r="R7" s="514"/>
      <c r="S7" s="515"/>
      <c r="T7" s="514"/>
      <c r="U7" s="514"/>
      <c r="V7" s="515"/>
      <c r="W7" s="514"/>
      <c r="X7" s="514"/>
      <c r="Y7" s="515"/>
      <c r="Z7" s="514"/>
      <c r="AC7" s="512"/>
      <c r="AD7" s="512"/>
      <c r="AE7" s="516"/>
      <c r="AF7" s="517"/>
      <c r="AG7" s="510"/>
      <c r="AH7" s="516"/>
      <c r="AI7" s="517"/>
      <c r="AJ7" s="510"/>
      <c r="AK7" s="516"/>
      <c r="AL7" s="517"/>
    </row>
    <row r="8" s="507" customFormat="1" ht="26" hidden="1" customHeight="1" spans="1:38">
      <c r="A8" s="524">
        <v>2</v>
      </c>
      <c r="B8" s="526" t="s">
        <v>185</v>
      </c>
      <c r="C8" s="526" t="s">
        <v>40</v>
      </c>
      <c r="D8" s="527">
        <f>800*(1-H8)</f>
        <v>666.666666666667</v>
      </c>
      <c r="E8" s="527"/>
      <c r="F8" s="527">
        <v>6</v>
      </c>
      <c r="G8" s="527">
        <v>1</v>
      </c>
      <c r="H8" s="528">
        <f t="shared" si="0"/>
        <v>0.166666666666667</v>
      </c>
      <c r="I8" s="546" t="s">
        <v>201</v>
      </c>
      <c r="J8" s="511"/>
      <c r="K8" s="512"/>
      <c r="L8" s="512"/>
      <c r="M8" s="512"/>
      <c r="N8" s="513"/>
      <c r="O8" s="513"/>
      <c r="P8" s="513"/>
      <c r="Q8" s="514"/>
      <c r="R8" s="514"/>
      <c r="S8" s="515"/>
      <c r="T8" s="514"/>
      <c r="U8" s="514"/>
      <c r="V8" s="515"/>
      <c r="W8" s="514"/>
      <c r="X8" s="514"/>
      <c r="Y8" s="515"/>
      <c r="Z8" s="514"/>
      <c r="AC8" s="512"/>
      <c r="AD8" s="512"/>
      <c r="AE8" s="516"/>
      <c r="AF8" s="517"/>
      <c r="AG8" s="510"/>
      <c r="AH8" s="516"/>
      <c r="AI8" s="517"/>
      <c r="AJ8" s="510"/>
      <c r="AK8" s="516"/>
      <c r="AL8" s="517"/>
    </row>
    <row r="9" s="507" customFormat="1" ht="26" hidden="1" customHeight="1" spans="1:38">
      <c r="A9" s="524">
        <v>3</v>
      </c>
      <c r="B9" s="526" t="s">
        <v>185</v>
      </c>
      <c r="C9" s="526" t="s">
        <v>40</v>
      </c>
      <c r="D9" s="527">
        <f>800*(1-H9)</f>
        <v>800</v>
      </c>
      <c r="E9" s="527"/>
      <c r="F9" s="527">
        <v>6</v>
      </c>
      <c r="G9" s="527">
        <v>0</v>
      </c>
      <c r="H9" s="528">
        <f t="shared" si="0"/>
        <v>0</v>
      </c>
      <c r="I9" s="546" t="s">
        <v>195</v>
      </c>
      <c r="J9" s="511"/>
      <c r="K9" s="512"/>
      <c r="L9" s="512"/>
      <c r="M9" s="512"/>
      <c r="N9" s="513"/>
      <c r="O9" s="513"/>
      <c r="P9" s="513"/>
      <c r="Q9" s="514"/>
      <c r="R9" s="514"/>
      <c r="S9" s="515"/>
      <c r="T9" s="514"/>
      <c r="U9" s="514"/>
      <c r="V9" s="515"/>
      <c r="W9" s="514"/>
      <c r="X9" s="514"/>
      <c r="Y9" s="515"/>
      <c r="Z9" s="514"/>
      <c r="AC9" s="512"/>
      <c r="AD9" s="512"/>
      <c r="AE9" s="516"/>
      <c r="AF9" s="517"/>
      <c r="AG9" s="510"/>
      <c r="AH9" s="516"/>
      <c r="AI9" s="517"/>
      <c r="AJ9" s="510"/>
      <c r="AK9" s="516"/>
      <c r="AL9" s="517"/>
    </row>
    <row r="10" s="507" customFormat="1" ht="26" hidden="1" customHeight="1" spans="1:38">
      <c r="A10" s="533" t="s">
        <v>209</v>
      </c>
      <c r="B10" s="534"/>
      <c r="C10" s="535"/>
      <c r="D10" s="530">
        <f>SUM(D7:D9)</f>
        <v>2266.66666666667</v>
      </c>
      <c r="E10" s="531"/>
      <c r="F10" s="531">
        <f>SUM(F7:F9)</f>
        <v>18</v>
      </c>
      <c r="G10" s="531">
        <f>SUM(G7:G9)</f>
        <v>1</v>
      </c>
      <c r="H10" s="532">
        <f t="shared" si="0"/>
        <v>0.0555555555555556</v>
      </c>
      <c r="I10" s="547" t="s">
        <v>211</v>
      </c>
      <c r="J10" s="511"/>
      <c r="K10" s="512"/>
      <c r="L10" s="512"/>
      <c r="M10" s="512"/>
      <c r="N10" s="513"/>
      <c r="O10" s="513"/>
      <c r="P10" s="513"/>
      <c r="Q10" s="514"/>
      <c r="R10" s="514"/>
      <c r="S10" s="515"/>
      <c r="T10" s="514"/>
      <c r="U10" s="514"/>
      <c r="V10" s="515"/>
      <c r="W10" s="514"/>
      <c r="X10" s="514"/>
      <c r="Y10" s="515"/>
      <c r="Z10" s="514"/>
      <c r="AC10" s="512"/>
      <c r="AD10" s="512"/>
      <c r="AE10" s="516"/>
      <c r="AF10" s="517"/>
      <c r="AG10" s="510"/>
      <c r="AH10" s="516"/>
      <c r="AI10" s="517"/>
      <c r="AJ10" s="510"/>
      <c r="AK10" s="516"/>
      <c r="AL10" s="517"/>
    </row>
    <row r="11" s="507" customFormat="1" ht="26" hidden="1" customHeight="1" spans="1:38">
      <c r="A11" s="524">
        <v>1</v>
      </c>
      <c r="B11" s="525" t="s">
        <v>198</v>
      </c>
      <c r="C11" s="526" t="s">
        <v>121</v>
      </c>
      <c r="D11" s="527">
        <f>800*(1-H11)</f>
        <v>609.52380952381</v>
      </c>
      <c r="E11" s="527"/>
      <c r="F11" s="527">
        <v>21</v>
      </c>
      <c r="G11" s="527">
        <v>5</v>
      </c>
      <c r="H11" s="528">
        <f t="shared" si="0"/>
        <v>0.238095238095238</v>
      </c>
      <c r="I11" s="546" t="s">
        <v>199</v>
      </c>
      <c r="J11" s="511"/>
      <c r="K11" s="512"/>
      <c r="L11" s="512"/>
      <c r="M11" s="512"/>
      <c r="N11" s="513"/>
      <c r="O11" s="513"/>
      <c r="P11" s="513"/>
      <c r="Q11" s="514"/>
      <c r="R11" s="514"/>
      <c r="S11" s="515"/>
      <c r="T11" s="514"/>
      <c r="U11" s="514"/>
      <c r="V11" s="515"/>
      <c r="W11" s="514"/>
      <c r="X11" s="514"/>
      <c r="Y11" s="515"/>
      <c r="Z11" s="514"/>
      <c r="AC11" s="512"/>
      <c r="AD11" s="512"/>
      <c r="AE11" s="516"/>
      <c r="AF11" s="517"/>
      <c r="AG11" s="510"/>
      <c r="AH11" s="516"/>
      <c r="AI11" s="517"/>
      <c r="AJ11" s="510"/>
      <c r="AK11" s="516"/>
      <c r="AL11" s="517"/>
    </row>
    <row r="12" s="507" customFormat="1" ht="26" hidden="1" customHeight="1" spans="1:38">
      <c r="A12" s="524">
        <v>2</v>
      </c>
      <c r="B12" s="525" t="s">
        <v>198</v>
      </c>
      <c r="C12" s="526" t="s">
        <v>121</v>
      </c>
      <c r="D12" s="527">
        <f>800*(1-H12)</f>
        <v>571.428571428571</v>
      </c>
      <c r="E12" s="527"/>
      <c r="F12" s="527">
        <v>21</v>
      </c>
      <c r="G12" s="527">
        <v>6</v>
      </c>
      <c r="H12" s="528">
        <f t="shared" si="0"/>
        <v>0.285714285714286</v>
      </c>
      <c r="I12" s="546" t="s">
        <v>202</v>
      </c>
      <c r="J12" s="511"/>
      <c r="K12" s="512"/>
      <c r="L12" s="512"/>
      <c r="M12" s="512"/>
      <c r="N12" s="513"/>
      <c r="O12" s="513"/>
      <c r="P12" s="513"/>
      <c r="Q12" s="514"/>
      <c r="R12" s="514"/>
      <c r="S12" s="515"/>
      <c r="T12" s="514"/>
      <c r="U12" s="514"/>
      <c r="V12" s="515"/>
      <c r="W12" s="514"/>
      <c r="X12" s="514"/>
      <c r="Y12" s="515"/>
      <c r="Z12" s="514"/>
      <c r="AC12" s="512"/>
      <c r="AD12" s="512"/>
      <c r="AE12" s="516"/>
      <c r="AF12" s="517"/>
      <c r="AG12" s="510"/>
      <c r="AH12" s="516"/>
      <c r="AI12" s="517"/>
      <c r="AJ12" s="510"/>
      <c r="AK12" s="516"/>
      <c r="AL12" s="517"/>
    </row>
    <row r="13" s="507" customFormat="1" ht="26" hidden="1" customHeight="1" spans="1:38">
      <c r="A13" s="524">
        <v>3</v>
      </c>
      <c r="B13" s="525" t="s">
        <v>198</v>
      </c>
      <c r="C13" s="526" t="s">
        <v>121</v>
      </c>
      <c r="D13" s="527">
        <f>800*(1-H13)</f>
        <v>533.333333333333</v>
      </c>
      <c r="E13" s="527"/>
      <c r="F13" s="527">
        <v>21</v>
      </c>
      <c r="G13" s="527">
        <v>7</v>
      </c>
      <c r="H13" s="528">
        <f t="shared" si="0"/>
        <v>0.333333333333333</v>
      </c>
      <c r="I13" s="546" t="s">
        <v>205</v>
      </c>
      <c r="J13" s="511"/>
      <c r="K13" s="512"/>
      <c r="L13" s="512"/>
      <c r="M13" s="512"/>
      <c r="N13" s="513"/>
      <c r="O13" s="513"/>
      <c r="P13" s="513"/>
      <c r="Q13" s="514"/>
      <c r="R13" s="514"/>
      <c r="S13" s="515"/>
      <c r="T13" s="514"/>
      <c r="U13" s="514"/>
      <c r="V13" s="515"/>
      <c r="W13" s="514"/>
      <c r="X13" s="514"/>
      <c r="Y13" s="515"/>
      <c r="Z13" s="514"/>
      <c r="AC13" s="512"/>
      <c r="AD13" s="512"/>
      <c r="AE13" s="516"/>
      <c r="AF13" s="517"/>
      <c r="AG13" s="510"/>
      <c r="AH13" s="516"/>
      <c r="AI13" s="517"/>
      <c r="AJ13" s="510"/>
      <c r="AK13" s="516"/>
      <c r="AL13" s="517"/>
    </row>
    <row r="14" s="507" customFormat="1" ht="26" hidden="1" customHeight="1" spans="1:38">
      <c r="A14" s="533" t="s">
        <v>209</v>
      </c>
      <c r="B14" s="534"/>
      <c r="C14" s="535"/>
      <c r="D14" s="530">
        <f>SUM(D11:D13)</f>
        <v>1714.28571428571</v>
      </c>
      <c r="E14" s="531"/>
      <c r="F14" s="531">
        <f>SUM(F11:F13)</f>
        <v>63</v>
      </c>
      <c r="G14" s="531">
        <f>SUM(G11:G13)</f>
        <v>18</v>
      </c>
      <c r="H14" s="532">
        <f t="shared" si="0"/>
        <v>0.285714285714286</v>
      </c>
      <c r="I14" s="547" t="s">
        <v>212</v>
      </c>
      <c r="J14" s="511"/>
      <c r="K14" s="512"/>
      <c r="L14" s="512"/>
      <c r="M14" s="512"/>
      <c r="N14" s="513"/>
      <c r="O14" s="513"/>
      <c r="P14" s="513"/>
      <c r="Q14" s="514"/>
      <c r="R14" s="514"/>
      <c r="S14" s="515"/>
      <c r="T14" s="514"/>
      <c r="U14" s="514"/>
      <c r="V14" s="515"/>
      <c r="W14" s="514"/>
      <c r="X14" s="514"/>
      <c r="Y14" s="515"/>
      <c r="Z14" s="514"/>
      <c r="AC14" s="512"/>
      <c r="AD14" s="512"/>
      <c r="AE14" s="516"/>
      <c r="AF14" s="517"/>
      <c r="AG14" s="510"/>
      <c r="AH14" s="516"/>
      <c r="AI14" s="517"/>
      <c r="AJ14" s="510"/>
      <c r="AK14" s="516"/>
      <c r="AL14" s="517"/>
    </row>
    <row r="15" s="507" customFormat="1" ht="26" hidden="1" customHeight="1" spans="1:38">
      <c r="A15" s="524">
        <v>1</v>
      </c>
      <c r="B15" s="526" t="s">
        <v>179</v>
      </c>
      <c r="C15" s="526" t="s">
        <v>54</v>
      </c>
      <c r="D15" s="527">
        <f t="shared" ref="D15:D21" si="1">800*(1-H15)</f>
        <v>640</v>
      </c>
      <c r="E15" s="527"/>
      <c r="F15" s="527">
        <v>15</v>
      </c>
      <c r="G15" s="527">
        <v>3</v>
      </c>
      <c r="H15" s="528">
        <f t="shared" si="0"/>
        <v>0.2</v>
      </c>
      <c r="I15" s="548" t="s">
        <v>194</v>
      </c>
      <c r="J15" s="511"/>
      <c r="K15" s="512"/>
      <c r="L15" s="512"/>
      <c r="M15" s="512"/>
      <c r="N15" s="513"/>
      <c r="O15" s="513"/>
      <c r="P15" s="513"/>
      <c r="Q15" s="514"/>
      <c r="R15" s="514"/>
      <c r="S15" s="515"/>
      <c r="T15" s="514"/>
      <c r="U15" s="514"/>
      <c r="V15" s="515"/>
      <c r="W15" s="514"/>
      <c r="X15" s="514"/>
      <c r="Y15" s="515"/>
      <c r="Z15" s="514"/>
      <c r="AC15" s="512"/>
      <c r="AD15" s="512"/>
      <c r="AE15" s="516"/>
      <c r="AF15" s="517"/>
      <c r="AG15" s="510"/>
      <c r="AH15" s="516"/>
      <c r="AI15" s="517"/>
      <c r="AJ15" s="510"/>
      <c r="AK15" s="516"/>
      <c r="AL15" s="517"/>
    </row>
    <row r="16" s="507" customFormat="1" ht="26" hidden="1" customHeight="1" spans="1:38">
      <c r="A16" s="524">
        <v>2</v>
      </c>
      <c r="B16" s="526" t="s">
        <v>179</v>
      </c>
      <c r="C16" s="526" t="s">
        <v>54</v>
      </c>
      <c r="D16" s="527">
        <f t="shared" si="1"/>
        <v>693.333333333333</v>
      </c>
      <c r="E16" s="527"/>
      <c r="F16" s="527">
        <v>15</v>
      </c>
      <c r="G16" s="527">
        <v>2</v>
      </c>
      <c r="H16" s="528">
        <f t="shared" si="0"/>
        <v>0.133333333333333</v>
      </c>
      <c r="I16" s="548" t="s">
        <v>200</v>
      </c>
      <c r="J16" s="511"/>
      <c r="K16" s="512"/>
      <c r="L16" s="512"/>
      <c r="M16" s="512"/>
      <c r="N16" s="513"/>
      <c r="O16" s="513"/>
      <c r="P16" s="513"/>
      <c r="Q16" s="514"/>
      <c r="R16" s="514"/>
      <c r="S16" s="515"/>
      <c r="T16" s="514"/>
      <c r="U16" s="514"/>
      <c r="V16" s="515"/>
      <c r="W16" s="514"/>
      <c r="X16" s="514"/>
      <c r="Y16" s="515"/>
      <c r="Z16" s="514"/>
      <c r="AC16" s="512"/>
      <c r="AD16" s="512"/>
      <c r="AE16" s="516"/>
      <c r="AF16" s="517"/>
      <c r="AG16" s="510"/>
      <c r="AH16" s="516"/>
      <c r="AI16" s="517"/>
      <c r="AJ16" s="510"/>
      <c r="AK16" s="516"/>
      <c r="AL16" s="517"/>
    </row>
    <row r="17" s="507" customFormat="1" ht="26" hidden="1" customHeight="1" spans="1:38">
      <c r="A17" s="524">
        <v>3</v>
      </c>
      <c r="B17" s="526" t="s">
        <v>179</v>
      </c>
      <c r="C17" s="526" t="s">
        <v>54</v>
      </c>
      <c r="D17" s="527">
        <f t="shared" si="1"/>
        <v>266.666666666667</v>
      </c>
      <c r="E17" s="527"/>
      <c r="F17" s="527">
        <v>12</v>
      </c>
      <c r="G17" s="527">
        <v>8</v>
      </c>
      <c r="H17" s="528">
        <f t="shared" si="0"/>
        <v>0.666666666666667</v>
      </c>
      <c r="I17" s="548" t="s">
        <v>203</v>
      </c>
      <c r="J17" s="511"/>
      <c r="K17" s="512"/>
      <c r="L17" s="512"/>
      <c r="M17" s="512"/>
      <c r="N17" s="513"/>
      <c r="O17" s="513"/>
      <c r="P17" s="513"/>
      <c r="Q17" s="514"/>
      <c r="R17" s="514"/>
      <c r="S17" s="515"/>
      <c r="T17" s="514"/>
      <c r="U17" s="514"/>
      <c r="V17" s="515"/>
      <c r="W17" s="514"/>
      <c r="X17" s="514"/>
      <c r="Y17" s="515"/>
      <c r="Z17" s="514"/>
      <c r="AC17" s="512"/>
      <c r="AD17" s="512"/>
      <c r="AE17" s="516"/>
      <c r="AF17" s="517"/>
      <c r="AG17" s="510"/>
      <c r="AH17" s="516"/>
      <c r="AI17" s="517"/>
      <c r="AJ17" s="510"/>
      <c r="AK17" s="516"/>
      <c r="AL17" s="517"/>
    </row>
    <row r="18" s="508" customFormat="1" ht="28" hidden="1" customHeight="1" spans="1:10">
      <c r="A18" s="533" t="s">
        <v>209</v>
      </c>
      <c r="B18" s="534"/>
      <c r="C18" s="535"/>
      <c r="D18" s="530">
        <f>SUM(D15:D17)</f>
        <v>1600</v>
      </c>
      <c r="E18" s="536"/>
      <c r="F18" s="536">
        <f>SUM(F15:F17)</f>
        <v>42</v>
      </c>
      <c r="G18" s="536">
        <f>SUM(G15:G17)</f>
        <v>13</v>
      </c>
      <c r="H18" s="532">
        <f t="shared" si="0"/>
        <v>0.30952380952381</v>
      </c>
      <c r="I18" s="549" t="s">
        <v>213</v>
      </c>
      <c r="J18" s="511"/>
    </row>
    <row r="19" ht="27" hidden="1" customHeight="1" spans="1:9">
      <c r="A19" s="526">
        <v>4</v>
      </c>
      <c r="B19" s="525" t="s">
        <v>196</v>
      </c>
      <c r="C19" s="526" t="s">
        <v>39</v>
      </c>
      <c r="D19" s="527">
        <f t="shared" si="1"/>
        <v>213.333333333333</v>
      </c>
      <c r="E19" s="527"/>
      <c r="F19" s="527">
        <v>15</v>
      </c>
      <c r="G19" s="527">
        <v>11</v>
      </c>
      <c r="H19" s="528">
        <f t="shared" si="0"/>
        <v>0.733333333333333</v>
      </c>
      <c r="I19" s="550" t="s">
        <v>214</v>
      </c>
    </row>
    <row r="20" ht="27" hidden="1" customHeight="1" spans="1:9">
      <c r="A20" s="526">
        <v>4</v>
      </c>
      <c r="B20" s="526" t="s">
        <v>179</v>
      </c>
      <c r="C20" s="526" t="s">
        <v>54</v>
      </c>
      <c r="D20" s="527">
        <f t="shared" si="1"/>
        <v>373.333333333333</v>
      </c>
      <c r="E20" s="527"/>
      <c r="F20" s="527">
        <v>15</v>
      </c>
      <c r="G20" s="527">
        <v>8</v>
      </c>
      <c r="H20" s="528">
        <f t="shared" si="0"/>
        <v>0.533333333333333</v>
      </c>
      <c r="I20" s="551" t="s">
        <v>215</v>
      </c>
    </row>
    <row r="21" ht="27" hidden="1" customHeight="1" spans="1:9">
      <c r="A21" s="526">
        <v>4</v>
      </c>
      <c r="B21" s="526" t="s">
        <v>185</v>
      </c>
      <c r="C21" s="526" t="s">
        <v>40</v>
      </c>
      <c r="D21" s="527">
        <f t="shared" si="1"/>
        <v>622.222222222222</v>
      </c>
      <c r="E21" s="527"/>
      <c r="F21" s="527">
        <v>9</v>
      </c>
      <c r="G21" s="527">
        <v>2</v>
      </c>
      <c r="H21" s="528">
        <f t="shared" si="0"/>
        <v>0.222222222222222</v>
      </c>
      <c r="I21" s="550" t="s">
        <v>216</v>
      </c>
    </row>
    <row r="22" ht="31" hidden="1" customHeight="1" spans="1:9">
      <c r="A22" s="526">
        <v>4</v>
      </c>
      <c r="B22" s="525" t="s">
        <v>198</v>
      </c>
      <c r="C22" s="526" t="s">
        <v>217</v>
      </c>
      <c r="D22" s="527">
        <v>0</v>
      </c>
      <c r="E22" s="527"/>
      <c r="F22" s="527">
        <v>21</v>
      </c>
      <c r="G22" s="527">
        <v>12</v>
      </c>
      <c r="H22" s="528">
        <f t="shared" si="0"/>
        <v>0.571428571428571</v>
      </c>
      <c r="I22" s="550" t="s">
        <v>218</v>
      </c>
    </row>
    <row r="23" ht="27" hidden="1" customHeight="1" spans="1:9">
      <c r="A23" s="526">
        <v>5</v>
      </c>
      <c r="B23" s="525" t="s">
        <v>196</v>
      </c>
      <c r="C23" s="526" t="s">
        <v>39</v>
      </c>
      <c r="D23" s="527">
        <f t="shared" ref="D23:D25" si="2">800*(1-H23)</f>
        <v>480</v>
      </c>
      <c r="E23" s="527"/>
      <c r="F23" s="527">
        <v>15</v>
      </c>
      <c r="G23" s="527">
        <v>6</v>
      </c>
      <c r="H23" s="528">
        <f t="shared" si="0"/>
        <v>0.4</v>
      </c>
      <c r="I23" s="550"/>
    </row>
    <row r="24" ht="27" hidden="1" customHeight="1" spans="1:9">
      <c r="A24" s="526">
        <v>5</v>
      </c>
      <c r="B24" s="526" t="s">
        <v>179</v>
      </c>
      <c r="C24" s="526" t="s">
        <v>54</v>
      </c>
      <c r="D24" s="527">
        <f t="shared" si="2"/>
        <v>466.666666666667</v>
      </c>
      <c r="E24" s="527"/>
      <c r="F24" s="527">
        <v>12</v>
      </c>
      <c r="G24" s="527">
        <v>5</v>
      </c>
      <c r="H24" s="528">
        <f t="shared" si="0"/>
        <v>0.416666666666667</v>
      </c>
      <c r="I24" s="551"/>
    </row>
    <row r="25" ht="27" hidden="1" customHeight="1" spans="1:9">
      <c r="A25" s="526">
        <v>5</v>
      </c>
      <c r="B25" s="526" t="s">
        <v>185</v>
      </c>
      <c r="C25" s="526" t="s">
        <v>40</v>
      </c>
      <c r="D25" s="527">
        <f t="shared" si="2"/>
        <v>711.111111111111</v>
      </c>
      <c r="E25" s="527"/>
      <c r="F25" s="527">
        <v>9</v>
      </c>
      <c r="G25" s="527">
        <v>1</v>
      </c>
      <c r="H25" s="528">
        <f t="shared" si="0"/>
        <v>0.111111111111111</v>
      </c>
      <c r="I25" s="550"/>
    </row>
    <row r="26" ht="31" hidden="1" customHeight="1" spans="1:9">
      <c r="A26" s="526">
        <v>5</v>
      </c>
      <c r="B26" s="525" t="s">
        <v>198</v>
      </c>
      <c r="C26" s="526" t="s">
        <v>217</v>
      </c>
      <c r="D26" s="527">
        <v>0</v>
      </c>
      <c r="E26" s="527"/>
      <c r="F26" s="527">
        <v>21</v>
      </c>
      <c r="G26" s="527">
        <v>6</v>
      </c>
      <c r="H26" s="528">
        <f t="shared" si="0"/>
        <v>0.285714285714286</v>
      </c>
      <c r="I26" s="550" t="s">
        <v>219</v>
      </c>
    </row>
    <row r="27" ht="25" hidden="1" customHeight="1" spans="1:9">
      <c r="A27" s="537" t="s">
        <v>220</v>
      </c>
      <c r="B27" s="538"/>
      <c r="C27" s="539"/>
      <c r="D27" s="527">
        <f>SUM(D19:D22)</f>
        <v>1208.88888888889</v>
      </c>
      <c r="E27" s="540"/>
      <c r="F27" s="540">
        <f>SUM(F19:F22)</f>
        <v>60</v>
      </c>
      <c r="G27" s="540">
        <f>SUM(G19:G22)</f>
        <v>33</v>
      </c>
      <c r="H27" s="528">
        <f t="shared" si="0"/>
        <v>0.55</v>
      </c>
      <c r="I27" s="540"/>
    </row>
    <row r="28" ht="27" hidden="1" customHeight="1" spans="1:9">
      <c r="A28" s="526">
        <v>6</v>
      </c>
      <c r="B28" s="525" t="s">
        <v>196</v>
      </c>
      <c r="C28" s="526" t="s">
        <v>39</v>
      </c>
      <c r="D28" s="531">
        <f t="shared" ref="D28:D34" si="3">ROUND(800*(1-H28),2)</f>
        <v>133.33</v>
      </c>
      <c r="E28" s="527"/>
      <c r="F28" s="527">
        <v>12</v>
      </c>
      <c r="G28" s="527">
        <v>10</v>
      </c>
      <c r="H28" s="528">
        <f t="shared" si="0"/>
        <v>0.833333333333333</v>
      </c>
      <c r="I28" s="550"/>
    </row>
    <row r="29" ht="27" hidden="1" customHeight="1" spans="1:9">
      <c r="A29" s="526">
        <v>6</v>
      </c>
      <c r="B29" s="526" t="s">
        <v>179</v>
      </c>
      <c r="C29" s="526" t="s">
        <v>54</v>
      </c>
      <c r="D29" s="531">
        <f t="shared" si="3"/>
        <v>533.33</v>
      </c>
      <c r="E29" s="527"/>
      <c r="F29" s="527">
        <v>12</v>
      </c>
      <c r="G29" s="527">
        <v>4</v>
      </c>
      <c r="H29" s="528">
        <f t="shared" si="0"/>
        <v>0.333333333333333</v>
      </c>
      <c r="I29" s="551"/>
    </row>
    <row r="30" ht="27" hidden="1" customHeight="1" spans="1:9">
      <c r="A30" s="526">
        <v>6</v>
      </c>
      <c r="B30" s="526" t="s">
        <v>185</v>
      </c>
      <c r="C30" s="526" t="s">
        <v>40</v>
      </c>
      <c r="D30" s="531">
        <f t="shared" si="3"/>
        <v>266.67</v>
      </c>
      <c r="E30" s="527"/>
      <c r="F30" s="527">
        <v>9</v>
      </c>
      <c r="G30" s="527">
        <v>6</v>
      </c>
      <c r="H30" s="528">
        <f t="shared" si="0"/>
        <v>0.666666666666667</v>
      </c>
      <c r="I30" s="550"/>
    </row>
    <row r="31" ht="31" hidden="1" customHeight="1" spans="1:9">
      <c r="A31" s="526">
        <v>6</v>
      </c>
      <c r="B31" s="525" t="s">
        <v>198</v>
      </c>
      <c r="C31" s="526" t="s">
        <v>163</v>
      </c>
      <c r="D31" s="527">
        <v>0</v>
      </c>
      <c r="E31" s="527"/>
      <c r="F31" s="527">
        <v>21</v>
      </c>
      <c r="G31" s="527">
        <v>12</v>
      </c>
      <c r="H31" s="528">
        <f t="shared" si="0"/>
        <v>0.571428571428571</v>
      </c>
      <c r="I31" s="550" t="s">
        <v>219</v>
      </c>
    </row>
    <row r="32" ht="27" hidden="1" customHeight="1" spans="1:9">
      <c r="A32" s="526">
        <v>7</v>
      </c>
      <c r="B32" s="525" t="s">
        <v>196</v>
      </c>
      <c r="C32" s="526" t="s">
        <v>39</v>
      </c>
      <c r="D32" s="531">
        <f t="shared" si="3"/>
        <v>800</v>
      </c>
      <c r="E32" s="527"/>
      <c r="F32" s="527">
        <v>20</v>
      </c>
      <c r="G32" s="527">
        <v>0</v>
      </c>
      <c r="H32" s="528">
        <f t="shared" si="0"/>
        <v>0</v>
      </c>
      <c r="I32" s="550"/>
    </row>
    <row r="33" ht="27" hidden="1" customHeight="1" spans="1:9">
      <c r="A33" s="526">
        <v>7</v>
      </c>
      <c r="B33" s="526" t="s">
        <v>179</v>
      </c>
      <c r="C33" s="526" t="s">
        <v>54</v>
      </c>
      <c r="D33" s="531">
        <f t="shared" si="3"/>
        <v>768</v>
      </c>
      <c r="E33" s="527"/>
      <c r="F33" s="527">
        <v>25</v>
      </c>
      <c r="G33" s="527">
        <v>1</v>
      </c>
      <c r="H33" s="528">
        <f t="shared" si="0"/>
        <v>0.04</v>
      </c>
      <c r="I33" s="551"/>
    </row>
    <row r="34" ht="27" hidden="1" customHeight="1" spans="1:9">
      <c r="A34" s="526">
        <v>7</v>
      </c>
      <c r="B34" s="526" t="s">
        <v>185</v>
      </c>
      <c r="C34" s="526" t="s">
        <v>40</v>
      </c>
      <c r="D34" s="531">
        <f t="shared" si="3"/>
        <v>693.33</v>
      </c>
      <c r="E34" s="527"/>
      <c r="F34" s="527">
        <v>15</v>
      </c>
      <c r="G34" s="527">
        <v>2</v>
      </c>
      <c r="H34" s="528">
        <f t="shared" si="0"/>
        <v>0.133333333333333</v>
      </c>
      <c r="I34" s="550"/>
    </row>
    <row r="35" ht="31" hidden="1" customHeight="1" spans="1:9">
      <c r="A35" s="526">
        <v>7</v>
      </c>
      <c r="B35" s="525" t="s">
        <v>198</v>
      </c>
      <c r="C35" s="526" t="s">
        <v>163</v>
      </c>
      <c r="D35" s="531">
        <v>0</v>
      </c>
      <c r="E35" s="527"/>
      <c r="F35" s="527">
        <v>35</v>
      </c>
      <c r="G35" s="527">
        <v>2</v>
      </c>
      <c r="H35" s="528">
        <f t="shared" si="0"/>
        <v>0.0571428571428571</v>
      </c>
      <c r="I35" s="550" t="s">
        <v>219</v>
      </c>
    </row>
    <row r="36" ht="27" customHeight="1" spans="1:9">
      <c r="A36" s="526">
        <v>8</v>
      </c>
      <c r="B36" s="525" t="s">
        <v>196</v>
      </c>
      <c r="C36" s="526" t="s">
        <v>39</v>
      </c>
      <c r="D36" s="531">
        <f t="shared" ref="D36:D39" si="4">ROUND(800*(1-H36),2)</f>
        <v>720</v>
      </c>
      <c r="E36" s="527"/>
      <c r="F36" s="527">
        <v>20</v>
      </c>
      <c r="G36" s="527">
        <v>2</v>
      </c>
      <c r="H36" s="528">
        <f t="shared" si="0"/>
        <v>0.1</v>
      </c>
      <c r="I36" s="550"/>
    </row>
    <row r="37" ht="27" customHeight="1" spans="1:9">
      <c r="A37" s="526">
        <v>8</v>
      </c>
      <c r="B37" s="526" t="s">
        <v>179</v>
      </c>
      <c r="C37" s="526" t="s">
        <v>54</v>
      </c>
      <c r="D37" s="531">
        <f t="shared" si="4"/>
        <v>800</v>
      </c>
      <c r="E37" s="527"/>
      <c r="F37" s="527">
        <v>25</v>
      </c>
      <c r="G37" s="527">
        <v>0</v>
      </c>
      <c r="H37" s="528">
        <f t="shared" si="0"/>
        <v>0</v>
      </c>
      <c r="I37" s="551"/>
    </row>
    <row r="38" ht="27" customHeight="1" spans="1:9">
      <c r="A38" s="526">
        <v>8</v>
      </c>
      <c r="B38" s="526" t="s">
        <v>185</v>
      </c>
      <c r="C38" s="526" t="s">
        <v>40</v>
      </c>
      <c r="D38" s="531">
        <f t="shared" si="4"/>
        <v>480</v>
      </c>
      <c r="E38" s="527"/>
      <c r="F38" s="527">
        <v>10</v>
      </c>
      <c r="G38" s="527">
        <v>4</v>
      </c>
      <c r="H38" s="528">
        <f t="shared" si="0"/>
        <v>0.4</v>
      </c>
      <c r="I38" s="550"/>
    </row>
    <row r="39" ht="31" customHeight="1" spans="1:9">
      <c r="A39" s="526">
        <v>8</v>
      </c>
      <c r="B39" s="525" t="s">
        <v>198</v>
      </c>
      <c r="C39" s="526" t="s">
        <v>163</v>
      </c>
      <c r="D39" s="531">
        <f t="shared" si="4"/>
        <v>525.71</v>
      </c>
      <c r="E39" s="527"/>
      <c r="F39" s="527">
        <v>35</v>
      </c>
      <c r="G39" s="527">
        <v>12</v>
      </c>
      <c r="H39" s="528">
        <f t="shared" si="0"/>
        <v>0.342857142857143</v>
      </c>
      <c r="I39" s="550"/>
    </row>
  </sheetData>
  <autoFilter xmlns:etc="http://www.wps.cn/officeDocument/2017/etCustomData" ref="A2:XEY39" etc:filterBottomFollowUsedRange="0">
    <extLst/>
  </autoFilter>
  <sortState ref="A3:I14">
    <sortCondition ref="C3"/>
  </sortState>
  <mergeCells count="6">
    <mergeCell ref="A1:I1"/>
    <mergeCell ref="A6:C6"/>
    <mergeCell ref="A10:C10"/>
    <mergeCell ref="A14:C14"/>
    <mergeCell ref="A18:C18"/>
    <mergeCell ref="A27:C27"/>
  </mergeCells>
  <printOptions horizontalCentered="1"/>
  <pageMargins left="0" right="0" top="1" bottom="1" header="0.5" footer="0.5"/>
  <pageSetup paperSize="9" scale="75" orientation="portrait" horizontalDpi="600"/>
  <headerFooter/>
  <colBreaks count="1" manualBreakCount="1">
    <brk id="10" max="1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I16"/>
  <sheetViews>
    <sheetView view="pageBreakPreview" zoomScale="70" zoomScaleNormal="63" topLeftCell="A5" workbookViewId="0">
      <pane xSplit="40" topLeftCell="AO1" activePane="topRight" state="frozen"/>
      <selection/>
      <selection pane="topRight" activeCell="AU14" sqref="AU14"/>
    </sheetView>
  </sheetViews>
  <sheetFormatPr defaultColWidth="9" defaultRowHeight="17.25" customHeight="1"/>
  <cols>
    <col min="1" max="1" width="13.0545454545455" style="141" customWidth="1"/>
    <col min="2" max="2" width="24.4545454545455" style="142" customWidth="1"/>
    <col min="3" max="3" width="15.8636363636364" style="4" customWidth="1"/>
    <col min="4" max="4" width="9" style="139" customWidth="1"/>
    <col min="5" max="5" width="10.8727272727273" style="139" hidden="1" customWidth="1"/>
    <col min="6" max="6" width="11.3727272727273" style="139" hidden="1" customWidth="1"/>
    <col min="7" max="7" width="11" style="143" hidden="1" customWidth="1"/>
    <col min="8" max="8" width="11.5454545454545" style="436" hidden="1" customWidth="1"/>
    <col min="9" max="9" width="10.8727272727273" style="139" hidden="1" customWidth="1"/>
    <col min="10" max="10" width="11.3727272727273" style="139" hidden="1" customWidth="1"/>
    <col min="11" max="11" width="9.12727272727273" style="139" hidden="1" customWidth="1"/>
    <col min="12" max="12" width="11.5454545454545" style="436" hidden="1" customWidth="1"/>
    <col min="13" max="13" width="10.8727272727273" style="144" hidden="1" customWidth="1"/>
    <col min="14" max="14" width="11.3727272727273" style="139" hidden="1" customWidth="1"/>
    <col min="15" max="15" width="9.12727272727273" style="139" hidden="1" customWidth="1"/>
    <col min="16" max="16" width="11.5454545454545" style="436" hidden="1" customWidth="1"/>
    <col min="17" max="17" width="10.3727272727273" style="139" hidden="1" customWidth="1"/>
    <col min="18" max="18" width="10.8727272727273" style="139" hidden="1" customWidth="1"/>
    <col min="19" max="20" width="9.12727272727273" style="139" hidden="1" customWidth="1"/>
    <col min="21" max="21" width="9.49090909090909" style="436" hidden="1" customWidth="1"/>
    <col min="22" max="22" width="9.99090909090909" style="139" hidden="1" customWidth="1"/>
    <col min="23" max="23" width="14.4" style="139" hidden="1" customWidth="1"/>
    <col min="24" max="24" width="14.5363636363636" style="139" hidden="1" customWidth="1"/>
    <col min="25" max="25" width="15.1909090909091" style="139" hidden="1" customWidth="1"/>
    <col min="26" max="26" width="12.3272727272727" style="139" hidden="1" customWidth="1"/>
    <col min="27" max="27" width="16.0909090909091" style="139" hidden="1" customWidth="1"/>
    <col min="28" max="29" width="10" style="139" hidden="1" customWidth="1"/>
    <col min="30" max="30" width="10.3727272727273" style="139" hidden="1" customWidth="1"/>
    <col min="31" max="31" width="12.8545454545455" style="139" hidden="1" customWidth="1"/>
    <col min="32" max="32" width="11.8181818181818" style="139" hidden="1" customWidth="1"/>
    <col min="33" max="33" width="10.9545454545455" style="208" hidden="1" customWidth="1"/>
    <col min="34" max="34" width="11.7545454545455" style="139" hidden="1" customWidth="1"/>
    <col min="35" max="35" width="13" style="139" hidden="1" customWidth="1"/>
    <col min="36" max="36" width="10.9" style="139" hidden="1" customWidth="1"/>
    <col min="37" max="37" width="9" style="139" hidden="1" customWidth="1"/>
    <col min="38" max="38" width="12.2272727272727" style="139" hidden="1" customWidth="1"/>
    <col min="39" max="39" width="13.7090909090909" style="208" hidden="1" customWidth="1"/>
    <col min="40" max="40" width="11" style="139" hidden="1" customWidth="1"/>
    <col min="41" max="41" width="12.7272727272727" style="139" hidden="1" customWidth="1"/>
    <col min="42" max="42" width="9.25454545454545" style="139" hidden="1" customWidth="1"/>
    <col min="43" max="43" width="11.3636363636364" style="139" hidden="1" customWidth="1"/>
    <col min="44" max="44" width="10.3727272727273" style="139" customWidth="1"/>
    <col min="45" max="45" width="16.7272727272727" style="139" customWidth="1"/>
    <col min="46" max="46" width="9.87272727272727" style="139" customWidth="1"/>
    <col min="47" max="47" width="10" style="139" customWidth="1"/>
    <col min="48" max="48" width="10.8727272727273" style="139" customWidth="1"/>
    <col min="49" max="49" width="10.5" style="139" customWidth="1"/>
    <col min="50" max="51" width="8.75454545454545" style="139" customWidth="1"/>
    <col min="52" max="52" width="12.8727272727273" style="139" customWidth="1"/>
    <col min="53" max="53" width="12.1272727272727" style="139" customWidth="1"/>
    <col min="54" max="54" width="8.87272727272727" style="139" customWidth="1"/>
    <col min="55" max="55" width="8.62727272727273" style="437" customWidth="1"/>
    <col min="56" max="56" width="10.2545454545455" style="143" customWidth="1"/>
    <col min="57" max="57" width="9" style="139" customWidth="1"/>
    <col min="58" max="58" width="12.1272727272727" style="139" customWidth="1"/>
    <col min="59" max="59" width="12.2545454545455" style="139" customWidth="1"/>
    <col min="60" max="60" width="9.87272727272727" style="139" customWidth="1"/>
    <col min="61" max="61" width="14.2090909090909" style="139" customWidth="1"/>
    <col min="62" max="63" width="11.7545454545455" style="139" customWidth="1"/>
    <col min="64" max="65" width="8.87272727272727" style="139" customWidth="1"/>
    <col min="66" max="66" width="11.7545454545455" style="139" customWidth="1"/>
    <col min="67" max="67" width="12.1272727272727" style="139" customWidth="1"/>
    <col min="68" max="69" width="9.12727272727273" style="139" customWidth="1"/>
    <col min="70" max="70" width="8.42727272727273" style="139" customWidth="1"/>
    <col min="71" max="71" width="10.7545454545455" style="139" customWidth="1"/>
    <col min="72" max="73" width="8.25454545454545" style="139" customWidth="1"/>
    <col min="74" max="74" width="7.87272727272727" style="139" customWidth="1"/>
    <col min="75" max="75" width="9" style="139" customWidth="1"/>
    <col min="76" max="76" width="14.6272727272727" style="139" customWidth="1"/>
    <col min="77" max="77" width="13.7545454545455" style="139" customWidth="1"/>
    <col min="78" max="78" width="11.8727272727273" style="139" customWidth="1"/>
    <col min="79" max="79" width="15.8727272727273" style="139" customWidth="1"/>
    <col min="80" max="80" width="13.8727272727273" style="139" customWidth="1"/>
    <col min="81" max="85" width="9" style="139" customWidth="1"/>
    <col min="86" max="87" width="9.62727272727273" style="139" customWidth="1"/>
    <col min="88" max="88" width="10.3727272727273" style="139" customWidth="1"/>
    <col min="89" max="93" width="9" style="139" customWidth="1"/>
    <col min="94" max="113" width="9" style="139"/>
    <col min="114" max="16384" width="9" style="6"/>
  </cols>
  <sheetData>
    <row r="1" ht="23.25" customHeight="1" spans="1:77">
      <c r="A1" s="438" t="s">
        <v>221</v>
      </c>
      <c r="B1" s="438"/>
      <c r="C1" s="438"/>
      <c r="D1" s="438"/>
      <c r="E1" s="438"/>
      <c r="F1" s="438"/>
      <c r="G1" s="438"/>
      <c r="H1" s="438"/>
      <c r="I1" s="438"/>
      <c r="J1" s="438"/>
      <c r="K1" s="438"/>
      <c r="L1" s="438"/>
      <c r="M1" s="438"/>
      <c r="N1" s="438"/>
      <c r="O1" s="438"/>
      <c r="P1" s="438"/>
      <c r="Q1" s="438"/>
      <c r="R1" s="438"/>
      <c r="S1" s="438"/>
      <c r="T1" s="438"/>
      <c r="U1" s="438"/>
      <c r="V1" s="438"/>
      <c r="W1" s="438"/>
      <c r="X1" s="438"/>
      <c r="Y1" s="438"/>
      <c r="Z1" s="476"/>
      <c r="AA1" s="476"/>
      <c r="AB1" s="476"/>
      <c r="AC1" s="476"/>
      <c r="AD1" s="476"/>
      <c r="AE1" s="476"/>
      <c r="AF1" s="476"/>
      <c r="AG1" s="476"/>
      <c r="AH1" s="476"/>
      <c r="AI1" s="476"/>
      <c r="AJ1" s="476"/>
      <c r="AK1" s="476"/>
      <c r="AL1" s="476"/>
      <c r="AM1" s="476"/>
      <c r="BQ1" s="210"/>
      <c r="BU1" s="210"/>
      <c r="BY1" s="210"/>
    </row>
    <row r="2" ht="60" customHeight="1" spans="1:73">
      <c r="A2" s="147" t="s">
        <v>222</v>
      </c>
      <c r="B2" s="148" t="s">
        <v>223</v>
      </c>
      <c r="C2" s="148"/>
      <c r="D2" s="148"/>
      <c r="E2" s="148"/>
      <c r="F2" s="148"/>
      <c r="G2" s="148"/>
      <c r="H2" s="439"/>
      <c r="I2" s="148"/>
      <c r="J2" s="148"/>
      <c r="K2" s="148"/>
      <c r="L2" s="439"/>
      <c r="M2" s="148"/>
      <c r="N2" s="148"/>
      <c r="O2" s="148"/>
      <c r="P2" s="439"/>
      <c r="Q2" s="148"/>
      <c r="R2" s="148"/>
      <c r="S2" s="148"/>
      <c r="T2" s="148"/>
      <c r="U2" s="439"/>
      <c r="V2" s="148"/>
      <c r="W2" s="148"/>
      <c r="X2" s="148"/>
      <c r="Y2" s="149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BC2" s="486"/>
      <c r="BQ2" s="210"/>
      <c r="BU2" s="210"/>
    </row>
    <row r="3" s="149" customFormat="1" ht="31.5" customHeight="1" spans="1:113">
      <c r="A3" s="155" t="s">
        <v>224</v>
      </c>
      <c r="B3" s="175" t="s">
        <v>172</v>
      </c>
      <c r="C3" s="155" t="s">
        <v>173</v>
      </c>
      <c r="D3" s="440" t="s">
        <v>225</v>
      </c>
      <c r="E3" s="216" t="s">
        <v>226</v>
      </c>
      <c r="F3" s="216" t="s">
        <v>227</v>
      </c>
      <c r="G3" s="441" t="s">
        <v>176</v>
      </c>
      <c r="H3" s="442" t="s">
        <v>228</v>
      </c>
      <c r="I3" s="216" t="s">
        <v>229</v>
      </c>
      <c r="J3" s="216" t="s">
        <v>230</v>
      </c>
      <c r="K3" s="440" t="s">
        <v>176</v>
      </c>
      <c r="L3" s="442" t="s">
        <v>228</v>
      </c>
      <c r="M3" s="467" t="s">
        <v>231</v>
      </c>
      <c r="N3" s="216" t="s">
        <v>232</v>
      </c>
      <c r="O3" s="440" t="s">
        <v>176</v>
      </c>
      <c r="P3" s="442" t="s">
        <v>228</v>
      </c>
      <c r="Q3" s="216" t="s">
        <v>233</v>
      </c>
      <c r="R3" s="216" t="s">
        <v>234</v>
      </c>
      <c r="S3" s="471" t="s">
        <v>235</v>
      </c>
      <c r="T3" s="440" t="s">
        <v>236</v>
      </c>
      <c r="U3" s="442" t="s">
        <v>237</v>
      </c>
      <c r="V3" s="216" t="s">
        <v>238</v>
      </c>
      <c r="W3" s="216" t="s">
        <v>239</v>
      </c>
      <c r="X3" s="440" t="s">
        <v>176</v>
      </c>
      <c r="Y3" s="442" t="s">
        <v>228</v>
      </c>
      <c r="Z3" s="216" t="s">
        <v>240</v>
      </c>
      <c r="AA3" s="216" t="s">
        <v>241</v>
      </c>
      <c r="AB3" s="440" t="s">
        <v>176</v>
      </c>
      <c r="AC3" s="440" t="s">
        <v>228</v>
      </c>
      <c r="AD3" s="216" t="s">
        <v>242</v>
      </c>
      <c r="AE3" s="216" t="s">
        <v>243</v>
      </c>
      <c r="AF3" s="440" t="s">
        <v>176</v>
      </c>
      <c r="AG3" s="152" t="s">
        <v>228</v>
      </c>
      <c r="AH3" s="216" t="s">
        <v>244</v>
      </c>
      <c r="AI3" s="216" t="s">
        <v>245</v>
      </c>
      <c r="AJ3" s="471" t="s">
        <v>246</v>
      </c>
      <c r="AK3" s="216" t="s">
        <v>247</v>
      </c>
      <c r="AL3" s="440" t="s">
        <v>236</v>
      </c>
      <c r="AM3" s="152" t="s">
        <v>237</v>
      </c>
      <c r="AN3" s="216" t="s">
        <v>248</v>
      </c>
      <c r="AO3" s="216" t="s">
        <v>249</v>
      </c>
      <c r="AP3" s="440" t="s">
        <v>176</v>
      </c>
      <c r="AQ3" s="440" t="s">
        <v>228</v>
      </c>
      <c r="AR3" s="216" t="s">
        <v>250</v>
      </c>
      <c r="AS3" s="216" t="s">
        <v>251</v>
      </c>
      <c r="AT3" s="440" t="s">
        <v>176</v>
      </c>
      <c r="AU3" s="440" t="s">
        <v>228</v>
      </c>
      <c r="AV3" s="216" t="s">
        <v>252</v>
      </c>
      <c r="AW3" s="216" t="s">
        <v>253</v>
      </c>
      <c r="AX3" s="440" t="s">
        <v>176</v>
      </c>
      <c r="AY3" s="440" t="s">
        <v>228</v>
      </c>
      <c r="AZ3" s="216" t="s">
        <v>254</v>
      </c>
      <c r="BA3" s="216" t="s">
        <v>255</v>
      </c>
      <c r="BB3" s="471" t="s">
        <v>256</v>
      </c>
      <c r="BC3" s="487" t="s">
        <v>257</v>
      </c>
      <c r="BD3" s="441" t="s">
        <v>236</v>
      </c>
      <c r="BE3" s="440" t="s">
        <v>237</v>
      </c>
      <c r="BF3" s="216" t="s">
        <v>258</v>
      </c>
      <c r="BG3" s="216" t="s">
        <v>259</v>
      </c>
      <c r="BH3" s="440" t="s">
        <v>176</v>
      </c>
      <c r="BI3" s="440" t="s">
        <v>228</v>
      </c>
      <c r="BJ3" s="216" t="s">
        <v>260</v>
      </c>
      <c r="BK3" s="216" t="s">
        <v>261</v>
      </c>
      <c r="BL3" s="440" t="s">
        <v>176</v>
      </c>
      <c r="BM3" s="440" t="s">
        <v>228</v>
      </c>
      <c r="BN3" s="230" t="s">
        <v>262</v>
      </c>
      <c r="BO3" s="216" t="s">
        <v>263</v>
      </c>
      <c r="BP3" s="440" t="s">
        <v>176</v>
      </c>
      <c r="BQ3" s="440" t="s">
        <v>228</v>
      </c>
      <c r="BR3" s="216" t="s">
        <v>264</v>
      </c>
      <c r="BS3" s="216" t="s">
        <v>265</v>
      </c>
      <c r="BT3" s="471" t="s">
        <v>266</v>
      </c>
      <c r="BU3" s="216" t="s">
        <v>267</v>
      </c>
      <c r="BV3" s="440" t="s">
        <v>236</v>
      </c>
      <c r="BW3" s="440" t="s">
        <v>237</v>
      </c>
      <c r="BX3" s="216" t="s">
        <v>268</v>
      </c>
      <c r="BY3" s="216" t="s">
        <v>269</v>
      </c>
      <c r="BZ3" s="440" t="s">
        <v>176</v>
      </c>
      <c r="CA3" s="497"/>
      <c r="CB3" s="498" t="s">
        <v>138</v>
      </c>
      <c r="CC3" s="497"/>
      <c r="CD3" s="497"/>
      <c r="CE3" s="497"/>
      <c r="CF3" s="497"/>
      <c r="CG3" s="497"/>
      <c r="CH3" s="497"/>
      <c r="CI3" s="497"/>
      <c r="CJ3" s="497"/>
      <c r="CK3" s="497"/>
      <c r="CL3" s="497"/>
      <c r="CM3" s="497"/>
      <c r="CN3" s="497"/>
      <c r="CO3" s="497"/>
      <c r="CP3" s="497"/>
      <c r="CQ3" s="497"/>
      <c r="CR3" s="497"/>
      <c r="CS3" s="497"/>
      <c r="CT3" s="497"/>
      <c r="CU3" s="497"/>
      <c r="CV3" s="497"/>
      <c r="CW3" s="497"/>
      <c r="CX3" s="497"/>
      <c r="CY3" s="497"/>
      <c r="CZ3" s="497"/>
      <c r="DA3" s="497"/>
      <c r="DB3" s="497"/>
      <c r="DC3" s="497"/>
      <c r="DD3" s="497"/>
      <c r="DE3" s="497"/>
      <c r="DF3" s="497"/>
      <c r="DG3" s="497"/>
      <c r="DH3" s="497"/>
      <c r="DI3" s="497"/>
    </row>
    <row r="4" s="434" customFormat="1" ht="48" customHeight="1" spans="1:113">
      <c r="A4" s="443" t="s">
        <v>38</v>
      </c>
      <c r="B4" s="444" t="s">
        <v>270</v>
      </c>
      <c r="C4" s="445" t="s">
        <v>39</v>
      </c>
      <c r="D4" s="446">
        <v>7000</v>
      </c>
      <c r="E4" s="447">
        <f>VLOOKUP(C4,金华、杭州、湖州任务!A:C,3,0)</f>
        <v>27</v>
      </c>
      <c r="F4" s="448">
        <f>杭州大区回款!E9+杭州大区回款!E14</f>
        <v>275017.95</v>
      </c>
      <c r="G4" s="449">
        <f>F4/E4/10000</f>
        <v>1.018585</v>
      </c>
      <c r="H4" s="450">
        <f>7000*0.7*G4</f>
        <v>4991.0665</v>
      </c>
      <c r="I4" s="447">
        <f>VLOOKUP(C4,金华、杭州、湖州任务!A:D,4,0)</f>
        <v>21</v>
      </c>
      <c r="J4" s="448">
        <f>杭州大区回款!F9+杭州大区回款!F14</f>
        <v>216972.5</v>
      </c>
      <c r="K4" s="449">
        <f>J4/I4/10000</f>
        <v>1.03320238095238</v>
      </c>
      <c r="L4" s="450">
        <f t="shared" ref="L4:L8" si="0">7000*0.7*K4</f>
        <v>5062.69166666667</v>
      </c>
      <c r="M4" s="468">
        <f>VLOOKUP(C4,金华、杭州、湖州任务!A:E,5,0)</f>
        <v>120</v>
      </c>
      <c r="N4" s="448">
        <f>杭州大区回款!G9+杭州大区回款!G14</f>
        <v>224752.5</v>
      </c>
      <c r="O4" s="453">
        <f>N4/M4/10000</f>
        <v>0.18729375</v>
      </c>
      <c r="P4" s="450">
        <f t="shared" ref="P4:P8" si="1">7000*0.7*O4</f>
        <v>917.739375</v>
      </c>
      <c r="Q4" s="472">
        <f>VLOOKUP(C4,金华、杭州、湖州任务!A:F,6,0)</f>
        <v>168</v>
      </c>
      <c r="R4" s="448">
        <f>杭州大区回款!H9+杭州大区回款!H14</f>
        <v>716742.95</v>
      </c>
      <c r="S4" s="453">
        <f t="shared" ref="S4:S10" si="2">R4/Q4/10000</f>
        <v>0.426632708333333</v>
      </c>
      <c r="T4" s="472">
        <f>7000*0.3*3</f>
        <v>6300</v>
      </c>
      <c r="U4" s="473">
        <f t="shared" ref="U4:U10" si="3">T4*S4</f>
        <v>2687.7860625</v>
      </c>
      <c r="V4" s="446">
        <f>VLOOKUP(C4,金华、杭州、湖州任务!A:G,7,0)</f>
        <v>60</v>
      </c>
      <c r="W4" s="448">
        <f>杭州大区回款!I9+杭州大区回款!I14</f>
        <v>972283.5</v>
      </c>
      <c r="X4" s="449">
        <f t="shared" ref="X4:X7" si="4">W4/V4/10000</f>
        <v>1.6204725</v>
      </c>
      <c r="Y4" s="450">
        <f>X4*7000*0.7</f>
        <v>7940.31525</v>
      </c>
      <c r="Z4" s="446">
        <f>金华、杭州、湖州任务!H6</f>
        <v>60</v>
      </c>
      <c r="AA4" s="448">
        <f>杭州大区回款!J9+杭州大区回款!J14</f>
        <v>640209.25</v>
      </c>
      <c r="AB4" s="449">
        <f t="shared" ref="AB4:AB11" si="5">AA4/Z4/10000</f>
        <v>1.06701541666667</v>
      </c>
      <c r="AC4" s="448">
        <f>7000*0.7*AB4</f>
        <v>5228.37554166667</v>
      </c>
      <c r="AD4" s="446">
        <f>金华、杭州、湖州任务!I6</f>
        <v>88</v>
      </c>
      <c r="AE4" s="448">
        <f>杭州大区回款!K9+杭州大区回款!K14</f>
        <v>390765</v>
      </c>
      <c r="AF4" s="453">
        <f>AE4/AD4/10000</f>
        <v>0.444051136363636</v>
      </c>
      <c r="AG4" s="448">
        <f>ROUND(7000*0.7*AF4,2)</f>
        <v>2175.85</v>
      </c>
      <c r="AH4" s="472">
        <f t="shared" ref="AH4:AH11" si="6">V4+Z4+AD4</f>
        <v>208</v>
      </c>
      <c r="AI4" s="472">
        <f t="shared" ref="AI4:AI11" si="7">W4+AA4+AE4</f>
        <v>2003257.75</v>
      </c>
      <c r="AJ4" s="449">
        <f t="shared" ref="AJ4:AJ9" si="8">AI4/AH4/10000</f>
        <v>0.9631046875</v>
      </c>
      <c r="AK4" s="449"/>
      <c r="AL4" s="472">
        <f t="shared" ref="AL4:AL8" si="9">7000*0.3*3</f>
        <v>6300</v>
      </c>
      <c r="AM4" s="477">
        <f t="shared" ref="AM4:AM11" si="10">ROUND(AL4*AJ4,2)</f>
        <v>6067.56</v>
      </c>
      <c r="AN4" s="446">
        <f>金华、杭州、湖州任务!K6</f>
        <v>30</v>
      </c>
      <c r="AO4" s="448">
        <f>杭州大区回款!M9+杭州大区回款!M14</f>
        <v>692048.7</v>
      </c>
      <c r="AP4" s="449">
        <f t="shared" ref="AP4:AP14" si="11">AO4/AN4/10000</f>
        <v>2.306829</v>
      </c>
      <c r="AQ4" s="448">
        <f t="shared" ref="AQ4:AQ6" si="12">7000*0.7*AP4</f>
        <v>11303.4621</v>
      </c>
      <c r="AR4" s="446">
        <f>金华、杭州、湖州任务!L6</f>
        <v>40</v>
      </c>
      <c r="AS4" s="484">
        <f>杭州大区回款!N9+杭州大区回款!N14</f>
        <v>425719</v>
      </c>
      <c r="AT4" s="449">
        <f>AS4/AR4/10000</f>
        <v>1.0642975</v>
      </c>
      <c r="AU4" s="448">
        <f>ROUND(7000*0.7*AT4,2)</f>
        <v>5215.06</v>
      </c>
      <c r="AV4" s="446"/>
      <c r="AW4" s="448"/>
      <c r="AX4" s="449"/>
      <c r="AY4" s="448"/>
      <c r="AZ4" s="472"/>
      <c r="BA4" s="448"/>
      <c r="BB4" s="449"/>
      <c r="BC4" s="449"/>
      <c r="BD4" s="488"/>
      <c r="BE4" s="477"/>
      <c r="BF4" s="446"/>
      <c r="BG4" s="448"/>
      <c r="BH4" s="449"/>
      <c r="BI4" s="448"/>
      <c r="BJ4" s="445"/>
      <c r="BK4" s="457"/>
      <c r="BL4" s="458"/>
      <c r="BM4" s="457"/>
      <c r="BN4" s="496"/>
      <c r="BO4" s="457"/>
      <c r="BP4" s="458"/>
      <c r="BQ4" s="457"/>
      <c r="BR4" s="461"/>
      <c r="BS4" s="457"/>
      <c r="BT4" s="458"/>
      <c r="BU4" s="458"/>
      <c r="BV4" s="461"/>
      <c r="BW4" s="457"/>
      <c r="BX4" s="495"/>
      <c r="BY4" s="495"/>
      <c r="BZ4" s="458"/>
      <c r="CA4" s="435"/>
      <c r="CB4" s="499"/>
      <c r="CC4" s="503"/>
      <c r="CD4" s="435"/>
      <c r="CE4" s="435"/>
      <c r="CF4" s="435"/>
      <c r="CG4" s="435"/>
      <c r="CH4" s="435"/>
      <c r="CI4" s="435"/>
      <c r="CJ4" s="435"/>
      <c r="CK4" s="435"/>
      <c r="CL4" s="435"/>
      <c r="CM4" s="435"/>
      <c r="CN4" s="435"/>
      <c r="CO4" s="435"/>
      <c r="CP4" s="435"/>
      <c r="CQ4" s="435"/>
      <c r="CR4" s="435"/>
      <c r="CS4" s="435"/>
      <c r="CT4" s="435"/>
      <c r="CU4" s="435"/>
      <c r="CV4" s="435"/>
      <c r="CW4" s="435"/>
      <c r="CX4" s="435"/>
      <c r="CY4" s="435"/>
      <c r="CZ4" s="435"/>
      <c r="DA4" s="435"/>
      <c r="DB4" s="435"/>
      <c r="DC4" s="435"/>
      <c r="DD4" s="435"/>
      <c r="DE4" s="435"/>
      <c r="DF4" s="435"/>
      <c r="DG4" s="435"/>
      <c r="DH4" s="435"/>
      <c r="DI4" s="435"/>
    </row>
    <row r="5" s="434" customFormat="1" ht="48" customHeight="1" spans="1:113">
      <c r="A5" s="451"/>
      <c r="B5" s="452" t="s">
        <v>271</v>
      </c>
      <c r="C5" s="445" t="s">
        <v>54</v>
      </c>
      <c r="D5" s="446">
        <v>7000</v>
      </c>
      <c r="E5" s="447">
        <f>VLOOKUP(C5,金华、杭州、湖州任务!A:C,3,0)</f>
        <v>40</v>
      </c>
      <c r="F5" s="448">
        <f>杭州大区回款!E20</f>
        <v>517835.69</v>
      </c>
      <c r="G5" s="449">
        <f>F5/E5/10000</f>
        <v>1.294589225</v>
      </c>
      <c r="H5" s="450">
        <f>6500*0.7*G5</f>
        <v>5890.38097375</v>
      </c>
      <c r="I5" s="447">
        <f>VLOOKUP(C5,金华、杭州、湖州任务!A:D,4,0)</f>
        <v>30</v>
      </c>
      <c r="J5" s="448">
        <f>杭州大区回款!F20</f>
        <v>464319.83</v>
      </c>
      <c r="K5" s="449">
        <f t="shared" ref="K5:K10" si="13">J5/I5/10000</f>
        <v>1.54773276666667</v>
      </c>
      <c r="L5" s="450">
        <f t="shared" si="0"/>
        <v>7583.89055666667</v>
      </c>
      <c r="M5" s="468">
        <f>VLOOKUP(C5,金华、杭州、湖州任务!A:E,5,0)</f>
        <v>48</v>
      </c>
      <c r="N5" s="448">
        <f>杭州大区回款!G20</f>
        <v>713818.2</v>
      </c>
      <c r="O5" s="449">
        <f>N5/M5/10000</f>
        <v>1.48712125</v>
      </c>
      <c r="P5" s="450">
        <f t="shared" si="1"/>
        <v>7286.894125</v>
      </c>
      <c r="Q5" s="472">
        <f>VLOOKUP(C5,金华、杭州、湖州任务!A:F,6,0)</f>
        <v>118</v>
      </c>
      <c r="R5" s="448">
        <f>杭州大区回款!H20</f>
        <v>1695973.72</v>
      </c>
      <c r="S5" s="449">
        <f t="shared" si="2"/>
        <v>1.43726586440678</v>
      </c>
      <c r="T5" s="472">
        <f>6500*0.3+7000*0.3*2</f>
        <v>6150</v>
      </c>
      <c r="U5" s="450">
        <f t="shared" si="3"/>
        <v>8839.1850661017</v>
      </c>
      <c r="V5" s="446">
        <f>VLOOKUP(C5,金华、杭州、湖州任务!A:G,7,0)</f>
        <v>43</v>
      </c>
      <c r="W5" s="448">
        <f>杭州大区回款!I20</f>
        <v>394370.22</v>
      </c>
      <c r="X5" s="449">
        <f t="shared" si="4"/>
        <v>0.917140046511628</v>
      </c>
      <c r="Y5" s="450">
        <f>X5*7000*0.7</f>
        <v>4493.98622790698</v>
      </c>
      <c r="Z5" s="446">
        <f>金华、杭州、湖州任务!H5</f>
        <v>49</v>
      </c>
      <c r="AA5" s="448">
        <f>杭州大区回款!J20</f>
        <v>415019.03</v>
      </c>
      <c r="AB5" s="449">
        <f t="shared" si="5"/>
        <v>0.846977612244898</v>
      </c>
      <c r="AC5" s="448">
        <f>AB5*7000*0.7</f>
        <v>4150.1903</v>
      </c>
      <c r="AD5" s="446">
        <f>金华、杭州、湖州任务!I5</f>
        <v>54</v>
      </c>
      <c r="AE5" s="448">
        <f>杭州大区回款!K20</f>
        <v>537300.98</v>
      </c>
      <c r="AF5" s="449">
        <f>AE5/AD5/10000</f>
        <v>0.995001814814815</v>
      </c>
      <c r="AG5" s="448">
        <f>ROUND(7000*0.7*AF5,2)</f>
        <v>4875.51</v>
      </c>
      <c r="AH5" s="472">
        <f t="shared" si="6"/>
        <v>146</v>
      </c>
      <c r="AI5" s="472">
        <f t="shared" si="7"/>
        <v>1346690.23</v>
      </c>
      <c r="AJ5" s="449">
        <f t="shared" si="8"/>
        <v>0.922390568493151</v>
      </c>
      <c r="AK5" s="449"/>
      <c r="AL5" s="472">
        <f t="shared" si="9"/>
        <v>6300</v>
      </c>
      <c r="AM5" s="477">
        <f t="shared" si="10"/>
        <v>5811.06</v>
      </c>
      <c r="AN5" s="446">
        <f>金华、杭州、湖州任务!K5</f>
        <v>38</v>
      </c>
      <c r="AO5" s="448">
        <f>杭州大区回款!M20</f>
        <v>174370.86</v>
      </c>
      <c r="AP5" s="485">
        <f t="shared" si="11"/>
        <v>0.458870684210526</v>
      </c>
      <c r="AQ5" s="448">
        <f t="shared" si="12"/>
        <v>2248.46635263158</v>
      </c>
      <c r="AR5" s="446">
        <f>金华、杭州、湖州任务!L5</f>
        <v>40</v>
      </c>
      <c r="AS5" s="448">
        <f>杭州大区回款!N20</f>
        <v>2002</v>
      </c>
      <c r="AT5" s="453">
        <f t="shared" ref="AT5:AT14" si="14">AS5/AR5/10000</f>
        <v>0.005005</v>
      </c>
      <c r="AU5" s="448">
        <f>ROUND(7000*0.7*AT5,2)</f>
        <v>24.52</v>
      </c>
      <c r="AV5" s="446"/>
      <c r="AW5" s="448"/>
      <c r="AX5" s="449"/>
      <c r="AY5" s="448"/>
      <c r="AZ5" s="472"/>
      <c r="BA5" s="448"/>
      <c r="BB5" s="449"/>
      <c r="BC5" s="489"/>
      <c r="BD5" s="488"/>
      <c r="BE5" s="477"/>
      <c r="BF5" s="446"/>
      <c r="BG5" s="448"/>
      <c r="BH5" s="449"/>
      <c r="BI5" s="448"/>
      <c r="BJ5" s="445"/>
      <c r="BK5" s="457"/>
      <c r="BL5" s="458"/>
      <c r="BM5" s="457"/>
      <c r="BN5" s="496"/>
      <c r="BO5" s="457"/>
      <c r="BP5" s="458"/>
      <c r="BQ5" s="457"/>
      <c r="BR5" s="461"/>
      <c r="BS5" s="457"/>
      <c r="BT5" s="458"/>
      <c r="BU5" s="458"/>
      <c r="BV5" s="461"/>
      <c r="BW5" s="457"/>
      <c r="BX5" s="495"/>
      <c r="BY5" s="495"/>
      <c r="BZ5" s="458"/>
      <c r="CA5" s="435"/>
      <c r="CB5" s="499"/>
      <c r="CC5" s="503"/>
      <c r="CD5" s="435"/>
      <c r="CE5" s="435"/>
      <c r="CF5" s="435"/>
      <c r="CG5" s="435"/>
      <c r="CH5" s="435"/>
      <c r="CI5" s="435"/>
      <c r="CJ5" s="435"/>
      <c r="CK5" s="435"/>
      <c r="CL5" s="435"/>
      <c r="CM5" s="435"/>
      <c r="CN5" s="435"/>
      <c r="CO5" s="435"/>
      <c r="CP5" s="435"/>
      <c r="CQ5" s="435"/>
      <c r="CR5" s="435"/>
      <c r="CS5" s="435"/>
      <c r="CT5" s="435"/>
      <c r="CU5" s="435"/>
      <c r="CV5" s="435"/>
      <c r="CW5" s="435"/>
      <c r="CX5" s="435"/>
      <c r="CY5" s="435"/>
      <c r="CZ5" s="435"/>
      <c r="DA5" s="435"/>
      <c r="DB5" s="435"/>
      <c r="DC5" s="435"/>
      <c r="DD5" s="435"/>
      <c r="DE5" s="435"/>
      <c r="DF5" s="435"/>
      <c r="DG5" s="435"/>
      <c r="DH5" s="435"/>
      <c r="DI5" s="435"/>
    </row>
    <row r="6" s="434" customFormat="1" ht="48" customHeight="1" spans="1:113">
      <c r="A6" s="451"/>
      <c r="B6" s="452" t="s">
        <v>181</v>
      </c>
      <c r="C6" s="445" t="s">
        <v>198</v>
      </c>
      <c r="D6" s="446">
        <v>6000</v>
      </c>
      <c r="E6" s="447">
        <f>VLOOKUP(C6,金华、杭州、湖州任务!A:C,3,0)</f>
        <v>60</v>
      </c>
      <c r="F6" s="448">
        <f>杭州大区回款!E29+杭州大区回款!E37</f>
        <v>302627</v>
      </c>
      <c r="G6" s="453">
        <f>F6/E6/10000</f>
        <v>0.504378333333333</v>
      </c>
      <c r="H6" s="450">
        <f>6000*0.7*G6</f>
        <v>2118.389</v>
      </c>
      <c r="I6" s="447">
        <f>VLOOKUP(C6,金华、杭州、湖州任务!A:D,4,0)</f>
        <v>50</v>
      </c>
      <c r="J6" s="448">
        <f>杭州大区回款!F29+杭州大区回款!F37</f>
        <v>183015</v>
      </c>
      <c r="K6" s="453">
        <f t="shared" si="13"/>
        <v>0.36603</v>
      </c>
      <c r="L6" s="450">
        <f>6000*0.7*K6</f>
        <v>1537.326</v>
      </c>
      <c r="M6" s="468">
        <f>VLOOKUP(C6,金华、杭州、湖州任务!A:E,5,0)</f>
        <v>70</v>
      </c>
      <c r="N6" s="448">
        <f>杭州大区回款!G29+杭州大区回款!G37</f>
        <v>407258</v>
      </c>
      <c r="O6" s="453">
        <f>N6/M6/10000</f>
        <v>0.581797142857143</v>
      </c>
      <c r="P6" s="450">
        <f>6000*0.7*O6</f>
        <v>2443.548</v>
      </c>
      <c r="Q6" s="472">
        <f>VLOOKUP(C6,金华、杭州、湖州任务!A:F,6,0)</f>
        <v>180</v>
      </c>
      <c r="R6" s="448">
        <f>杭州大区回款!H29+杭州大区回款!H37</f>
        <v>892900</v>
      </c>
      <c r="S6" s="453">
        <f t="shared" si="2"/>
        <v>0.496055555555556</v>
      </c>
      <c r="T6" s="472">
        <f>6000*0.3*3</f>
        <v>5400</v>
      </c>
      <c r="U6" s="473">
        <f t="shared" si="3"/>
        <v>2678.7</v>
      </c>
      <c r="V6" s="446">
        <f>VLOOKUP(C6,金华、杭州、湖州任务!A:G,7,0)</f>
        <v>55</v>
      </c>
      <c r="W6" s="448">
        <f>杭州大区回款!I29+杭州大区回款!I37</f>
        <v>381592</v>
      </c>
      <c r="X6" s="449">
        <f t="shared" si="4"/>
        <v>0.693803636363636</v>
      </c>
      <c r="Y6" s="450">
        <v>0</v>
      </c>
      <c r="Z6" s="446">
        <f>金华、杭州、湖州任务!H7</f>
        <v>60</v>
      </c>
      <c r="AA6" s="448">
        <f>杭州大区回款!J29+杭州大区回款!J37</f>
        <v>255823</v>
      </c>
      <c r="AB6" s="449">
        <f t="shared" si="5"/>
        <v>0.426371666666667</v>
      </c>
      <c r="AC6" s="448">
        <v>0</v>
      </c>
      <c r="AD6" s="446">
        <f>金华、杭州、湖州任务!I7</f>
        <v>63</v>
      </c>
      <c r="AE6" s="448">
        <f>杭州大区回款!K29+杭州大区回款!K37</f>
        <v>531183.74</v>
      </c>
      <c r="AF6" s="449">
        <f>AE6/AD6/10000</f>
        <v>0.843148793650794</v>
      </c>
      <c r="AG6" s="448">
        <v>0</v>
      </c>
      <c r="AH6" s="472">
        <f t="shared" si="6"/>
        <v>178</v>
      </c>
      <c r="AI6" s="472">
        <f t="shared" si="7"/>
        <v>1168598.74</v>
      </c>
      <c r="AJ6" s="449">
        <f t="shared" si="8"/>
        <v>0.656516146067416</v>
      </c>
      <c r="AK6" s="449"/>
      <c r="AL6" s="472">
        <v>0</v>
      </c>
      <c r="AM6" s="477">
        <f t="shared" si="10"/>
        <v>0</v>
      </c>
      <c r="AN6" s="446">
        <f>金华、杭州、湖州任务!K7</f>
        <v>58</v>
      </c>
      <c r="AO6" s="448">
        <f>杭州大区回款!M29+杭州大区回款!M37</f>
        <v>185631</v>
      </c>
      <c r="AP6" s="485">
        <f t="shared" si="11"/>
        <v>0.320053448275862</v>
      </c>
      <c r="AQ6" s="448">
        <v>0</v>
      </c>
      <c r="AR6" s="446">
        <f>金华、杭州、湖州任务!L7</f>
        <v>60</v>
      </c>
      <c r="AS6" s="448">
        <f>杭州大区回款!N29+杭州大区回款!N37</f>
        <v>265085</v>
      </c>
      <c r="AT6" s="453">
        <f t="shared" si="14"/>
        <v>0.441808333333333</v>
      </c>
      <c r="AU6" s="448">
        <f>ROUND(6000*0.7*AT6,2)</f>
        <v>1855.6</v>
      </c>
      <c r="AV6" s="446"/>
      <c r="AW6" s="448"/>
      <c r="AX6" s="449"/>
      <c r="AY6" s="448"/>
      <c r="AZ6" s="472"/>
      <c r="BA6" s="448"/>
      <c r="BB6" s="449"/>
      <c r="BC6" s="489"/>
      <c r="BD6" s="488"/>
      <c r="BE6" s="477"/>
      <c r="BF6" s="446"/>
      <c r="BG6" s="448"/>
      <c r="BH6" s="449"/>
      <c r="BI6" s="448"/>
      <c r="BJ6" s="445"/>
      <c r="BK6" s="457"/>
      <c r="BL6" s="458"/>
      <c r="BM6" s="457"/>
      <c r="BN6" s="496"/>
      <c r="BO6" s="457"/>
      <c r="BP6" s="458"/>
      <c r="BQ6" s="457"/>
      <c r="BR6" s="461"/>
      <c r="BS6" s="457"/>
      <c r="BT6" s="458"/>
      <c r="BU6" s="458"/>
      <c r="BV6" s="461"/>
      <c r="BW6" s="457"/>
      <c r="BX6" s="495"/>
      <c r="BY6" s="495"/>
      <c r="BZ6" s="458"/>
      <c r="CA6" s="435"/>
      <c r="CB6" s="499"/>
      <c r="CC6" s="503"/>
      <c r="CD6" s="435"/>
      <c r="CE6" s="435"/>
      <c r="CF6" s="435"/>
      <c r="CG6" s="435"/>
      <c r="CH6" s="435"/>
      <c r="CI6" s="435"/>
      <c r="CJ6" s="435"/>
      <c r="CK6" s="435"/>
      <c r="CL6" s="435"/>
      <c r="CM6" s="435"/>
      <c r="CN6" s="435"/>
      <c r="CO6" s="435"/>
      <c r="CP6" s="435"/>
      <c r="CQ6" s="435"/>
      <c r="CR6" s="435"/>
      <c r="CS6" s="435"/>
      <c r="CT6" s="435"/>
      <c r="CU6" s="435"/>
      <c r="CV6" s="435"/>
      <c r="CW6" s="435"/>
      <c r="CX6" s="435"/>
      <c r="CY6" s="435"/>
      <c r="CZ6" s="435"/>
      <c r="DA6" s="435"/>
      <c r="DB6" s="435"/>
      <c r="DC6" s="435"/>
      <c r="DD6" s="435"/>
      <c r="DE6" s="435"/>
      <c r="DF6" s="435"/>
      <c r="DG6" s="435"/>
      <c r="DH6" s="435"/>
      <c r="DI6" s="435"/>
    </row>
    <row r="7" s="434" customFormat="1" ht="48" customHeight="1" spans="1:113">
      <c r="A7" s="451"/>
      <c r="B7" s="452" t="s">
        <v>272</v>
      </c>
      <c r="C7" s="445" t="s">
        <v>273</v>
      </c>
      <c r="D7" s="446"/>
      <c r="E7" s="447">
        <f>VLOOKUP(C7,金华、杭州、湖州任务!A:C,3,0)</f>
        <v>95</v>
      </c>
      <c r="F7" s="448"/>
      <c r="G7" s="449">
        <f>F7/E7/10000</f>
        <v>0</v>
      </c>
      <c r="H7" s="450"/>
      <c r="I7" s="447">
        <f>VLOOKUP(C7,金华、杭州、湖州任务!A:D,4,0)</f>
        <v>96</v>
      </c>
      <c r="J7" s="448"/>
      <c r="K7" s="449">
        <f t="shared" si="13"/>
        <v>0</v>
      </c>
      <c r="L7" s="450"/>
      <c r="M7" s="468">
        <f>VLOOKUP(C7,金华、杭州、湖州任务!A:E,5,0)</f>
        <v>152</v>
      </c>
      <c r="N7" s="448"/>
      <c r="O7" s="449">
        <f>N7/M7/10000</f>
        <v>0</v>
      </c>
      <c r="P7" s="450"/>
      <c r="Q7" s="472">
        <f>VLOOKUP(C7,金华、杭州、湖州任务!A:F,6,0)</f>
        <v>343</v>
      </c>
      <c r="R7" s="448"/>
      <c r="S7" s="449"/>
      <c r="T7" s="472"/>
      <c r="U7" s="450"/>
      <c r="V7" s="446">
        <f>金华、杭州、湖州任务!G4</f>
        <v>135</v>
      </c>
      <c r="W7" s="448">
        <f>杭州大区回款!I51</f>
        <v>1416568.7</v>
      </c>
      <c r="X7" s="449">
        <f t="shared" si="4"/>
        <v>1.04931014814815</v>
      </c>
      <c r="Y7" s="450">
        <v>0</v>
      </c>
      <c r="Z7" s="477">
        <f>金华、杭州、湖州任务!H4</f>
        <v>141</v>
      </c>
      <c r="AA7" s="448">
        <f>杭州大区回款!J51</f>
        <v>1324924.14</v>
      </c>
      <c r="AB7" s="449">
        <f t="shared" si="5"/>
        <v>0.939662510638298</v>
      </c>
      <c r="AC7" s="448">
        <v>0</v>
      </c>
      <c r="AD7" s="446">
        <f>金华、杭州、湖州任务!I4</f>
        <v>148</v>
      </c>
      <c r="AE7" s="448">
        <f>杭州大区回款!K51</f>
        <v>1967353.4</v>
      </c>
      <c r="AF7" s="449">
        <f>AE7/AD7/10000</f>
        <v>1.32929283783784</v>
      </c>
      <c r="AG7" s="448">
        <v>0</v>
      </c>
      <c r="AH7" s="472">
        <f t="shared" si="6"/>
        <v>424</v>
      </c>
      <c r="AI7" s="472">
        <f t="shared" si="7"/>
        <v>4708846.24</v>
      </c>
      <c r="AJ7" s="449">
        <f t="shared" si="8"/>
        <v>1.11057694339623</v>
      </c>
      <c r="AK7" s="449"/>
      <c r="AL7" s="480">
        <v>0</v>
      </c>
      <c r="AM7" s="477">
        <f t="shared" si="10"/>
        <v>0</v>
      </c>
      <c r="AN7" s="446">
        <f>金华、杭州、湖州任务!K4</f>
        <v>122</v>
      </c>
      <c r="AO7" s="448">
        <f>杭州大区回款!M51</f>
        <v>615356</v>
      </c>
      <c r="AP7" s="485">
        <f t="shared" si="11"/>
        <v>0.504390163934426</v>
      </c>
      <c r="AQ7" s="448">
        <v>0</v>
      </c>
      <c r="AR7" s="446">
        <f>金华、杭州、湖州任务!L4</f>
        <v>128</v>
      </c>
      <c r="AS7" s="448">
        <f>杭州大区回款!N51</f>
        <v>842627</v>
      </c>
      <c r="AT7" s="449">
        <f t="shared" si="14"/>
        <v>0.65830234375</v>
      </c>
      <c r="AU7" s="448"/>
      <c r="AV7" s="446"/>
      <c r="AW7" s="448"/>
      <c r="AX7" s="449"/>
      <c r="AY7" s="448"/>
      <c r="AZ7" s="472"/>
      <c r="BA7" s="448"/>
      <c r="BB7" s="449"/>
      <c r="BC7" s="489"/>
      <c r="BD7" s="488"/>
      <c r="BE7" s="477"/>
      <c r="BF7" s="446"/>
      <c r="BG7" s="448"/>
      <c r="BH7" s="449"/>
      <c r="BI7" s="448"/>
      <c r="BJ7" s="445"/>
      <c r="BK7" s="457"/>
      <c r="BL7" s="458"/>
      <c r="BM7" s="457"/>
      <c r="BN7" s="496"/>
      <c r="BO7" s="457"/>
      <c r="BP7" s="458"/>
      <c r="BQ7" s="457"/>
      <c r="BR7" s="461"/>
      <c r="BS7" s="457"/>
      <c r="BT7" s="458"/>
      <c r="BU7" s="458"/>
      <c r="BV7" s="461"/>
      <c r="BW7" s="457"/>
      <c r="BX7" s="495"/>
      <c r="BY7" s="495"/>
      <c r="BZ7" s="458"/>
      <c r="CA7" s="435"/>
      <c r="CB7" s="499"/>
      <c r="CC7" s="503"/>
      <c r="CD7" s="435"/>
      <c r="CE7" s="435"/>
      <c r="CF7" s="435"/>
      <c r="CG7" s="435"/>
      <c r="CH7" s="435"/>
      <c r="CI7" s="435"/>
      <c r="CJ7" s="435"/>
      <c r="CK7" s="435"/>
      <c r="CL7" s="435"/>
      <c r="CM7" s="435"/>
      <c r="CN7" s="435"/>
      <c r="CO7" s="435"/>
      <c r="CP7" s="435"/>
      <c r="CQ7" s="435"/>
      <c r="CR7" s="435"/>
      <c r="CS7" s="435"/>
      <c r="CT7" s="435"/>
      <c r="CU7" s="435"/>
      <c r="CV7" s="435"/>
      <c r="CW7" s="435"/>
      <c r="CX7" s="435"/>
      <c r="CY7" s="435"/>
      <c r="CZ7" s="435"/>
      <c r="DA7" s="435"/>
      <c r="DB7" s="435"/>
      <c r="DC7" s="435"/>
      <c r="DD7" s="435"/>
      <c r="DE7" s="435"/>
      <c r="DF7" s="435"/>
      <c r="DG7" s="435"/>
      <c r="DH7" s="435"/>
      <c r="DI7" s="435"/>
    </row>
    <row r="8" s="434" customFormat="1" ht="48" customHeight="1" spans="1:113">
      <c r="A8" s="454"/>
      <c r="B8" s="452" t="s">
        <v>274</v>
      </c>
      <c r="C8" s="445" t="s">
        <v>40</v>
      </c>
      <c r="D8" s="446">
        <v>7000</v>
      </c>
      <c r="E8" s="447">
        <f>VLOOKUP(C8,金华、杭州、湖州任务!A:C,3,0)</f>
        <v>28</v>
      </c>
      <c r="F8" s="448">
        <f>杭州大区回款!E66</f>
        <v>279309.82</v>
      </c>
      <c r="G8" s="449">
        <f t="shared" ref="G8:G14" si="15">F8/E8/10000</f>
        <v>0.997535071428571</v>
      </c>
      <c r="H8" s="450">
        <f>7000*0.7*G8</f>
        <v>4887.92185</v>
      </c>
      <c r="I8" s="447">
        <f>VLOOKUP(C8,金华、杭州、湖州任务!A:D,4,0)</f>
        <v>15</v>
      </c>
      <c r="J8" s="448">
        <f>杭州大区回款!F66</f>
        <v>135571.4</v>
      </c>
      <c r="K8" s="449">
        <f t="shared" si="13"/>
        <v>0.903809333333333</v>
      </c>
      <c r="L8" s="450">
        <f t="shared" si="0"/>
        <v>4428.66573333333</v>
      </c>
      <c r="M8" s="468">
        <f>VLOOKUP(C8,金华、杭州、湖州任务!A:E,5,0)</f>
        <v>83</v>
      </c>
      <c r="N8" s="448">
        <f>杭州大区回款!G66</f>
        <v>240868.71</v>
      </c>
      <c r="O8" s="453">
        <f t="shared" ref="O8:O14" si="16">N8/M8/10000</f>
        <v>0.290203265060241</v>
      </c>
      <c r="P8" s="450">
        <f t="shared" si="1"/>
        <v>1421.99599879518</v>
      </c>
      <c r="Q8" s="472">
        <f>VLOOKUP(C8,金华、杭州、湖州任务!A:F,6,0)</f>
        <v>126</v>
      </c>
      <c r="R8" s="448">
        <f>杭州大区回款!H66</f>
        <v>655749.93</v>
      </c>
      <c r="S8" s="449">
        <f t="shared" si="2"/>
        <v>0.520436452380952</v>
      </c>
      <c r="T8" s="472">
        <f>7000*0.3*3</f>
        <v>6300</v>
      </c>
      <c r="U8" s="450">
        <f t="shared" si="3"/>
        <v>3278.74965</v>
      </c>
      <c r="V8" s="446">
        <f>VLOOKUP(C8,金华、杭州、湖州任务!A:G,7,0)</f>
        <v>50</v>
      </c>
      <c r="W8" s="448">
        <f>杭州大区回款!I66</f>
        <v>110132.39</v>
      </c>
      <c r="X8" s="453">
        <f t="shared" ref="X8:X10" si="17">W8/V8/10000</f>
        <v>0.22026478</v>
      </c>
      <c r="Y8" s="450">
        <f>X8*7000*0.7</f>
        <v>1079.297422</v>
      </c>
      <c r="Z8" s="446">
        <f>金华、杭州、湖州任务!H8</f>
        <v>52</v>
      </c>
      <c r="AA8" s="448">
        <f>杭州大区回款!J66</f>
        <v>232650.18</v>
      </c>
      <c r="AB8" s="453">
        <f t="shared" si="5"/>
        <v>0.447404192307692</v>
      </c>
      <c r="AC8" s="448">
        <f>AB8*7000*0.7</f>
        <v>2192.28054230769</v>
      </c>
      <c r="AD8" s="446">
        <f>金华、杭州、湖州任务!I8</f>
        <v>54</v>
      </c>
      <c r="AE8" s="448">
        <f>杭州大区回款!K66</f>
        <v>274260.77</v>
      </c>
      <c r="AF8" s="453">
        <f t="shared" ref="AF8:AF14" si="18">AE8/AD8/10000</f>
        <v>0.507890314814815</v>
      </c>
      <c r="AG8" s="448">
        <f>ROUND(7000*0.7*AF8,2)</f>
        <v>2488.66</v>
      </c>
      <c r="AH8" s="472">
        <f t="shared" si="6"/>
        <v>156</v>
      </c>
      <c r="AI8" s="472">
        <f t="shared" si="7"/>
        <v>617043.34</v>
      </c>
      <c r="AJ8" s="453">
        <f t="shared" si="8"/>
        <v>0.395540602564103</v>
      </c>
      <c r="AK8" s="449"/>
      <c r="AL8" s="472">
        <f t="shared" si="9"/>
        <v>6300</v>
      </c>
      <c r="AM8" s="481">
        <f t="shared" si="10"/>
        <v>2491.91</v>
      </c>
      <c r="AN8" s="446">
        <f>金华、杭州、湖州任务!K8</f>
        <v>45</v>
      </c>
      <c r="AO8" s="448">
        <f>杭州大区回款!M66</f>
        <v>432778.72</v>
      </c>
      <c r="AP8" s="449">
        <f t="shared" si="11"/>
        <v>0.961730488888889</v>
      </c>
      <c r="AQ8" s="448">
        <f>7000*0.7*AP8</f>
        <v>4712.47939555556</v>
      </c>
      <c r="AR8" s="446">
        <f>金华、杭州、湖州任务!L8</f>
        <v>49</v>
      </c>
      <c r="AS8" s="448">
        <f>杭州大区回款!N66</f>
        <v>218842.09</v>
      </c>
      <c r="AT8" s="453">
        <f t="shared" si="14"/>
        <v>0.446616510204082</v>
      </c>
      <c r="AU8" s="448">
        <f>ROUND(7000*0.7*AT8,2)</f>
        <v>2188.42</v>
      </c>
      <c r="AV8" s="446"/>
      <c r="AW8" s="448"/>
      <c r="AX8" s="449"/>
      <c r="AY8" s="448"/>
      <c r="AZ8" s="472"/>
      <c r="BA8" s="448"/>
      <c r="BB8" s="449"/>
      <c r="BC8" s="489"/>
      <c r="BD8" s="488"/>
      <c r="BE8" s="477"/>
      <c r="BF8" s="446"/>
      <c r="BG8" s="448"/>
      <c r="BH8" s="449"/>
      <c r="BI8" s="448"/>
      <c r="BJ8" s="445"/>
      <c r="BK8" s="457"/>
      <c r="BL8" s="458"/>
      <c r="BM8" s="457"/>
      <c r="BN8" s="496"/>
      <c r="BO8" s="457"/>
      <c r="BP8" s="458"/>
      <c r="BQ8" s="457"/>
      <c r="BR8" s="461"/>
      <c r="BS8" s="457"/>
      <c r="BT8" s="458"/>
      <c r="BU8" s="458"/>
      <c r="BV8" s="461"/>
      <c r="BW8" s="457"/>
      <c r="BX8" s="495"/>
      <c r="BY8" s="495"/>
      <c r="BZ8" s="458"/>
      <c r="CA8" s="435"/>
      <c r="CB8" s="499"/>
      <c r="CC8" s="503"/>
      <c r="CD8" s="435"/>
      <c r="CE8" s="435"/>
      <c r="CF8" s="435"/>
      <c r="CG8" s="435"/>
      <c r="CH8" s="435"/>
      <c r="CI8" s="435"/>
      <c r="CJ8" s="435"/>
      <c r="CK8" s="435"/>
      <c r="CL8" s="435"/>
      <c r="CM8" s="435"/>
      <c r="CN8" s="435"/>
      <c r="CO8" s="435"/>
      <c r="CP8" s="435"/>
      <c r="CQ8" s="435"/>
      <c r="CR8" s="435"/>
      <c r="CS8" s="435"/>
      <c r="CT8" s="435"/>
      <c r="CU8" s="435"/>
      <c r="CV8" s="435"/>
      <c r="CW8" s="435"/>
      <c r="CX8" s="435"/>
      <c r="CY8" s="435"/>
      <c r="CZ8" s="435"/>
      <c r="DA8" s="435"/>
      <c r="DB8" s="435"/>
      <c r="DC8" s="435"/>
      <c r="DD8" s="435"/>
      <c r="DE8" s="435"/>
      <c r="DF8" s="435"/>
      <c r="DG8" s="435"/>
      <c r="DH8" s="435"/>
      <c r="DI8" s="435"/>
    </row>
    <row r="9" s="435" customFormat="1" ht="37" customHeight="1" spans="1:82">
      <c r="A9" s="455" t="s">
        <v>43</v>
      </c>
      <c r="B9" s="456" t="s">
        <v>275</v>
      </c>
      <c r="C9" s="445" t="s">
        <v>44</v>
      </c>
      <c r="D9" s="446">
        <v>5000</v>
      </c>
      <c r="E9" s="447">
        <f>VLOOKUP(C9,金华、杭州、湖州任务!A:C,3,0)</f>
        <v>22.94</v>
      </c>
      <c r="F9" s="448">
        <f>金华办回款!C36</f>
        <v>192210.19</v>
      </c>
      <c r="G9" s="449">
        <f t="shared" si="15"/>
        <v>0.837882258064516</v>
      </c>
      <c r="H9" s="450">
        <f>5000*0.7*G9</f>
        <v>2932.58790322581</v>
      </c>
      <c r="I9" s="447">
        <f>VLOOKUP(C9,金华、杭州、湖州任务!A:D,4,0)</f>
        <v>13.33</v>
      </c>
      <c r="J9" s="448">
        <f>金华办回款!D36</f>
        <v>67520.48</v>
      </c>
      <c r="K9" s="449">
        <f t="shared" si="13"/>
        <v>0.50653023255814</v>
      </c>
      <c r="L9" s="450">
        <f>5000*0.7*K9</f>
        <v>1772.85581395349</v>
      </c>
      <c r="M9" s="468">
        <f>VLOOKUP(C9,金华、杭州、湖州任务!A:E,5,0)</f>
        <v>26.97</v>
      </c>
      <c r="N9" s="448">
        <f>金华办回款!E36</f>
        <v>383304.11</v>
      </c>
      <c r="O9" s="449">
        <f t="shared" si="16"/>
        <v>1.42122398961809</v>
      </c>
      <c r="P9" s="450">
        <f>5000*0.7*O9</f>
        <v>4974.28396366333</v>
      </c>
      <c r="Q9" s="472">
        <f>VLOOKUP(C9,金华、杭州、湖州任务!A:F,6,0)</f>
        <v>63.24</v>
      </c>
      <c r="R9" s="448">
        <f>金华办回款!F36</f>
        <v>643034.78</v>
      </c>
      <c r="S9" s="449">
        <f t="shared" si="2"/>
        <v>1.01681654016445</v>
      </c>
      <c r="T9" s="472">
        <f>5000*0.3*3</f>
        <v>4500</v>
      </c>
      <c r="U9" s="450">
        <f t="shared" si="3"/>
        <v>4575.67443074004</v>
      </c>
      <c r="V9" s="446">
        <f>VLOOKUP(C9,金华、杭州、湖州任务!A:G,7,0)</f>
        <v>25.42</v>
      </c>
      <c r="W9" s="448">
        <f>金华办回款!G36</f>
        <v>419587.1</v>
      </c>
      <c r="X9" s="449">
        <f t="shared" si="17"/>
        <v>1.65061801730921</v>
      </c>
      <c r="Y9" s="450">
        <f>X9*5000*0.7</f>
        <v>5777.16306058222</v>
      </c>
      <c r="Z9" s="446">
        <f>金华、杭州、湖州任务!H17</f>
        <v>28.52</v>
      </c>
      <c r="AA9" s="448">
        <f>金华办回款!H36</f>
        <v>203800.03</v>
      </c>
      <c r="AB9" s="449">
        <f t="shared" si="5"/>
        <v>0.714586360448808</v>
      </c>
      <c r="AC9" s="448">
        <f>5000*0.7*AB9</f>
        <v>2501.05226157083</v>
      </c>
      <c r="AD9" s="446">
        <f>金华、杭州、湖州任务!I17</f>
        <v>26.97</v>
      </c>
      <c r="AE9" s="448">
        <f>金华办回款!I36</f>
        <v>259269.98</v>
      </c>
      <c r="AF9" s="449">
        <f t="shared" si="18"/>
        <v>0.961327326659251</v>
      </c>
      <c r="AG9" s="448">
        <f>ROUND(5000*0.7*AF9,2)</f>
        <v>3364.65</v>
      </c>
      <c r="AH9" s="472">
        <f t="shared" si="6"/>
        <v>80.91</v>
      </c>
      <c r="AI9" s="472">
        <f t="shared" si="7"/>
        <v>882657.11</v>
      </c>
      <c r="AJ9" s="449">
        <f t="shared" si="8"/>
        <v>1.0909122605364</v>
      </c>
      <c r="AK9" s="449"/>
      <c r="AL9" s="472">
        <f>5000*0.3*3</f>
        <v>4500</v>
      </c>
      <c r="AM9" s="477">
        <f t="shared" si="10"/>
        <v>4909.11</v>
      </c>
      <c r="AN9" s="446">
        <f>金华、杭州、湖州任务!K17</f>
        <v>22.63</v>
      </c>
      <c r="AO9" s="448">
        <f>金华办回款!K36</f>
        <v>150784.42</v>
      </c>
      <c r="AP9" s="485">
        <f t="shared" si="11"/>
        <v>0.666303225806452</v>
      </c>
      <c r="AQ9" s="448">
        <f>5000*0.7*AP9</f>
        <v>2332.06129032258</v>
      </c>
      <c r="AR9" s="446">
        <f>金华、杭州、湖州任务!L17</f>
        <v>21.39</v>
      </c>
      <c r="AS9" s="448">
        <f>金华办回款!L36</f>
        <v>3501</v>
      </c>
      <c r="AT9" s="453">
        <f t="shared" si="14"/>
        <v>0.016367461430575</v>
      </c>
      <c r="AU9" s="448">
        <f>ROUND(5000*0.7*AT9,2)</f>
        <v>57.29</v>
      </c>
      <c r="AV9" s="446"/>
      <c r="AW9" s="448"/>
      <c r="AX9" s="449"/>
      <c r="AY9" s="448"/>
      <c r="AZ9" s="472"/>
      <c r="BA9" s="448"/>
      <c r="BB9" s="449"/>
      <c r="BC9" s="449"/>
      <c r="BD9" s="488"/>
      <c r="BE9" s="477"/>
      <c r="BF9" s="446"/>
      <c r="BG9" s="448"/>
      <c r="BH9" s="449"/>
      <c r="BI9" s="448"/>
      <c r="BJ9" s="495"/>
      <c r="BK9" s="457"/>
      <c r="BL9" s="458"/>
      <c r="BM9" s="457"/>
      <c r="BN9" s="445"/>
      <c r="BO9" s="457"/>
      <c r="BP9" s="458"/>
      <c r="BQ9" s="457"/>
      <c r="BR9" s="461"/>
      <c r="BS9" s="457"/>
      <c r="BT9" s="458"/>
      <c r="BU9" s="500"/>
      <c r="BV9" s="445"/>
      <c r="BW9" s="457"/>
      <c r="BX9" s="501"/>
      <c r="BY9" s="495"/>
      <c r="BZ9" s="458"/>
      <c r="CB9" s="499"/>
      <c r="CC9" s="503"/>
      <c r="CD9" s="504"/>
    </row>
    <row r="10" s="435" customFormat="1" ht="37" customHeight="1" spans="1:80">
      <c r="A10" s="455"/>
      <c r="B10" s="452" t="s">
        <v>276</v>
      </c>
      <c r="C10" s="445" t="s">
        <v>45</v>
      </c>
      <c r="D10" s="446">
        <v>5500</v>
      </c>
      <c r="E10" s="447">
        <f>VLOOKUP(C10,金华、杭州、湖州任务!A:C,3,0)</f>
        <v>21.7728</v>
      </c>
      <c r="F10" s="448">
        <f>金华办回款!C48</f>
        <v>250296</v>
      </c>
      <c r="G10" s="449">
        <f t="shared" si="15"/>
        <v>1.1495811287478</v>
      </c>
      <c r="H10" s="450">
        <f>5500*0.7*G10</f>
        <v>4425.88734567901</v>
      </c>
      <c r="I10" s="447">
        <f>VLOOKUP(C10,金华、杭州、湖州任务!A:D,4,0)</f>
        <v>12.9551</v>
      </c>
      <c r="J10" s="448">
        <f>金华办回款!D48</f>
        <v>129553</v>
      </c>
      <c r="K10" s="449">
        <f t="shared" si="13"/>
        <v>1.00001543793564</v>
      </c>
      <c r="L10" s="450">
        <f>5500*0.7*K10</f>
        <v>3850.05943605221</v>
      </c>
      <c r="M10" s="468">
        <f>VLOOKUP(C10,金华、杭州、湖州任务!A:E,5,0)</f>
        <v>27.8181</v>
      </c>
      <c r="N10" s="448">
        <f>金华办回款!E48</f>
        <v>198714</v>
      </c>
      <c r="O10" s="449">
        <f t="shared" si="16"/>
        <v>0.714333473529824</v>
      </c>
      <c r="P10" s="450">
        <f>5500*0.7*O10</f>
        <v>2750.18387308982</v>
      </c>
      <c r="Q10" s="472">
        <f>VLOOKUP(C10,金华、杭州、湖州任务!A:F,6,0)</f>
        <v>62.546</v>
      </c>
      <c r="R10" s="448">
        <f>金华办回款!F48</f>
        <v>578563</v>
      </c>
      <c r="S10" s="449">
        <f t="shared" si="2"/>
        <v>0.925019985290826</v>
      </c>
      <c r="T10" s="472">
        <f>5500*0.3*3</f>
        <v>4950</v>
      </c>
      <c r="U10" s="450">
        <f t="shared" si="3"/>
        <v>4578.84892718959</v>
      </c>
      <c r="V10" s="446">
        <f>VLOOKUP(C10,金华、杭州、湖州任务!A:G,7,0)</f>
        <v>23.7</v>
      </c>
      <c r="W10" s="448">
        <f>金华办回款!G48</f>
        <v>143538</v>
      </c>
      <c r="X10" s="449">
        <f t="shared" si="17"/>
        <v>0.605645569620253</v>
      </c>
      <c r="Y10" s="450">
        <f>X10*5500*0.7</f>
        <v>2331.73544303797</v>
      </c>
      <c r="Z10" s="446">
        <f>金华、杭州、湖州任务!H18</f>
        <v>24.9</v>
      </c>
      <c r="AA10" s="448">
        <f>金华办回款!H48</f>
        <v>184742</v>
      </c>
      <c r="AB10" s="449">
        <f t="shared" si="5"/>
        <v>0.741935742971888</v>
      </c>
      <c r="AC10" s="448">
        <f>5500*0.7*AB10</f>
        <v>2856.45261044177</v>
      </c>
      <c r="AD10" s="446">
        <f>金华、杭州、湖州任务!I18</f>
        <v>31.5</v>
      </c>
      <c r="AE10" s="448">
        <f>金华办回款!I48</f>
        <v>287891</v>
      </c>
      <c r="AF10" s="449">
        <f t="shared" si="18"/>
        <v>0.913939682539682</v>
      </c>
      <c r="AG10" s="448">
        <f>ROUND(5500*0.7*AF10,2)</f>
        <v>3518.67</v>
      </c>
      <c r="AH10" s="472">
        <f t="shared" si="6"/>
        <v>80.1</v>
      </c>
      <c r="AI10" s="472">
        <f t="shared" si="7"/>
        <v>616171</v>
      </c>
      <c r="AJ10" s="449">
        <f t="shared" ref="AJ10:AJ14" si="19">AI10/AH10/10000</f>
        <v>0.769252184769039</v>
      </c>
      <c r="AK10" s="449"/>
      <c r="AL10" s="472">
        <f t="shared" ref="AL10:AL14" si="20">5500*0.3*3</f>
        <v>4950</v>
      </c>
      <c r="AM10" s="477">
        <f t="shared" si="10"/>
        <v>3807.8</v>
      </c>
      <c r="AN10" s="446">
        <f>金华、杭州、湖州任务!K18</f>
        <v>22.5</v>
      </c>
      <c r="AO10" s="448">
        <f>金华办回款!K48</f>
        <v>128752</v>
      </c>
      <c r="AP10" s="485">
        <f t="shared" si="11"/>
        <v>0.572231111111111</v>
      </c>
      <c r="AQ10" s="448">
        <f>5500*0.7*AP10</f>
        <v>2203.08977777778</v>
      </c>
      <c r="AR10" s="446">
        <f>金华、杭州、湖州任务!L18</f>
        <v>20.1</v>
      </c>
      <c r="AS10" s="448">
        <f>金华办回款!L48</f>
        <v>73093</v>
      </c>
      <c r="AT10" s="453">
        <f t="shared" si="14"/>
        <v>0.363646766169154</v>
      </c>
      <c r="AU10" s="448">
        <f>ROUND(5500*0.7*AT10,2)</f>
        <v>1400.04</v>
      </c>
      <c r="AV10" s="446"/>
      <c r="AW10" s="448"/>
      <c r="AX10" s="449"/>
      <c r="AY10" s="448"/>
      <c r="AZ10" s="472"/>
      <c r="BA10" s="448"/>
      <c r="BB10" s="449"/>
      <c r="BC10" s="489"/>
      <c r="BD10" s="488"/>
      <c r="BE10" s="477"/>
      <c r="BF10" s="446"/>
      <c r="BG10" s="448"/>
      <c r="BH10" s="449"/>
      <c r="BI10" s="448"/>
      <c r="BJ10" s="495"/>
      <c r="BK10" s="457"/>
      <c r="BL10" s="458"/>
      <c r="BM10" s="457"/>
      <c r="BN10" s="445"/>
      <c r="BO10" s="457"/>
      <c r="BP10" s="458"/>
      <c r="BQ10" s="457"/>
      <c r="BR10" s="461"/>
      <c r="BS10" s="457"/>
      <c r="BT10" s="458"/>
      <c r="BU10" s="458"/>
      <c r="BV10" s="445"/>
      <c r="BW10" s="457"/>
      <c r="BX10" s="501"/>
      <c r="BY10" s="495"/>
      <c r="BZ10" s="458"/>
      <c r="CA10" s="502"/>
      <c r="CB10" s="499"/>
    </row>
    <row r="11" s="434" customFormat="1" ht="37" customHeight="1" spans="1:113">
      <c r="A11" s="455"/>
      <c r="B11" s="452" t="s">
        <v>277</v>
      </c>
      <c r="C11" s="445" t="s">
        <v>147</v>
      </c>
      <c r="D11" s="445">
        <v>5000</v>
      </c>
      <c r="E11" s="447">
        <f>VLOOKUP(C11,金华、杭州、湖州任务!A:C,3,0)</f>
        <v>24.42</v>
      </c>
      <c r="F11" s="457"/>
      <c r="G11" s="458"/>
      <c r="H11" s="459"/>
      <c r="I11" s="447">
        <f>VLOOKUP(C11,金华、杭州、湖州任务!A:D,4,0)</f>
        <v>14.19</v>
      </c>
      <c r="J11" s="457"/>
      <c r="K11" s="458"/>
      <c r="L11" s="459"/>
      <c r="M11" s="468">
        <f>VLOOKUP(C11,金华、杭州、湖州任务!A:E,5,0)</f>
        <v>28.71</v>
      </c>
      <c r="N11" s="457"/>
      <c r="O11" s="458"/>
      <c r="P11" s="459"/>
      <c r="Q11" s="472">
        <f>VLOOKUP(C11,金华、杭州、湖州任务!A:F,6,0)</f>
        <v>67.32</v>
      </c>
      <c r="R11" s="457"/>
      <c r="S11" s="458"/>
      <c r="T11" s="461"/>
      <c r="U11" s="459"/>
      <c r="V11" s="445"/>
      <c r="W11" s="457"/>
      <c r="X11" s="458"/>
      <c r="Y11" s="459"/>
      <c r="Z11" s="445">
        <f>金华、杭州、湖州任务!H19</f>
        <v>30.36</v>
      </c>
      <c r="AA11" s="457">
        <f>金华办回款!H69</f>
        <v>71953</v>
      </c>
      <c r="AB11" s="453">
        <f t="shared" si="5"/>
        <v>0.236999341238472</v>
      </c>
      <c r="AC11" s="448">
        <f>5000*0.7*AB11/31*26</f>
        <v>695.707743635514</v>
      </c>
      <c r="AD11" s="445">
        <f>金华、杭州、湖州任务!I19</f>
        <v>28.71</v>
      </c>
      <c r="AE11" s="457">
        <f>金华办回款!I69</f>
        <v>113309</v>
      </c>
      <c r="AF11" s="449">
        <f t="shared" si="18"/>
        <v>0.394667363288053</v>
      </c>
      <c r="AG11" s="448">
        <f>ROUND(5000*0.7*AF11,2)</f>
        <v>1381.34</v>
      </c>
      <c r="AH11" s="482">
        <f>Z11/31*26+AD11</f>
        <v>54.1732258064516</v>
      </c>
      <c r="AI11" s="482">
        <f>AA11/31*26+AE11</f>
        <v>173656.677419355</v>
      </c>
      <c r="AJ11" s="453">
        <f t="shared" si="19"/>
        <v>0.320558125963904</v>
      </c>
      <c r="AK11" s="458"/>
      <c r="AL11" s="461">
        <f>5000*0.3*2</f>
        <v>3000</v>
      </c>
      <c r="AM11" s="477">
        <f t="shared" si="10"/>
        <v>961.67</v>
      </c>
      <c r="AN11" s="445">
        <f>金华、杭州、湖州任务!K19</f>
        <v>24.09</v>
      </c>
      <c r="AO11" s="457">
        <f>金华办回款!K69</f>
        <v>18500</v>
      </c>
      <c r="AP11" s="485">
        <f t="shared" si="11"/>
        <v>0.0767953507679535</v>
      </c>
      <c r="AQ11" s="448">
        <f>5000*0.7*AP11</f>
        <v>268.783727687837</v>
      </c>
      <c r="AR11" s="445">
        <f>金华、杭州、湖州任务!L19</f>
        <v>22.77</v>
      </c>
      <c r="AS11" s="457">
        <f>金华办回款!L69</f>
        <v>80100</v>
      </c>
      <c r="AT11" s="453">
        <f t="shared" si="14"/>
        <v>0.351778656126482</v>
      </c>
      <c r="AU11" s="448">
        <f>ROUND(5000*0.7*AT11,2)</f>
        <v>1231.23</v>
      </c>
      <c r="AV11" s="445"/>
      <c r="AW11" s="445"/>
      <c r="AX11" s="458"/>
      <c r="AY11" s="457"/>
      <c r="AZ11" s="461"/>
      <c r="BA11" s="457"/>
      <c r="BB11" s="458"/>
      <c r="BC11" s="490"/>
      <c r="BD11" s="491"/>
      <c r="BE11" s="495"/>
      <c r="BF11" s="445"/>
      <c r="BG11" s="445"/>
      <c r="BH11" s="458"/>
      <c r="BI11" s="457"/>
      <c r="BJ11" s="445"/>
      <c r="BK11" s="445"/>
      <c r="BL11" s="458"/>
      <c r="BM11" s="457"/>
      <c r="BN11" s="445"/>
      <c r="BO11" s="445"/>
      <c r="BP11" s="458"/>
      <c r="BQ11" s="445"/>
      <c r="BR11" s="461"/>
      <c r="BS11" s="457"/>
      <c r="BT11" s="458"/>
      <c r="BU11" s="492"/>
      <c r="BV11" s="445"/>
      <c r="BW11" s="457"/>
      <c r="BX11" s="501"/>
      <c r="BY11" s="495"/>
      <c r="BZ11" s="458"/>
      <c r="CA11" s="435"/>
      <c r="CB11" s="499"/>
      <c r="CC11" s="505"/>
      <c r="CD11" s="504"/>
      <c r="CE11" s="435"/>
      <c r="CF11" s="435"/>
      <c r="CG11" s="435"/>
      <c r="CH11" s="435"/>
      <c r="CI11" s="435"/>
      <c r="CJ11" s="435"/>
      <c r="CK11" s="435"/>
      <c r="CL11" s="435"/>
      <c r="CM11" s="435"/>
      <c r="CN11" s="435"/>
      <c r="CO11" s="435"/>
      <c r="CP11" s="435"/>
      <c r="CQ11" s="435"/>
      <c r="CR11" s="435"/>
      <c r="CS11" s="435"/>
      <c r="CT11" s="435"/>
      <c r="CU11" s="435"/>
      <c r="CV11" s="435"/>
      <c r="CW11" s="435"/>
      <c r="CX11" s="435"/>
      <c r="CY11" s="435"/>
      <c r="CZ11" s="435"/>
      <c r="DA11" s="435"/>
      <c r="DB11" s="435"/>
      <c r="DC11" s="435"/>
      <c r="DD11" s="435"/>
      <c r="DE11" s="435"/>
      <c r="DF11" s="435"/>
      <c r="DG11" s="435"/>
      <c r="DH11" s="435"/>
      <c r="DI11" s="435"/>
    </row>
    <row r="12" s="434" customFormat="1" ht="37" hidden="1" customHeight="1" spans="1:113">
      <c r="A12" s="455"/>
      <c r="B12" s="452" t="s">
        <v>278</v>
      </c>
      <c r="C12" s="445"/>
      <c r="D12" s="445"/>
      <c r="E12" s="445"/>
      <c r="F12" s="457"/>
      <c r="G12" s="458"/>
      <c r="H12" s="459"/>
      <c r="I12" s="445"/>
      <c r="J12" s="457"/>
      <c r="K12" s="458"/>
      <c r="L12" s="459"/>
      <c r="M12" s="445"/>
      <c r="N12" s="457"/>
      <c r="O12" s="458"/>
      <c r="P12" s="459"/>
      <c r="Q12" s="461"/>
      <c r="R12" s="457"/>
      <c r="S12" s="458"/>
      <c r="T12" s="461"/>
      <c r="U12" s="459"/>
      <c r="V12" s="445"/>
      <c r="W12" s="457"/>
      <c r="X12" s="458"/>
      <c r="Y12" s="459"/>
      <c r="Z12" s="445">
        <f>金华、杭州、湖州任务!H20</f>
        <v>5.526</v>
      </c>
      <c r="AA12" s="478"/>
      <c r="AB12" s="458"/>
      <c r="AC12" s="457"/>
      <c r="AD12" s="445"/>
      <c r="AE12" s="457"/>
      <c r="AF12" s="458"/>
      <c r="AG12" s="448"/>
      <c r="AH12" s="461"/>
      <c r="AI12" s="457"/>
      <c r="AJ12" s="458"/>
      <c r="AK12" s="458"/>
      <c r="AL12" s="461"/>
      <c r="AM12" s="448"/>
      <c r="AN12" s="445"/>
      <c r="AO12" s="457"/>
      <c r="AP12" s="449" t="e">
        <f t="shared" si="11"/>
        <v>#DIV/0!</v>
      </c>
      <c r="AQ12" s="448" t="e">
        <f>7000*0.7*AP12</f>
        <v>#DIV/0!</v>
      </c>
      <c r="AR12" s="445"/>
      <c r="AS12" s="457"/>
      <c r="AT12" s="449" t="e">
        <f t="shared" si="14"/>
        <v>#DIV/0!</v>
      </c>
      <c r="AU12" s="457"/>
      <c r="AV12" s="445"/>
      <c r="AW12" s="445"/>
      <c r="AX12" s="445"/>
      <c r="AY12" s="445"/>
      <c r="AZ12" s="445"/>
      <c r="BA12" s="445"/>
      <c r="BB12" s="458"/>
      <c r="BC12" s="492"/>
      <c r="BD12" s="491"/>
      <c r="BE12" s="457"/>
      <c r="BF12" s="445"/>
      <c r="BG12" s="445"/>
      <c r="BH12" s="445"/>
      <c r="BI12" s="445"/>
      <c r="BJ12" s="445"/>
      <c r="BK12" s="445"/>
      <c r="BL12" s="445"/>
      <c r="BM12" s="445"/>
      <c r="BN12" s="445"/>
      <c r="BO12" s="445"/>
      <c r="BP12" s="445"/>
      <c r="BQ12" s="445"/>
      <c r="BR12" s="445"/>
      <c r="BS12" s="445"/>
      <c r="BT12" s="445"/>
      <c r="BU12" s="445"/>
      <c r="BV12" s="445"/>
      <c r="BW12" s="445"/>
      <c r="BX12" s="501"/>
      <c r="BY12" s="495"/>
      <c r="BZ12" s="458"/>
      <c r="CA12" s="435"/>
      <c r="CB12" s="499"/>
      <c r="CC12" s="503"/>
      <c r="CD12" s="504"/>
      <c r="CE12" s="435"/>
      <c r="CF12" s="435"/>
      <c r="CG12" s="435"/>
      <c r="CH12" s="435"/>
      <c r="CI12" s="435"/>
      <c r="CJ12" s="435"/>
      <c r="CK12" s="435"/>
      <c r="CL12" s="435"/>
      <c r="CM12" s="435"/>
      <c r="CN12" s="435"/>
      <c r="CO12" s="435"/>
      <c r="CP12" s="435"/>
      <c r="CQ12" s="435"/>
      <c r="CR12" s="435"/>
      <c r="CS12" s="435"/>
      <c r="CT12" s="435"/>
      <c r="CU12" s="435"/>
      <c r="CV12" s="435"/>
      <c r="CW12" s="435"/>
      <c r="CX12" s="435"/>
      <c r="CY12" s="435"/>
      <c r="CZ12" s="435"/>
      <c r="DA12" s="435"/>
      <c r="DB12" s="435"/>
      <c r="DC12" s="435"/>
      <c r="DD12" s="435"/>
      <c r="DE12" s="435"/>
      <c r="DF12" s="435"/>
      <c r="DG12" s="435"/>
      <c r="DH12" s="435"/>
      <c r="DI12" s="435"/>
    </row>
    <row r="13" s="434" customFormat="1" ht="37" customHeight="1" spans="1:113">
      <c r="A13" s="460" t="s">
        <v>67</v>
      </c>
      <c r="B13" s="445" t="s">
        <v>279</v>
      </c>
      <c r="C13" s="445" t="s">
        <v>68</v>
      </c>
      <c r="D13" s="445">
        <v>5500</v>
      </c>
      <c r="E13" s="447">
        <f>金华、杭州、湖州任务!C28</f>
        <v>40</v>
      </c>
      <c r="F13" s="461">
        <f>湖州办回款!E8</f>
        <v>400000</v>
      </c>
      <c r="G13" s="449">
        <f t="shared" si="15"/>
        <v>1</v>
      </c>
      <c r="H13" s="459">
        <f>5500*0.7*G13</f>
        <v>3850</v>
      </c>
      <c r="I13" s="447">
        <f>金华、杭州、湖州任务!D28</f>
        <v>33</v>
      </c>
      <c r="J13" s="461">
        <f>湖州办回款!F8</f>
        <v>330820</v>
      </c>
      <c r="K13" s="449">
        <f>J13/I13/10000</f>
        <v>1.00248484848485</v>
      </c>
      <c r="L13" s="459">
        <f>5500*0.7*K13</f>
        <v>3859.56666666667</v>
      </c>
      <c r="M13" s="468">
        <f>金华、杭州、湖州任务!E28</f>
        <v>22</v>
      </c>
      <c r="N13" s="461">
        <f>湖州办回款!G8</f>
        <v>219744</v>
      </c>
      <c r="O13" s="449">
        <f t="shared" si="16"/>
        <v>0.998836363636364</v>
      </c>
      <c r="P13" s="459">
        <f>5500*0.7*O13</f>
        <v>3845.52</v>
      </c>
      <c r="Q13" s="472">
        <f>VLOOKUP(C13,金华、杭州、湖州任务!A:F,6,0)</f>
        <v>95</v>
      </c>
      <c r="R13" s="457">
        <f>湖州办回款!H8</f>
        <v>950564</v>
      </c>
      <c r="S13" s="449">
        <f>R13/Q13/10000</f>
        <v>1.00059368421053</v>
      </c>
      <c r="T13" s="461">
        <f>5500*0.3*3</f>
        <v>4950</v>
      </c>
      <c r="U13" s="450">
        <f>T13*S13</f>
        <v>4952.9387368421</v>
      </c>
      <c r="V13" s="446">
        <f>金华、杭州、湖州任务!G28</f>
        <v>40</v>
      </c>
      <c r="W13" s="461">
        <f>湖州办回款!I8</f>
        <v>400000</v>
      </c>
      <c r="X13" s="449">
        <f>W13/V13/10000</f>
        <v>1</v>
      </c>
      <c r="Y13" s="459">
        <f>X13*5500*0.7</f>
        <v>3850</v>
      </c>
      <c r="Z13" s="461">
        <f>金华、杭州、湖州任务!H28</f>
        <v>40</v>
      </c>
      <c r="AA13" s="461">
        <f>湖州办回款!J8</f>
        <v>212390</v>
      </c>
      <c r="AB13" s="453">
        <f>AA13/Z13/10000</f>
        <v>0.530975</v>
      </c>
      <c r="AC13" s="448">
        <f>5500*0.7*AB13</f>
        <v>2044.25375</v>
      </c>
      <c r="AD13" s="461">
        <f>金华、杭州、湖州任务!I28</f>
        <v>65</v>
      </c>
      <c r="AE13" s="461">
        <f>湖州办回款!K8</f>
        <v>221149</v>
      </c>
      <c r="AF13" s="453">
        <f t="shared" si="18"/>
        <v>0.340229230769231</v>
      </c>
      <c r="AG13" s="448">
        <f>ROUND(5500*0.7*AF13,2)</f>
        <v>1309.88</v>
      </c>
      <c r="AH13" s="472">
        <f>V13+Z13+AD13</f>
        <v>145</v>
      </c>
      <c r="AI13" s="472">
        <f>W13+AA13+AE13</f>
        <v>833539</v>
      </c>
      <c r="AJ13" s="449">
        <f t="shared" si="19"/>
        <v>0.574854482758621</v>
      </c>
      <c r="AK13" s="458"/>
      <c r="AL13" s="472">
        <f t="shared" si="20"/>
        <v>4950</v>
      </c>
      <c r="AM13" s="477">
        <f>ROUND(AL13*AJ13,2)</f>
        <v>2845.53</v>
      </c>
      <c r="AN13" s="461">
        <f>金华、杭州、湖州任务!K28</f>
        <v>35</v>
      </c>
      <c r="AO13" s="461">
        <f>湖州办回款!M8</f>
        <v>274595</v>
      </c>
      <c r="AP13" s="485">
        <f t="shared" si="11"/>
        <v>0.784557142857143</v>
      </c>
      <c r="AQ13" s="448">
        <f>5500*0.7*AP13</f>
        <v>3020.545</v>
      </c>
      <c r="AR13" s="461">
        <f>金华、杭州、湖州任务!L28</f>
        <v>40</v>
      </c>
      <c r="AS13" s="461">
        <f>湖州办回款!N8</f>
        <v>210998</v>
      </c>
      <c r="AT13" s="449">
        <f t="shared" si="14"/>
        <v>0.527495</v>
      </c>
      <c r="AU13" s="448">
        <f>ROUND(5500*0.7*AT13,2)</f>
        <v>2030.86</v>
      </c>
      <c r="AV13" s="461"/>
      <c r="AW13" s="461"/>
      <c r="AX13" s="458"/>
      <c r="AY13" s="457"/>
      <c r="AZ13" s="461"/>
      <c r="BA13" s="457"/>
      <c r="BB13" s="458"/>
      <c r="BC13" s="490"/>
      <c r="BD13" s="491"/>
      <c r="BE13" s="457"/>
      <c r="BF13" s="461"/>
      <c r="BG13" s="461"/>
      <c r="BH13" s="458"/>
      <c r="BI13" s="457"/>
      <c r="BJ13" s="461"/>
      <c r="BK13" s="461"/>
      <c r="BL13" s="458"/>
      <c r="BM13" s="457"/>
      <c r="BN13" s="461"/>
      <c r="BO13" s="461"/>
      <c r="BP13" s="458"/>
      <c r="BQ13" s="457"/>
      <c r="BR13" s="461"/>
      <c r="BS13" s="461"/>
      <c r="BT13" s="458"/>
      <c r="BU13" s="458"/>
      <c r="BV13" s="461"/>
      <c r="BW13" s="457"/>
      <c r="BX13" s="499" t="s">
        <v>280</v>
      </c>
      <c r="BY13" s="499"/>
      <c r="BZ13" s="503"/>
      <c r="CA13" s="504"/>
      <c r="CB13" s="499"/>
      <c r="CC13" s="503"/>
      <c r="CD13" s="435"/>
      <c r="CE13" s="435"/>
      <c r="CF13" s="435"/>
      <c r="CG13" s="435"/>
      <c r="CH13" s="435"/>
      <c r="CI13" s="435"/>
      <c r="CJ13" s="435"/>
      <c r="CK13" s="435"/>
      <c r="CL13" s="435"/>
      <c r="CM13" s="435"/>
      <c r="CN13" s="435"/>
      <c r="CO13" s="435"/>
      <c r="CP13" s="435"/>
      <c r="CQ13" s="435"/>
      <c r="CR13" s="435"/>
      <c r="CS13" s="435"/>
      <c r="CT13" s="435"/>
      <c r="CU13" s="435"/>
      <c r="CV13" s="435"/>
      <c r="CW13" s="435"/>
      <c r="CX13" s="435"/>
      <c r="CY13" s="435"/>
      <c r="CZ13" s="435"/>
      <c r="DA13" s="435"/>
      <c r="DB13" s="435"/>
      <c r="DC13" s="435"/>
      <c r="DD13" s="435"/>
      <c r="DE13" s="435"/>
      <c r="DF13" s="435"/>
      <c r="DG13" s="435"/>
      <c r="DH13" s="435"/>
      <c r="DI13" s="435"/>
    </row>
    <row r="14" s="434" customFormat="1" ht="37" customHeight="1" spans="1:113">
      <c r="A14" s="460" t="s">
        <v>67</v>
      </c>
      <c r="B14" s="445" t="s">
        <v>281</v>
      </c>
      <c r="C14" s="445" t="s">
        <v>70</v>
      </c>
      <c r="D14" s="445">
        <v>2000</v>
      </c>
      <c r="E14" s="447">
        <f>金华、杭州、湖州任务!C29</f>
        <v>9</v>
      </c>
      <c r="F14" s="461">
        <f>湖州办回款!E19</f>
        <v>41556</v>
      </c>
      <c r="G14" s="453">
        <f t="shared" si="15"/>
        <v>0.461733333333333</v>
      </c>
      <c r="H14" s="459">
        <f>2000*0.7*G14</f>
        <v>646.426666666667</v>
      </c>
      <c r="I14" s="447">
        <f>金华、杭州、湖州任务!D29</f>
        <v>5</v>
      </c>
      <c r="J14" s="461">
        <f>湖州办回款!F19</f>
        <v>28335</v>
      </c>
      <c r="K14" s="453">
        <f>J14/I14/10000</f>
        <v>0.5667</v>
      </c>
      <c r="L14" s="459">
        <f>2000*0.7*K14</f>
        <v>793.38</v>
      </c>
      <c r="M14" s="468">
        <f>VLOOKUP(C14,金华、杭州、湖州任务!A:E,5,0)</f>
        <v>14</v>
      </c>
      <c r="N14" s="461">
        <f>湖州办回款!G19</f>
        <v>58616</v>
      </c>
      <c r="O14" s="453">
        <f t="shared" si="16"/>
        <v>0.418685714285714</v>
      </c>
      <c r="P14" s="459">
        <f>2000*0.7*O14</f>
        <v>586.16</v>
      </c>
      <c r="Q14" s="472">
        <f>VLOOKUP(C14,金华、杭州、湖州任务!A:F,6,0)</f>
        <v>28</v>
      </c>
      <c r="R14" s="457">
        <f>湖州办回款!H19</f>
        <v>128507</v>
      </c>
      <c r="S14" s="453">
        <f>R14/Q14/10000</f>
        <v>0.458953571428571</v>
      </c>
      <c r="T14" s="461">
        <f>2000*0.3*3</f>
        <v>1800</v>
      </c>
      <c r="U14" s="473">
        <f>T14*S14</f>
        <v>826.116428571429</v>
      </c>
      <c r="V14" s="446">
        <f>金华、杭州、湖州任务!G29</f>
        <v>8</v>
      </c>
      <c r="W14" s="461">
        <f>湖州办回款!I19</f>
        <v>5936</v>
      </c>
      <c r="X14" s="449">
        <f>W14/V14/10000</f>
        <v>0.0742</v>
      </c>
      <c r="Y14" s="459">
        <f>X14*2000*0.7</f>
        <v>103.88</v>
      </c>
      <c r="Z14" s="461">
        <f>金华、杭州、湖州任务!H29</f>
        <v>14</v>
      </c>
      <c r="AA14" s="461">
        <f>湖州办回款!J19</f>
        <v>33015</v>
      </c>
      <c r="AB14" s="453">
        <f>AA14/Z14/10000</f>
        <v>0.235821428571429</v>
      </c>
      <c r="AC14" s="448">
        <f>2000*0.7*AB14</f>
        <v>330.15</v>
      </c>
      <c r="AD14" s="461">
        <f>金华、杭州、湖州任务!I29</f>
        <v>16</v>
      </c>
      <c r="AE14" s="461">
        <f>湖州办回款!K19</f>
        <v>10766</v>
      </c>
      <c r="AF14" s="449">
        <f t="shared" si="18"/>
        <v>0.0672875</v>
      </c>
      <c r="AG14" s="448">
        <f>ROUND(2000*0.7*AF14,2)</f>
        <v>94.2</v>
      </c>
      <c r="AH14" s="472">
        <f>V14+Z14+AD14</f>
        <v>38</v>
      </c>
      <c r="AI14" s="472">
        <f>W14+AA14+AE14</f>
        <v>49717</v>
      </c>
      <c r="AJ14" s="453">
        <f t="shared" si="19"/>
        <v>0.130834210526316</v>
      </c>
      <c r="AK14" s="458"/>
      <c r="AL14" s="472">
        <f>2000*0.3*3</f>
        <v>1800</v>
      </c>
      <c r="AM14" s="477">
        <f>ROUND(AL14*AJ14,2)</f>
        <v>235.5</v>
      </c>
      <c r="AN14" s="461">
        <f>金华、杭州、湖州任务!K29</f>
        <v>10</v>
      </c>
      <c r="AO14" s="461">
        <f>湖州办回款!M19</f>
        <v>-4599</v>
      </c>
      <c r="AP14" s="449">
        <f t="shared" si="11"/>
        <v>-0.04599</v>
      </c>
      <c r="AQ14" s="448">
        <v>0</v>
      </c>
      <c r="AR14" s="461">
        <f>金华、杭州、湖州任务!L29</f>
        <v>5</v>
      </c>
      <c r="AS14" s="461">
        <f>湖州办回款!N19</f>
        <v>37.6</v>
      </c>
      <c r="AT14" s="449">
        <f t="shared" si="14"/>
        <v>0.000752</v>
      </c>
      <c r="AU14" s="448"/>
      <c r="AV14" s="461"/>
      <c r="AW14" s="461"/>
      <c r="AX14" s="458"/>
      <c r="AY14" s="457"/>
      <c r="AZ14" s="461"/>
      <c r="BA14" s="457"/>
      <c r="BB14" s="458"/>
      <c r="BC14" s="490"/>
      <c r="BD14" s="491"/>
      <c r="BE14" s="457"/>
      <c r="BF14" s="461"/>
      <c r="BG14" s="461"/>
      <c r="BH14" s="458"/>
      <c r="BI14" s="457"/>
      <c r="BJ14" s="461"/>
      <c r="BK14" s="461"/>
      <c r="BL14" s="458"/>
      <c r="BM14" s="457"/>
      <c r="BN14" s="461"/>
      <c r="BO14" s="461"/>
      <c r="BP14" s="458"/>
      <c r="BQ14" s="457"/>
      <c r="BR14" s="461"/>
      <c r="BS14" s="461"/>
      <c r="BT14" s="458"/>
      <c r="BU14" s="458"/>
      <c r="BV14" s="461"/>
      <c r="BW14" s="457"/>
      <c r="BX14" s="499" t="s">
        <v>282</v>
      </c>
      <c r="BY14" s="499"/>
      <c r="BZ14" s="503"/>
      <c r="CA14" s="504"/>
      <c r="CB14" s="499"/>
      <c r="CC14" s="503"/>
      <c r="CD14" s="435"/>
      <c r="CE14" s="435"/>
      <c r="CF14" s="435"/>
      <c r="CG14" s="435"/>
      <c r="CH14" s="435"/>
      <c r="CI14" s="435"/>
      <c r="CJ14" s="435"/>
      <c r="CK14" s="435"/>
      <c r="CL14" s="435"/>
      <c r="CM14" s="435"/>
      <c r="CN14" s="435"/>
      <c r="CO14" s="435"/>
      <c r="CP14" s="435"/>
      <c r="CQ14" s="435"/>
      <c r="CR14" s="435"/>
      <c r="CS14" s="435"/>
      <c r="CT14" s="435"/>
      <c r="CU14" s="435"/>
      <c r="CV14" s="435"/>
      <c r="CW14" s="435"/>
      <c r="CX14" s="435"/>
      <c r="CY14" s="435"/>
      <c r="CZ14" s="435"/>
      <c r="DA14" s="435"/>
      <c r="DB14" s="435"/>
      <c r="DC14" s="435"/>
      <c r="DD14" s="435"/>
      <c r="DE14" s="435"/>
      <c r="DF14" s="435"/>
      <c r="DG14" s="435"/>
      <c r="DH14" s="435"/>
      <c r="DI14" s="435"/>
    </row>
    <row r="15" s="434" customFormat="1" ht="37" customHeight="1" spans="1:113">
      <c r="A15" s="462" t="s">
        <v>11</v>
      </c>
      <c r="B15" s="462"/>
      <c r="C15" s="462"/>
      <c r="D15" s="462"/>
      <c r="E15" s="462"/>
      <c r="F15" s="462"/>
      <c r="G15" s="462"/>
      <c r="H15" s="463">
        <f>H4+H5+H6+H8+H9+H10+H13+H14</f>
        <v>29742.6602393215</v>
      </c>
      <c r="I15" s="469"/>
      <c r="J15" s="469"/>
      <c r="K15" s="469"/>
      <c r="L15" s="463">
        <f>L4+L5+L6+L8+L9+L10+L13+L14</f>
        <v>28888.435873339</v>
      </c>
      <c r="M15" s="469"/>
      <c r="N15" s="469"/>
      <c r="O15" s="469"/>
      <c r="P15" s="463">
        <f>P4+P5+P6+P8+P9+P10+P13+P14</f>
        <v>24226.3253355483</v>
      </c>
      <c r="Q15" s="469"/>
      <c r="R15" s="469"/>
      <c r="S15" s="469"/>
      <c r="T15" s="469"/>
      <c r="U15" s="463">
        <f>U4+U5+U6+U8+U9+U10+U13+U14</f>
        <v>32417.9993019449</v>
      </c>
      <c r="V15" s="474"/>
      <c r="W15" s="462"/>
      <c r="X15" s="462"/>
      <c r="Y15" s="479">
        <f>SUM(Y4:Y14)</f>
        <v>25576.3774035272</v>
      </c>
      <c r="Z15" s="462"/>
      <c r="AA15" s="462"/>
      <c r="AB15" s="462"/>
      <c r="AC15" s="462"/>
      <c r="AD15" s="462"/>
      <c r="AE15" s="462"/>
      <c r="AF15" s="462"/>
      <c r="AG15" s="462"/>
      <c r="AH15" s="462"/>
      <c r="AI15" s="462"/>
      <c r="AJ15" s="462"/>
      <c r="AK15" s="462"/>
      <c r="AL15" s="462"/>
      <c r="AM15" s="462"/>
      <c r="AN15" s="462"/>
      <c r="AO15" s="462"/>
      <c r="AP15" s="462"/>
      <c r="AQ15" s="462"/>
      <c r="AR15" s="462"/>
      <c r="AS15" s="462"/>
      <c r="AT15" s="462"/>
      <c r="AU15" s="462"/>
      <c r="AV15" s="462"/>
      <c r="AW15" s="462"/>
      <c r="AX15" s="462"/>
      <c r="AY15" s="462"/>
      <c r="AZ15" s="462"/>
      <c r="BA15" s="462"/>
      <c r="BB15" s="462"/>
      <c r="BC15" s="462"/>
      <c r="BD15" s="462"/>
      <c r="BE15" s="462"/>
      <c r="BF15" s="462"/>
      <c r="BG15" s="462"/>
      <c r="BH15" s="462"/>
      <c r="BI15" s="462"/>
      <c r="BJ15" s="462"/>
      <c r="BK15" s="462"/>
      <c r="BL15" s="462"/>
      <c r="BM15" s="464">
        <f>SUM(BM4:BM12)</f>
        <v>0</v>
      </c>
      <c r="BN15" s="464"/>
      <c r="BO15" s="464"/>
      <c r="BP15" s="464"/>
      <c r="BQ15" s="464">
        <f>SUM(BQ4:BQ12)</f>
        <v>0</v>
      </c>
      <c r="BR15" s="464"/>
      <c r="BS15" s="464"/>
      <c r="BT15" s="464"/>
      <c r="BU15" s="464"/>
      <c r="BV15" s="464"/>
      <c r="BW15" s="464">
        <f>SUM(BW4:BW12)</f>
        <v>0</v>
      </c>
      <c r="BX15" s="475"/>
      <c r="BY15" s="475"/>
      <c r="BZ15" s="475"/>
      <c r="CA15" s="475"/>
      <c r="CB15" s="475"/>
      <c r="CC15" s="475"/>
      <c r="CD15" s="475"/>
      <c r="CE15" s="475"/>
      <c r="CF15" s="475"/>
      <c r="CG15" s="475"/>
      <c r="CH15" s="475"/>
      <c r="CI15" s="475"/>
      <c r="CJ15" s="475"/>
      <c r="CK15" s="475"/>
      <c r="CL15" s="475"/>
      <c r="CM15" s="475"/>
      <c r="CN15" s="475"/>
      <c r="CO15" s="475"/>
      <c r="CP15" s="475"/>
      <c r="CQ15" s="475"/>
      <c r="CR15" s="475"/>
      <c r="CS15" s="475"/>
      <c r="CT15" s="475"/>
      <c r="CU15" s="475"/>
      <c r="CV15" s="475"/>
      <c r="CW15" s="475"/>
      <c r="CX15" s="475"/>
      <c r="CY15" s="475"/>
      <c r="CZ15" s="475"/>
      <c r="DA15" s="475"/>
      <c r="DB15" s="475"/>
      <c r="DC15" s="475"/>
      <c r="DD15" s="475"/>
      <c r="DE15" s="475"/>
      <c r="DF15" s="475"/>
      <c r="DG15" s="475"/>
      <c r="DH15" s="475"/>
      <c r="DI15" s="475"/>
    </row>
    <row r="16" s="434" customFormat="1" ht="37" customHeight="1" spans="1:113">
      <c r="A16" s="460" t="s">
        <v>283</v>
      </c>
      <c r="B16" s="452"/>
      <c r="C16" s="445"/>
      <c r="D16" s="464"/>
      <c r="E16" s="464"/>
      <c r="F16" s="464"/>
      <c r="G16" s="465"/>
      <c r="H16" s="466">
        <f>H15</f>
        <v>29742.6602393215</v>
      </c>
      <c r="I16" s="470"/>
      <c r="J16" s="470"/>
      <c r="K16" s="470"/>
      <c r="L16" s="466">
        <f>L15</f>
        <v>28888.435873339</v>
      </c>
      <c r="M16" s="470"/>
      <c r="N16" s="470"/>
      <c r="O16" s="470"/>
      <c r="P16" s="466">
        <f>P15</f>
        <v>24226.3253355483</v>
      </c>
      <c r="Q16" s="470"/>
      <c r="R16" s="470"/>
      <c r="S16" s="470"/>
      <c r="T16" s="470"/>
      <c r="U16" s="466">
        <f>U5+U8+U9+U10+U13</f>
        <v>26225.3968108734</v>
      </c>
      <c r="V16" s="475"/>
      <c r="W16" s="475"/>
      <c r="X16" s="475"/>
      <c r="Y16" s="475"/>
      <c r="Z16" s="475"/>
      <c r="AA16" s="475"/>
      <c r="AB16" s="475"/>
      <c r="AC16" s="475"/>
      <c r="AD16" s="475"/>
      <c r="AE16" s="475"/>
      <c r="AF16" s="475"/>
      <c r="AG16" s="483"/>
      <c r="AH16" s="475"/>
      <c r="AI16" s="475"/>
      <c r="AJ16" s="475"/>
      <c r="AK16" s="475"/>
      <c r="AL16" s="475"/>
      <c r="AM16" s="483"/>
      <c r="AN16" s="475"/>
      <c r="AO16" s="475"/>
      <c r="AP16" s="475"/>
      <c r="AQ16" s="475"/>
      <c r="AR16" s="475"/>
      <c r="AS16" s="475"/>
      <c r="AT16" s="475"/>
      <c r="AU16" s="475"/>
      <c r="AV16" s="475"/>
      <c r="AW16" s="475"/>
      <c r="AX16" s="475"/>
      <c r="AY16" s="475"/>
      <c r="AZ16" s="475"/>
      <c r="BA16" s="475"/>
      <c r="BB16" s="475"/>
      <c r="BC16" s="493"/>
      <c r="BD16" s="494"/>
      <c r="BE16" s="475"/>
      <c r="BF16" s="475"/>
      <c r="BG16" s="475"/>
      <c r="BH16" s="475"/>
      <c r="BI16" s="475"/>
      <c r="BJ16" s="475"/>
      <c r="BK16" s="475"/>
      <c r="BL16" s="475"/>
      <c r="BM16" s="475"/>
      <c r="BN16" s="475"/>
      <c r="BO16" s="475"/>
      <c r="BP16" s="475"/>
      <c r="BQ16" s="475"/>
      <c r="BR16" s="475"/>
      <c r="BS16" s="475"/>
      <c r="BT16" s="475"/>
      <c r="BU16" s="475"/>
      <c r="BV16" s="475"/>
      <c r="BW16" s="475"/>
      <c r="BX16" s="475"/>
      <c r="BY16" s="475"/>
      <c r="BZ16" s="475"/>
      <c r="CA16" s="475"/>
      <c r="CB16" s="475"/>
      <c r="CC16" s="475"/>
      <c r="CD16" s="475"/>
      <c r="CE16" s="475"/>
      <c r="CF16" s="475"/>
      <c r="CG16" s="475"/>
      <c r="CH16" s="475"/>
      <c r="CI16" s="475"/>
      <c r="CJ16" s="475"/>
      <c r="CK16" s="475"/>
      <c r="CL16" s="475"/>
      <c r="CM16" s="475"/>
      <c r="CN16" s="475"/>
      <c r="CO16" s="475"/>
      <c r="CP16" s="475"/>
      <c r="CQ16" s="475"/>
      <c r="CR16" s="475"/>
      <c r="CS16" s="475"/>
      <c r="CT16" s="475"/>
      <c r="CU16" s="475"/>
      <c r="CV16" s="475"/>
      <c r="CW16" s="475"/>
      <c r="CX16" s="475"/>
      <c r="CY16" s="475"/>
      <c r="CZ16" s="475"/>
      <c r="DA16" s="475"/>
      <c r="DB16" s="475"/>
      <c r="DC16" s="475"/>
      <c r="DD16" s="475"/>
      <c r="DE16" s="475"/>
      <c r="DF16" s="475"/>
      <c r="DG16" s="475"/>
      <c r="DH16" s="475"/>
      <c r="DI16" s="475"/>
    </row>
  </sheetData>
  <autoFilter xmlns:etc="http://www.wps.cn/officeDocument/2017/etCustomData" ref="A3:DI16" etc:filterBottomFollowUsedRange="0">
    <extLst/>
  </autoFilter>
  <mergeCells count="4">
    <mergeCell ref="A1:Y1"/>
    <mergeCell ref="B2:AM2"/>
    <mergeCell ref="A4:A8"/>
    <mergeCell ref="A9:A12"/>
  </mergeCells>
  <printOptions horizontalCentered="1"/>
  <pageMargins left="0.196527777777778" right="0.196527777777778" top="0.550694444444444" bottom="0.236111111111111" header="0.118055555555556" footer="0.196527777777778"/>
  <pageSetup paperSize="9" scale="75" orientation="landscape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9"/>
  <sheetViews>
    <sheetView tabSelected="1" zoomScale="55" zoomScaleNormal="55" workbookViewId="0">
      <pane xSplit="5" ySplit="3" topLeftCell="F4" activePane="bottomRight" state="frozen"/>
      <selection/>
      <selection pane="topRight"/>
      <selection pane="bottomLeft"/>
      <selection pane="bottomRight" activeCell="U20" sqref="U20"/>
    </sheetView>
  </sheetViews>
  <sheetFormatPr defaultColWidth="9" defaultRowHeight="13"/>
  <cols>
    <col min="1" max="1" width="4" style="4" customWidth="1"/>
    <col min="2" max="2" width="28.0454545454545" style="141" customWidth="1"/>
    <col min="3" max="3" width="9.75454545454545" style="4" customWidth="1"/>
    <col min="4" max="4" width="10" style="4" customWidth="1"/>
    <col min="5" max="7" width="10.5" style="4" customWidth="1"/>
    <col min="8" max="8" width="11.6272727272727" style="406" customWidth="1"/>
    <col min="9" max="9" width="10.5" style="4" customWidth="1"/>
    <col min="10" max="11" width="10.5" style="6" customWidth="1"/>
    <col min="12" max="12" width="11.7545454545455" style="407" customWidth="1"/>
    <col min="13" max="13" width="11.2545454545455" style="6" customWidth="1"/>
    <col min="14" max="14" width="12.7545454545455" style="6" customWidth="1"/>
    <col min="15" max="15" width="11.2545454545455" style="6" customWidth="1"/>
    <col min="16" max="16" width="11.2545454545455" style="407" customWidth="1"/>
    <col min="17" max="18" width="10.7272727272727" style="6" customWidth="1"/>
    <col min="19" max="19" width="11.5545454545455" style="6" customWidth="1"/>
    <col min="20" max="20" width="7.36363636363636" style="408" customWidth="1"/>
    <col min="21" max="21" width="8.91818181818182" style="4" customWidth="1"/>
    <col min="22" max="22" width="3.75454545454545" style="6" customWidth="1"/>
    <col min="23" max="23" width="11.1272727272727" style="6" customWidth="1"/>
    <col min="24" max="16384" width="9" style="6"/>
  </cols>
  <sheetData>
    <row r="1" ht="25.5" customHeight="1" spans="1:1">
      <c r="A1" s="193" t="s">
        <v>284</v>
      </c>
    </row>
    <row r="2" ht="19.5" customHeight="1" spans="1:1">
      <c r="A2" s="192" t="s">
        <v>285</v>
      </c>
    </row>
    <row r="3" s="193" customFormat="1" ht="19.5" customHeight="1" spans="1:21">
      <c r="A3" s="286" t="s">
        <v>3</v>
      </c>
      <c r="B3" s="150" t="s">
        <v>286</v>
      </c>
      <c r="C3" s="286" t="s">
        <v>287</v>
      </c>
      <c r="D3" s="286" t="s">
        <v>224</v>
      </c>
      <c r="E3" s="286" t="s">
        <v>288</v>
      </c>
      <c r="F3" s="286" t="s">
        <v>289</v>
      </c>
      <c r="G3" s="286" t="s">
        <v>290</v>
      </c>
      <c r="H3" s="409" t="s">
        <v>291</v>
      </c>
      <c r="I3" s="286" t="s">
        <v>292</v>
      </c>
      <c r="J3" s="286" t="s">
        <v>293</v>
      </c>
      <c r="K3" s="286" t="s">
        <v>294</v>
      </c>
      <c r="L3" s="409" t="s">
        <v>295</v>
      </c>
      <c r="M3" s="286" t="s">
        <v>296</v>
      </c>
      <c r="N3" s="286" t="s">
        <v>297</v>
      </c>
      <c r="O3" s="286" t="s">
        <v>298</v>
      </c>
      <c r="P3" s="409" t="s">
        <v>299</v>
      </c>
      <c r="Q3" s="286" t="s">
        <v>300</v>
      </c>
      <c r="R3" s="286" t="s">
        <v>301</v>
      </c>
      <c r="S3" s="286" t="s">
        <v>302</v>
      </c>
      <c r="T3" s="425" t="s">
        <v>303</v>
      </c>
      <c r="U3" s="193" t="s">
        <v>304</v>
      </c>
    </row>
    <row r="4" s="6" customFormat="1" ht="19.5" customHeight="1" spans="1:23">
      <c r="A4" s="157">
        <v>1</v>
      </c>
      <c r="B4" s="174" t="s">
        <v>196</v>
      </c>
      <c r="C4" s="157" t="s">
        <v>305</v>
      </c>
      <c r="D4" s="157" t="s">
        <v>306</v>
      </c>
      <c r="E4" s="279">
        <f>VLOOKUP(B4,[12]杭州!$C:$J,8,0)</f>
        <v>180000</v>
      </c>
      <c r="F4" s="279">
        <f>VLOOKUP(B4,[12]杭州!$C:$M,11,0)</f>
        <v>90000</v>
      </c>
      <c r="G4" s="279">
        <f>VLOOKUP(B4,[12]杭州!$C:$S,17,0)</f>
        <v>200000</v>
      </c>
      <c r="H4" s="410">
        <f>E4+F4+G4</f>
        <v>470000</v>
      </c>
      <c r="I4" s="279">
        <f>VLOOKUP(B4,[13]杭州!$C:$Z,24,0)</f>
        <v>692800</v>
      </c>
      <c r="J4" s="279">
        <f>VLOOKUP(B4,[14]杭州!$C$3:$AF$49,30,0)</f>
        <v>480000</v>
      </c>
      <c r="K4" s="279">
        <f>VLOOKUP(B4,[15]杭州!$C$3:$AL$49,36,0)</f>
        <v>180000</v>
      </c>
      <c r="L4" s="410">
        <f>SUM(I4:K4)</f>
        <v>1352800</v>
      </c>
      <c r="M4" s="279">
        <f>VLOOKUP(B4,[16]杭州!$C:$AR,42,0)</f>
        <v>420000</v>
      </c>
      <c r="N4" s="279">
        <f>VLOOKUP(B4,[17]杭州!$C$1:$AX$58,48,0)</f>
        <v>310000</v>
      </c>
      <c r="O4" s="279"/>
      <c r="P4" s="410">
        <f>M4+N4+O4</f>
        <v>730000</v>
      </c>
      <c r="Q4" s="279"/>
      <c r="R4" s="279"/>
      <c r="S4" s="279"/>
      <c r="T4" s="279">
        <f>SUM(Q4:S4)</f>
        <v>0</v>
      </c>
      <c r="U4" s="4">
        <f>H4+L4+P4+T4</f>
        <v>2552800</v>
      </c>
      <c r="W4" s="10"/>
    </row>
    <row r="5" s="6" customFormat="1" ht="19.5" customHeight="1" spans="1:23">
      <c r="A5" s="157">
        <v>2</v>
      </c>
      <c r="B5" s="174" t="s">
        <v>307</v>
      </c>
      <c r="C5" s="157" t="s">
        <v>305</v>
      </c>
      <c r="D5" s="157" t="s">
        <v>306</v>
      </c>
      <c r="E5" s="279">
        <f>VLOOKUP(B5,[12]杭州!$C:$J,8,0)</f>
        <v>85017.95</v>
      </c>
      <c r="F5" s="279">
        <f>VLOOKUP(B5,[12]杭州!$C:$M,11,0)</f>
        <v>124698.5</v>
      </c>
      <c r="G5" s="279">
        <f>VLOOKUP(B5,[12]杭州!$C:$S,17,0)</f>
        <v>0</v>
      </c>
      <c r="H5" s="410">
        <f>E5+F5+G5</f>
        <v>209716.45</v>
      </c>
      <c r="I5" s="279">
        <f>VLOOKUP(B5,[13]杭州!$C:$Z,24,0)</f>
        <v>277266.5</v>
      </c>
      <c r="J5" s="279">
        <f>VLOOKUP(B5,[14]杭州!$C$3:$AF$49,30,0)</f>
        <v>108269.25</v>
      </c>
      <c r="K5" s="279">
        <f>VLOOKUP(B5,[15]杭州!$C$3:$AL$49,36,0)</f>
        <v>173565</v>
      </c>
      <c r="L5" s="410">
        <f>SUM(I5:K5)</f>
        <v>559100.75</v>
      </c>
      <c r="M5" s="279">
        <f>VLOOKUP(B5,[16]杭州!$C:$AR,42,0)</f>
        <v>256417.7</v>
      </c>
      <c r="N5" s="279">
        <f>VLOOKUP(B5,[17]杭州!$C$1:$AX$58,48,0)</f>
        <v>110759</v>
      </c>
      <c r="O5" s="279"/>
      <c r="P5" s="410">
        <f>M5+N5+O5</f>
        <v>367176.7</v>
      </c>
      <c r="Q5" s="279"/>
      <c r="R5" s="279"/>
      <c r="S5" s="279"/>
      <c r="T5" s="279">
        <f>SUM(Q5:S5)</f>
        <v>0</v>
      </c>
      <c r="U5" s="4">
        <f t="shared" ref="U5:U36" si="0">H5+L5+P5+T5</f>
        <v>1135993.9</v>
      </c>
      <c r="W5" s="10"/>
    </row>
    <row r="6" s="6" customFormat="1" ht="19.5" customHeight="1" spans="1:23">
      <c r="A6" s="157">
        <v>3</v>
      </c>
      <c r="B6" s="174" t="s">
        <v>308</v>
      </c>
      <c r="C6" s="157" t="s">
        <v>305</v>
      </c>
      <c r="D6" s="157" t="s">
        <v>306</v>
      </c>
      <c r="E6" s="279">
        <f>VLOOKUP(B6,[12]杭州!$C:$J,8,0)</f>
        <v>0</v>
      </c>
      <c r="F6" s="279">
        <f>VLOOKUP(B6,[12]杭州!$C:$M,11,0)</f>
        <v>0</v>
      </c>
      <c r="G6" s="279">
        <f>VLOOKUP(B6,[12]杭州!$C:$S,17,0)</f>
        <v>0</v>
      </c>
      <c r="H6" s="410">
        <f>E6+F6+G6</f>
        <v>0</v>
      </c>
      <c r="I6" s="279">
        <f>VLOOKUP(B6,[13]杭州!$C:$Z,24,0)</f>
        <v>0</v>
      </c>
      <c r="J6" s="279">
        <f>VLOOKUP(B6,[14]杭州!$C$3:$AF$49,30,0)</f>
        <v>0</v>
      </c>
      <c r="K6" s="279">
        <f>VLOOKUP(B6,[15]杭州!$C$3:$AL$49,36,0)</f>
        <v>0</v>
      </c>
      <c r="L6" s="410">
        <f>SUM(I6:K6)</f>
        <v>0</v>
      </c>
      <c r="M6" s="279">
        <f>VLOOKUP(B6,[16]杭州!$C:$AR,42,0)</f>
        <v>4498</v>
      </c>
      <c r="N6" s="279">
        <f>VLOOKUP(B6,[17]杭州!$C$1:$AX$58,48,0)</f>
        <v>13050</v>
      </c>
      <c r="O6" s="279"/>
      <c r="P6" s="410">
        <f t="shared" ref="P6:P14" si="1">M6+N6+O6</f>
        <v>17548</v>
      </c>
      <c r="Q6" s="279"/>
      <c r="R6" s="279"/>
      <c r="S6" s="279"/>
      <c r="T6" s="279">
        <f>SUM(Q6:S6)</f>
        <v>0</v>
      </c>
      <c r="U6" s="4">
        <f t="shared" si="0"/>
        <v>17548</v>
      </c>
      <c r="W6" s="10"/>
    </row>
    <row r="7" s="6" customFormat="1" ht="19.5" customHeight="1" spans="1:23">
      <c r="A7" s="157">
        <v>4</v>
      </c>
      <c r="B7" s="174" t="s">
        <v>309</v>
      </c>
      <c r="C7" s="157" t="s">
        <v>310</v>
      </c>
      <c r="D7" s="157" t="s">
        <v>306</v>
      </c>
      <c r="E7" s="279">
        <v>0</v>
      </c>
      <c r="F7" s="279">
        <v>0</v>
      </c>
      <c r="G7" s="279">
        <v>0</v>
      </c>
      <c r="H7" s="410">
        <f>E7+F7+G7</f>
        <v>0</v>
      </c>
      <c r="I7" s="279">
        <v>0</v>
      </c>
      <c r="J7" s="279">
        <v>0</v>
      </c>
      <c r="K7" s="279">
        <v>0</v>
      </c>
      <c r="L7" s="410">
        <f>SUM(I7:K7)</f>
        <v>0</v>
      </c>
      <c r="M7" s="279">
        <v>0</v>
      </c>
      <c r="N7" s="279">
        <v>0</v>
      </c>
      <c r="O7" s="279"/>
      <c r="P7" s="410">
        <f t="shared" si="1"/>
        <v>0</v>
      </c>
      <c r="Q7" s="279"/>
      <c r="R7" s="279"/>
      <c r="S7" s="279"/>
      <c r="T7" s="279">
        <f>SUM(Q7:S7)</f>
        <v>0</v>
      </c>
      <c r="U7" s="4">
        <f t="shared" si="0"/>
        <v>0</v>
      </c>
      <c r="W7" s="10"/>
    </row>
    <row r="8" s="6" customFormat="1" ht="19.5" customHeight="1" spans="1:23">
      <c r="A8" s="157"/>
      <c r="B8" s="174" t="s">
        <v>311</v>
      </c>
      <c r="C8" s="157"/>
      <c r="D8" s="157"/>
      <c r="E8" s="279"/>
      <c r="F8" s="279"/>
      <c r="G8" s="279"/>
      <c r="H8" s="410"/>
      <c r="I8" s="279"/>
      <c r="J8" s="368">
        <v>38800</v>
      </c>
      <c r="K8" s="368">
        <v>37200</v>
      </c>
      <c r="L8" s="410">
        <f>SUM(I8:K8)</f>
        <v>76000</v>
      </c>
      <c r="M8" s="368">
        <v>8090</v>
      </c>
      <c r="N8" s="368">
        <v>-8090</v>
      </c>
      <c r="O8" s="279"/>
      <c r="P8" s="410">
        <f t="shared" si="1"/>
        <v>0</v>
      </c>
      <c r="Q8" s="279"/>
      <c r="R8" s="279"/>
      <c r="S8" s="279"/>
      <c r="T8" s="279"/>
      <c r="U8" s="4">
        <f t="shared" si="0"/>
        <v>76000</v>
      </c>
      <c r="W8" s="10"/>
    </row>
    <row r="9" s="371" customFormat="1" ht="19.5" customHeight="1" spans="1:23">
      <c r="A9" s="380"/>
      <c r="B9" s="411" t="s">
        <v>11</v>
      </c>
      <c r="C9" s="412"/>
      <c r="D9" s="412"/>
      <c r="E9" s="382">
        <f>SUM(E4:E8)</f>
        <v>265017.95</v>
      </c>
      <c r="F9" s="382">
        <f t="shared" ref="F9:T9" si="2">SUM(F4:F8)</f>
        <v>214698.5</v>
      </c>
      <c r="G9" s="382">
        <f t="shared" si="2"/>
        <v>200000</v>
      </c>
      <c r="H9" s="410">
        <f t="shared" si="2"/>
        <v>679716.45</v>
      </c>
      <c r="I9" s="382">
        <f t="shared" si="2"/>
        <v>970066.5</v>
      </c>
      <c r="J9" s="382">
        <f t="shared" si="2"/>
        <v>627069.25</v>
      </c>
      <c r="K9" s="382">
        <f t="shared" si="2"/>
        <v>390765</v>
      </c>
      <c r="L9" s="410">
        <f t="shared" si="2"/>
        <v>1987900.75</v>
      </c>
      <c r="M9" s="382">
        <f t="shared" si="2"/>
        <v>689005.7</v>
      </c>
      <c r="N9" s="382">
        <f t="shared" si="2"/>
        <v>425719</v>
      </c>
      <c r="O9" s="382">
        <f t="shared" si="2"/>
        <v>0</v>
      </c>
      <c r="P9" s="410">
        <f t="shared" si="2"/>
        <v>1114724.7</v>
      </c>
      <c r="Q9" s="382">
        <f t="shared" si="2"/>
        <v>0</v>
      </c>
      <c r="R9" s="382">
        <f t="shared" si="2"/>
        <v>0</v>
      </c>
      <c r="S9" s="382">
        <f t="shared" si="2"/>
        <v>0</v>
      </c>
      <c r="T9" s="382">
        <f t="shared" si="2"/>
        <v>0</v>
      </c>
      <c r="U9" s="4">
        <f t="shared" si="0"/>
        <v>3782341.9</v>
      </c>
      <c r="W9" s="426"/>
    </row>
    <row r="10" ht="19.5" customHeight="1" spans="1:23">
      <c r="A10" s="192" t="s">
        <v>312</v>
      </c>
      <c r="B10" s="191"/>
      <c r="C10" s="193"/>
      <c r="D10" s="193"/>
      <c r="E10" s="288"/>
      <c r="F10" s="288"/>
      <c r="G10" s="288"/>
      <c r="H10" s="413"/>
      <c r="I10" s="288"/>
      <c r="J10" s="288"/>
      <c r="K10" s="288"/>
      <c r="L10" s="413"/>
      <c r="M10" s="288"/>
      <c r="N10" s="288"/>
      <c r="O10" s="288"/>
      <c r="P10" s="413"/>
      <c r="Q10" s="288"/>
      <c r="R10" s="288"/>
      <c r="S10" s="288"/>
      <c r="T10" s="288"/>
      <c r="U10" s="4">
        <f t="shared" si="0"/>
        <v>0</v>
      </c>
      <c r="W10" s="10"/>
    </row>
    <row r="11" s="6" customFormat="1" ht="19.5" customHeight="1" spans="1:23">
      <c r="A11" s="157">
        <v>1</v>
      </c>
      <c r="B11" s="174" t="s">
        <v>313</v>
      </c>
      <c r="C11" s="157" t="s">
        <v>305</v>
      </c>
      <c r="D11" s="157" t="s">
        <v>314</v>
      </c>
      <c r="E11" s="279">
        <v>0</v>
      </c>
      <c r="F11" s="279">
        <v>0</v>
      </c>
      <c r="G11" s="279">
        <v>0</v>
      </c>
      <c r="H11" s="410">
        <f>E11+F11+G11</f>
        <v>0</v>
      </c>
      <c r="I11" s="279">
        <v>0</v>
      </c>
      <c r="J11" s="279">
        <v>0</v>
      </c>
      <c r="K11" s="279">
        <v>0</v>
      </c>
      <c r="L11" s="410">
        <f>SUM(I11:K11)</f>
        <v>0</v>
      </c>
      <c r="M11" s="279">
        <v>0</v>
      </c>
      <c r="N11" s="279">
        <v>0</v>
      </c>
      <c r="O11" s="279"/>
      <c r="P11" s="410">
        <f t="shared" si="1"/>
        <v>0</v>
      </c>
      <c r="Q11" s="279"/>
      <c r="R11" s="279"/>
      <c r="S11" s="279"/>
      <c r="T11" s="279">
        <f>SUM(Q11:S11)</f>
        <v>0</v>
      </c>
      <c r="U11" s="4">
        <f t="shared" si="0"/>
        <v>0</v>
      </c>
      <c r="W11" s="10"/>
    </row>
    <row r="12" s="6" customFormat="1" ht="19.5" customHeight="1" spans="1:23">
      <c r="A12" s="157">
        <v>2</v>
      </c>
      <c r="B12" s="174" t="s">
        <v>315</v>
      </c>
      <c r="C12" s="157" t="s">
        <v>305</v>
      </c>
      <c r="D12" s="157" t="s">
        <v>306</v>
      </c>
      <c r="E12" s="279">
        <f>VLOOKUP(B12,[12]杭州!$C:$J,8,0)</f>
        <v>0</v>
      </c>
      <c r="F12" s="279">
        <f>VLOOKUP(B12,[12]杭州!$C:$M,11,0)</f>
        <v>2274</v>
      </c>
      <c r="G12" s="279">
        <f>VLOOKUP(B12,[12]杭州!$C:$S,17,0)</f>
        <v>0</v>
      </c>
      <c r="H12" s="410">
        <f>E12+F12+G12</f>
        <v>2274</v>
      </c>
      <c r="I12" s="279">
        <f>VLOOKUP(B12,[13]杭州!$C:$Z,24,0)</f>
        <v>2217</v>
      </c>
      <c r="J12" s="279">
        <f>VLOOKUP(B12,[14]杭州!$C$3:$AF$49,30,0)</f>
        <v>13140</v>
      </c>
      <c r="K12" s="279">
        <f>VLOOKUP(B12,[15]杭州!$C$3:$AL$49,36,0)</f>
        <v>0</v>
      </c>
      <c r="L12" s="410">
        <f>SUM(I12:K12)</f>
        <v>15357</v>
      </c>
      <c r="M12" s="279">
        <f>VLOOKUP(B12,[16]杭州!$C:$AR,42,0)</f>
        <v>3043</v>
      </c>
      <c r="N12" s="279">
        <f>VLOOKUP(B12,[17]杭州!$C$1:$AX$58,48,0)</f>
        <v>0</v>
      </c>
      <c r="O12" s="279"/>
      <c r="P12" s="410">
        <f t="shared" si="1"/>
        <v>3043</v>
      </c>
      <c r="Q12" s="279"/>
      <c r="R12" s="279"/>
      <c r="S12" s="279"/>
      <c r="T12" s="279">
        <f>SUM(Q12:S12)</f>
        <v>0</v>
      </c>
      <c r="U12" s="4">
        <f t="shared" si="0"/>
        <v>20674</v>
      </c>
      <c r="W12" s="10"/>
    </row>
    <row r="13" s="6" customFormat="1" ht="19.5" customHeight="1" spans="1:23">
      <c r="A13" s="157">
        <v>3</v>
      </c>
      <c r="B13" s="174" t="s">
        <v>316</v>
      </c>
      <c r="C13" s="157"/>
      <c r="D13" s="157"/>
      <c r="E13" s="279">
        <f>VLOOKUP(B13,[12]杭州!$C:$J,8,0)</f>
        <v>10000</v>
      </c>
      <c r="F13" s="279">
        <f>VLOOKUP(B13,[12]杭州!$C:$M,11,0)</f>
        <v>0</v>
      </c>
      <c r="G13" s="279">
        <f>VLOOKUP(B13,[12]杭州!$C:$S,17,0)</f>
        <v>24752.5</v>
      </c>
      <c r="H13" s="410">
        <f>E13+F13+G13</f>
        <v>34752.5</v>
      </c>
      <c r="I13" s="279">
        <f>VLOOKUP(B13,[13]杭州!$C:$Z,24,0)</f>
        <v>0</v>
      </c>
      <c r="J13" s="279">
        <f>VLOOKUP(B13,[14]杭州!$C$3:$AF$49,30,0)</f>
        <v>0</v>
      </c>
      <c r="K13" s="279">
        <f>VLOOKUP(B13,[15]杭州!$C$3:$AL$49,36,0)</f>
        <v>0</v>
      </c>
      <c r="L13" s="410">
        <f>SUM(I13:K13)</f>
        <v>0</v>
      </c>
      <c r="M13" s="279">
        <f>VLOOKUP(B13,[16]杭州!$C:$AR,42,0)</f>
        <v>0</v>
      </c>
      <c r="N13" s="279">
        <f>VLOOKUP(B13,[17]杭州!$C$1:$AX$58,48,0)</f>
        <v>0</v>
      </c>
      <c r="O13" s="279"/>
      <c r="P13" s="410">
        <f t="shared" si="1"/>
        <v>0</v>
      </c>
      <c r="Q13" s="279"/>
      <c r="R13" s="279"/>
      <c r="S13" s="279"/>
      <c r="T13" s="279">
        <f>SUM(Q13:S13)</f>
        <v>0</v>
      </c>
      <c r="U13" s="4">
        <f t="shared" si="0"/>
        <v>34752.5</v>
      </c>
      <c r="W13" s="10"/>
    </row>
    <row r="14" s="371" customFormat="1" ht="20.1" customHeight="1" spans="1:23">
      <c r="A14" s="380"/>
      <c r="B14" s="411" t="s">
        <v>11</v>
      </c>
      <c r="C14" s="412"/>
      <c r="D14" s="412"/>
      <c r="E14" s="382">
        <f>SUM(E11:E13)</f>
        <v>10000</v>
      </c>
      <c r="F14" s="382">
        <f t="shared" ref="F14:S14" si="3">SUM(F11:F13)</f>
        <v>2274</v>
      </c>
      <c r="G14" s="382">
        <f t="shared" si="3"/>
        <v>24752.5</v>
      </c>
      <c r="H14" s="410">
        <f t="shared" si="3"/>
        <v>37026.5</v>
      </c>
      <c r="I14" s="382">
        <f t="shared" si="3"/>
        <v>2217</v>
      </c>
      <c r="J14" s="382">
        <f t="shared" si="3"/>
        <v>13140</v>
      </c>
      <c r="K14" s="382">
        <f t="shared" si="3"/>
        <v>0</v>
      </c>
      <c r="L14" s="410">
        <f t="shared" si="3"/>
        <v>15357</v>
      </c>
      <c r="M14" s="382">
        <f t="shared" si="3"/>
        <v>3043</v>
      </c>
      <c r="N14" s="382">
        <f t="shared" si="3"/>
        <v>0</v>
      </c>
      <c r="O14" s="382">
        <f t="shared" si="3"/>
        <v>0</v>
      </c>
      <c r="P14" s="410">
        <f t="shared" si="1"/>
        <v>3043</v>
      </c>
      <c r="Q14" s="382">
        <f t="shared" si="3"/>
        <v>0</v>
      </c>
      <c r="R14" s="382">
        <f t="shared" si="3"/>
        <v>0</v>
      </c>
      <c r="S14" s="382">
        <f t="shared" si="3"/>
        <v>0</v>
      </c>
      <c r="T14" s="382">
        <f>SUM(T11:T11)</f>
        <v>0</v>
      </c>
      <c r="U14" s="4">
        <f t="shared" si="0"/>
        <v>55426.5</v>
      </c>
      <c r="W14" s="426"/>
    </row>
    <row r="15" ht="19.5" customHeight="1" spans="1:23">
      <c r="A15" s="192" t="s">
        <v>317</v>
      </c>
      <c r="B15" s="191"/>
      <c r="C15" s="193"/>
      <c r="D15" s="193"/>
      <c r="E15" s="288"/>
      <c r="F15" s="288"/>
      <c r="G15" s="288"/>
      <c r="H15" s="413"/>
      <c r="I15" s="288"/>
      <c r="J15" s="288"/>
      <c r="K15" s="288"/>
      <c r="L15" s="413"/>
      <c r="M15" s="288"/>
      <c r="N15" s="288"/>
      <c r="O15" s="279"/>
      <c r="P15" s="413"/>
      <c r="Q15" s="288"/>
      <c r="R15" s="288"/>
      <c r="S15" s="288"/>
      <c r="T15" s="288"/>
      <c r="U15" s="4">
        <f t="shared" si="0"/>
        <v>0</v>
      </c>
      <c r="W15" s="10"/>
    </row>
    <row r="16" s="6" customFormat="1" ht="19.5" customHeight="1" spans="1:23">
      <c r="A16" s="157">
        <v>1</v>
      </c>
      <c r="B16" s="174" t="s">
        <v>179</v>
      </c>
      <c r="C16" s="157" t="s">
        <v>271</v>
      </c>
      <c r="D16" s="157" t="s">
        <v>318</v>
      </c>
      <c r="E16" s="279">
        <f>VLOOKUP(B16,[12]杭州!$C:$J,8,0)</f>
        <v>513987.69</v>
      </c>
      <c r="F16" s="279">
        <f>VLOOKUP(B16,[12]杭州!$C:$M,11,0)</f>
        <v>456944.83</v>
      </c>
      <c r="G16" s="279">
        <f>VLOOKUP(B16,[12]杭州!$C:$S,17,0)</f>
        <v>639327.2</v>
      </c>
      <c r="H16" s="410">
        <f t="shared" ref="H16:H19" si="4">E16+F16+G16</f>
        <v>1610259.72</v>
      </c>
      <c r="I16" s="368">
        <f>VLOOKUP(B16,[13]杭州!$C:$Z,24,0)+60000</f>
        <v>380375.22</v>
      </c>
      <c r="J16" s="279">
        <f>VLOOKUP(B16,[14]杭州!$C$3:$AF$49,30,0)</f>
        <v>403454.03</v>
      </c>
      <c r="K16" s="279">
        <f>VLOOKUP(B16,[15]杭州!$C$3:$AL$49,36,0)</f>
        <v>521128.98</v>
      </c>
      <c r="L16" s="410">
        <f>SUM(I16:K16)</f>
        <v>1304958.23</v>
      </c>
      <c r="M16" s="279">
        <f>VLOOKUP(B16,[16]杭州!$C:$AR,42,0)</f>
        <v>152639.86</v>
      </c>
      <c r="N16" s="279">
        <f>VLOOKUP(B16,[17]杭州!$C$1:$AX$58,48,0)</f>
        <v>0</v>
      </c>
      <c r="O16" s="279"/>
      <c r="P16" s="410">
        <f t="shared" ref="P16:P20" si="5">M16+N16+O16</f>
        <v>152639.86</v>
      </c>
      <c r="Q16" s="279"/>
      <c r="R16" s="279"/>
      <c r="S16" s="279"/>
      <c r="T16" s="279">
        <f>SUM(Q16:S16)</f>
        <v>0</v>
      </c>
      <c r="U16" s="4">
        <f t="shared" si="0"/>
        <v>3067857.81</v>
      </c>
      <c r="W16" s="10"/>
    </row>
    <row r="17" s="6" customFormat="1" ht="19.5" customHeight="1" spans="1:23">
      <c r="A17" s="157">
        <v>2</v>
      </c>
      <c r="B17" s="174" t="s">
        <v>319</v>
      </c>
      <c r="C17" s="157"/>
      <c r="D17" s="157"/>
      <c r="E17" s="279">
        <v>3848</v>
      </c>
      <c r="F17" s="279">
        <v>7375</v>
      </c>
      <c r="G17" s="279">
        <v>74491</v>
      </c>
      <c r="H17" s="410">
        <f t="shared" si="4"/>
        <v>85714</v>
      </c>
      <c r="I17" s="368">
        <v>13995</v>
      </c>
      <c r="J17" s="368">
        <f>VLOOKUP(B17,[14]杭州!$C$3:$AF$49,30,0)+7579+3986</f>
        <v>11565</v>
      </c>
      <c r="K17" s="368">
        <f>10738+5434</f>
        <v>16172</v>
      </c>
      <c r="L17" s="410">
        <f>SUM(I17:K17)</f>
        <v>41732</v>
      </c>
      <c r="M17" s="368">
        <f>4909+10033</f>
        <v>14942</v>
      </c>
      <c r="N17" s="368">
        <v>2002</v>
      </c>
      <c r="O17" s="279"/>
      <c r="P17" s="410">
        <f t="shared" si="5"/>
        <v>16944</v>
      </c>
      <c r="Q17" s="279"/>
      <c r="R17" s="279"/>
      <c r="S17" s="279"/>
      <c r="T17" s="279"/>
      <c r="U17" s="4">
        <f t="shared" si="0"/>
        <v>144390</v>
      </c>
      <c r="W17" s="10"/>
    </row>
    <row r="18" s="6" customFormat="1" ht="19.5" customHeight="1" spans="1:23">
      <c r="A18" s="157">
        <v>3</v>
      </c>
      <c r="B18" s="174" t="s">
        <v>320</v>
      </c>
      <c r="C18" s="157"/>
      <c r="D18" s="157"/>
      <c r="E18" s="279">
        <f>VLOOKUP(B18,[12]杭州!$C:$J,8,0)</f>
        <v>0</v>
      </c>
      <c r="F18" s="279">
        <f>VLOOKUP(B18,[12]杭州!$C:$M,11,0)</f>
        <v>0</v>
      </c>
      <c r="G18" s="279">
        <f>VLOOKUP(B18,[12]杭州!$C:$S,17,0)</f>
        <v>0</v>
      </c>
      <c r="H18" s="410">
        <f t="shared" si="4"/>
        <v>0</v>
      </c>
      <c r="I18" s="279">
        <f>VLOOKUP(B18,[13]杭州!$C:$Z,24,0)</f>
        <v>0</v>
      </c>
      <c r="J18" s="279">
        <f>VLOOKUP(B18,[14]杭州!$C$3:$AF$49,30,0)</f>
        <v>0</v>
      </c>
      <c r="K18" s="279">
        <f>VLOOKUP(B18,[15]杭州!$C$3:$AL$49,36,0)</f>
        <v>0</v>
      </c>
      <c r="L18" s="410">
        <f>SUM(I18:K18)</f>
        <v>0</v>
      </c>
      <c r="M18" s="279">
        <f>VLOOKUP(B18,[16]杭州!$C:$AR,42,0)</f>
        <v>6789</v>
      </c>
      <c r="N18" s="279">
        <f>VLOOKUP(B18,[17]杭州!$C$1:$AX$58,48,0)</f>
        <v>0</v>
      </c>
      <c r="O18" s="279"/>
      <c r="P18" s="410">
        <f t="shared" si="5"/>
        <v>6789</v>
      </c>
      <c r="Q18" s="279"/>
      <c r="R18" s="279"/>
      <c r="S18" s="279"/>
      <c r="T18" s="279"/>
      <c r="U18" s="4">
        <f t="shared" si="0"/>
        <v>6789</v>
      </c>
      <c r="W18" s="10"/>
    </row>
    <row r="19" s="6" customFormat="1" ht="19.5" customHeight="1" spans="1:23">
      <c r="A19" s="157">
        <v>4</v>
      </c>
      <c r="B19" s="142" t="s">
        <v>321</v>
      </c>
      <c r="C19" s="157"/>
      <c r="D19" s="157"/>
      <c r="E19" s="279">
        <f>VLOOKUP(B19,[12]杭州!$C:$J,8,0)</f>
        <v>0</v>
      </c>
      <c r="F19" s="279">
        <f>VLOOKUP(B19,[12]杭州!$C:$M,11,0)</f>
        <v>0</v>
      </c>
      <c r="G19" s="279">
        <f>VLOOKUP(B19,[12]杭州!$C:$S,17,0)</f>
        <v>0</v>
      </c>
      <c r="H19" s="410">
        <f t="shared" si="4"/>
        <v>0</v>
      </c>
      <c r="I19" s="279">
        <f>VLOOKUP(B19,[13]杭州!$C:$Z,24,0)</f>
        <v>0</v>
      </c>
      <c r="J19" s="279">
        <f>VLOOKUP(B19,[14]杭州!$C$3:$AF$49,30,0)</f>
        <v>0</v>
      </c>
      <c r="K19" s="279">
        <f>VLOOKUP(B19,[15]杭州!$C$3:$AL$49,36,0)</f>
        <v>0</v>
      </c>
      <c r="L19" s="410">
        <f>SUM(I19:K19)</f>
        <v>0</v>
      </c>
      <c r="M19" s="279">
        <v>0</v>
      </c>
      <c r="N19" s="279">
        <v>0</v>
      </c>
      <c r="O19" s="279"/>
      <c r="P19" s="410">
        <f t="shared" si="5"/>
        <v>0</v>
      </c>
      <c r="Q19" s="279"/>
      <c r="R19" s="279"/>
      <c r="S19" s="279"/>
      <c r="T19" s="279"/>
      <c r="U19" s="4">
        <f t="shared" si="0"/>
        <v>0</v>
      </c>
      <c r="W19" s="10"/>
    </row>
    <row r="20" s="371" customFormat="1" ht="19.5" customHeight="1" spans="1:23">
      <c r="A20" s="380"/>
      <c r="B20" s="411" t="s">
        <v>11</v>
      </c>
      <c r="C20" s="412"/>
      <c r="D20" s="412"/>
      <c r="E20" s="382">
        <f>E16+E17+E18+E19</f>
        <v>517835.69</v>
      </c>
      <c r="F20" s="382">
        <f t="shared" ref="F20:T20" si="6">F16+F17+F18+F19</f>
        <v>464319.83</v>
      </c>
      <c r="G20" s="382">
        <f t="shared" si="6"/>
        <v>713818.2</v>
      </c>
      <c r="H20" s="410">
        <f t="shared" si="6"/>
        <v>1695973.72</v>
      </c>
      <c r="I20" s="382">
        <f t="shared" si="6"/>
        <v>394370.22</v>
      </c>
      <c r="J20" s="382">
        <f t="shared" si="6"/>
        <v>415019.03</v>
      </c>
      <c r="K20" s="382">
        <f t="shared" si="6"/>
        <v>537300.98</v>
      </c>
      <c r="L20" s="410">
        <f t="shared" si="6"/>
        <v>1346690.23</v>
      </c>
      <c r="M20" s="382">
        <f t="shared" si="6"/>
        <v>174370.86</v>
      </c>
      <c r="N20" s="382">
        <f t="shared" si="6"/>
        <v>2002</v>
      </c>
      <c r="O20" s="382">
        <f t="shared" si="6"/>
        <v>0</v>
      </c>
      <c r="P20" s="410">
        <f t="shared" si="5"/>
        <v>176372.86</v>
      </c>
      <c r="Q20" s="382">
        <f t="shared" si="6"/>
        <v>0</v>
      </c>
      <c r="R20" s="382">
        <f t="shared" si="6"/>
        <v>0</v>
      </c>
      <c r="S20" s="382">
        <f t="shared" si="6"/>
        <v>0</v>
      </c>
      <c r="T20" s="382">
        <f t="shared" si="6"/>
        <v>0</v>
      </c>
      <c r="U20" s="4">
        <f t="shared" si="0"/>
        <v>3219036.81</v>
      </c>
      <c r="W20" s="426"/>
    </row>
    <row r="21" ht="19.5" customHeight="1" spans="1:23">
      <c r="A21" s="192" t="s">
        <v>322</v>
      </c>
      <c r="B21" s="191"/>
      <c r="C21" s="193"/>
      <c r="D21" s="193"/>
      <c r="E21" s="288"/>
      <c r="F21" s="288"/>
      <c r="G21" s="288"/>
      <c r="H21" s="413"/>
      <c r="I21" s="288"/>
      <c r="J21" s="288"/>
      <c r="K21" s="288"/>
      <c r="L21" s="413"/>
      <c r="M21" s="288"/>
      <c r="N21" s="288"/>
      <c r="O21" s="288"/>
      <c r="P21" s="413"/>
      <c r="Q21" s="288"/>
      <c r="R21" s="288"/>
      <c r="S21" s="288"/>
      <c r="T21" s="288"/>
      <c r="U21" s="4">
        <f t="shared" si="0"/>
        <v>0</v>
      </c>
      <c r="W21" s="10"/>
    </row>
    <row r="22" s="6" customFormat="1" ht="19.5" customHeight="1" spans="1:23">
      <c r="A22" s="157">
        <v>1</v>
      </c>
      <c r="B22" s="174" t="s">
        <v>323</v>
      </c>
      <c r="C22" s="157" t="s">
        <v>305</v>
      </c>
      <c r="D22" s="157" t="s">
        <v>324</v>
      </c>
      <c r="E22" s="279">
        <f>VLOOKUP(B22,[12]杭州!$C:$J,8,0)</f>
        <v>100000</v>
      </c>
      <c r="F22" s="279">
        <f>VLOOKUP(B22,[12]杭州!$C:$M,11,0)</f>
        <v>0</v>
      </c>
      <c r="G22" s="279">
        <f>VLOOKUP(B22,[12]杭州!$C:$S,17,0)</f>
        <v>60000</v>
      </c>
      <c r="H22" s="410">
        <f t="shared" ref="H22:H28" si="7">E22+F22+G22</f>
        <v>160000</v>
      </c>
      <c r="I22" s="279">
        <f>VLOOKUP(B22,[13]杭州!$C:$Z,24,0)</f>
        <v>50000</v>
      </c>
      <c r="J22" s="279">
        <f>VLOOKUP(B22,[14]杭州!$C$3:$AF$49,30,0)</f>
        <v>60000</v>
      </c>
      <c r="K22" s="279">
        <f>VLOOKUP(B22,[15]杭州!$C$3:$AL$49,36,0)</f>
        <v>120000</v>
      </c>
      <c r="L22" s="410">
        <f>SUM(I22:K22)</f>
        <v>230000</v>
      </c>
      <c r="M22" s="279">
        <f>VLOOKUP(B22,[16]杭州!$C:$AR,42,0)</f>
        <v>100000</v>
      </c>
      <c r="N22" s="279">
        <f>VLOOKUP(B22,[17]杭州!$C$1:$AX$58,48,0)</f>
        <v>50000</v>
      </c>
      <c r="O22" s="279"/>
      <c r="P22" s="410">
        <f t="shared" ref="P22:P29" si="8">M22+N22+O22</f>
        <v>150000</v>
      </c>
      <c r="Q22" s="279"/>
      <c r="R22" s="279"/>
      <c r="S22" s="279"/>
      <c r="T22" s="279">
        <f>SUM(Q22:S22)</f>
        <v>0</v>
      </c>
      <c r="U22" s="4">
        <f t="shared" si="0"/>
        <v>540000</v>
      </c>
      <c r="W22" s="10"/>
    </row>
    <row r="23" s="6" customFormat="1" ht="19.5" customHeight="1" spans="1:23">
      <c r="A23" s="157">
        <v>2</v>
      </c>
      <c r="B23" s="174" t="s">
        <v>325</v>
      </c>
      <c r="C23" s="157" t="s">
        <v>326</v>
      </c>
      <c r="D23" s="157" t="s">
        <v>327</v>
      </c>
      <c r="E23" s="279">
        <f>VLOOKUP(B23,[12]杭州!$C:$J,8,0)</f>
        <v>41700</v>
      </c>
      <c r="F23" s="279">
        <f>VLOOKUP(B23,[12]杭州!$C:$M,11,0)</f>
        <v>27875</v>
      </c>
      <c r="G23" s="279">
        <f>VLOOKUP(B23,[12]杭州!$C:$S,17,0)</f>
        <v>94786</v>
      </c>
      <c r="H23" s="410">
        <f t="shared" si="7"/>
        <v>164361</v>
      </c>
      <c r="I23" s="279">
        <f>VLOOKUP(B23,[13]杭州!$C:$Z,24,0)</f>
        <v>67000</v>
      </c>
      <c r="J23" s="279">
        <f>VLOOKUP(B23,[14]杭州!$C$3:$AF$49,30,0)</f>
        <v>0</v>
      </c>
      <c r="K23" s="279">
        <f>VLOOKUP(B23,[15]杭州!$C$3:$AL$49,36,0)</f>
        <v>30253.74</v>
      </c>
      <c r="L23" s="410">
        <f t="shared" ref="L23:L28" si="9">SUM(I23:K23)</f>
        <v>97253.74</v>
      </c>
      <c r="M23" s="279">
        <f>VLOOKUP(B23,[16]杭州!$C:$AR,42,0)</f>
        <v>40000</v>
      </c>
      <c r="N23" s="279">
        <f>VLOOKUP(B23,[17]杭州!$C$1:$AX$58,48,0)</f>
        <v>70000</v>
      </c>
      <c r="O23" s="279"/>
      <c r="P23" s="410">
        <f t="shared" si="8"/>
        <v>110000</v>
      </c>
      <c r="Q23" s="279"/>
      <c r="R23" s="279"/>
      <c r="S23" s="279"/>
      <c r="T23" s="279">
        <f>SUM(Q23:S23)</f>
        <v>0</v>
      </c>
      <c r="U23" s="4">
        <f t="shared" si="0"/>
        <v>371614.74</v>
      </c>
      <c r="W23" s="10"/>
    </row>
    <row r="24" s="6" customFormat="1" ht="30" customHeight="1" spans="1:23">
      <c r="A24" s="157">
        <v>3</v>
      </c>
      <c r="B24" s="174" t="s">
        <v>328</v>
      </c>
      <c r="C24" s="157" t="s">
        <v>305</v>
      </c>
      <c r="D24" s="157" t="s">
        <v>324</v>
      </c>
      <c r="E24" s="279">
        <v>0</v>
      </c>
      <c r="F24" s="279">
        <v>0</v>
      </c>
      <c r="G24" s="279">
        <v>0</v>
      </c>
      <c r="H24" s="410">
        <f t="shared" si="7"/>
        <v>0</v>
      </c>
      <c r="I24" s="279">
        <v>0</v>
      </c>
      <c r="J24" s="279">
        <v>0</v>
      </c>
      <c r="K24" s="279">
        <v>0</v>
      </c>
      <c r="L24" s="410">
        <f t="shared" si="9"/>
        <v>0</v>
      </c>
      <c r="M24" s="279">
        <v>0</v>
      </c>
      <c r="N24" s="279">
        <v>0</v>
      </c>
      <c r="O24" s="279"/>
      <c r="P24" s="410">
        <f t="shared" si="8"/>
        <v>0</v>
      </c>
      <c r="Q24" s="279"/>
      <c r="R24" s="279"/>
      <c r="S24" s="279"/>
      <c r="T24" s="279">
        <f>SUM(Q24:S24)</f>
        <v>0</v>
      </c>
      <c r="U24" s="4">
        <f t="shared" si="0"/>
        <v>0</v>
      </c>
      <c r="W24" s="10"/>
    </row>
    <row r="25" s="6" customFormat="1" ht="19.5" customHeight="1" spans="1:23">
      <c r="A25" s="157">
        <v>4</v>
      </c>
      <c r="B25" s="174" t="s">
        <v>329</v>
      </c>
      <c r="C25" s="157" t="s">
        <v>305</v>
      </c>
      <c r="D25" s="157" t="s">
        <v>324</v>
      </c>
      <c r="E25" s="279">
        <v>0</v>
      </c>
      <c r="F25" s="279">
        <v>0</v>
      </c>
      <c r="G25" s="279">
        <v>0</v>
      </c>
      <c r="H25" s="410">
        <f t="shared" si="7"/>
        <v>0</v>
      </c>
      <c r="I25" s="279">
        <v>0</v>
      </c>
      <c r="J25" s="279">
        <v>0</v>
      </c>
      <c r="K25" s="279">
        <v>0</v>
      </c>
      <c r="L25" s="410">
        <f t="shared" si="9"/>
        <v>0</v>
      </c>
      <c r="M25" s="279">
        <v>0</v>
      </c>
      <c r="N25" s="279">
        <v>0</v>
      </c>
      <c r="O25" s="279"/>
      <c r="P25" s="410">
        <f t="shared" si="8"/>
        <v>0</v>
      </c>
      <c r="Q25" s="279"/>
      <c r="R25" s="279"/>
      <c r="S25" s="279"/>
      <c r="T25" s="279">
        <f>SUM(Q25:S25)</f>
        <v>0</v>
      </c>
      <c r="U25" s="4">
        <f t="shared" si="0"/>
        <v>0</v>
      </c>
      <c r="W25" s="10"/>
    </row>
    <row r="26" s="6" customFormat="1" ht="19.5" customHeight="1" spans="1:23">
      <c r="A26" s="157">
        <v>5</v>
      </c>
      <c r="B26" s="174" t="s">
        <v>330</v>
      </c>
      <c r="C26" s="157" t="s">
        <v>305</v>
      </c>
      <c r="D26" s="157" t="s">
        <v>331</v>
      </c>
      <c r="E26" s="279">
        <f>VLOOKUP(B26,[12]杭州!$C:$J,8,0)</f>
        <v>0</v>
      </c>
      <c r="F26" s="279">
        <f>VLOOKUP(B26,[12]杭州!$C:$M,11,0)</f>
        <v>0</v>
      </c>
      <c r="G26" s="279">
        <f>VLOOKUP(B26,[12]杭州!$C:$S,17,0)</f>
        <v>0</v>
      </c>
      <c r="H26" s="410">
        <f t="shared" si="7"/>
        <v>0</v>
      </c>
      <c r="I26" s="279">
        <f>VLOOKUP(B26,[13]杭州!$C:$Z,24,0)</f>
        <v>0</v>
      </c>
      <c r="J26" s="279">
        <f>VLOOKUP(B26,[14]杭州!$C$3:$AF$49,30,0)</f>
        <v>0</v>
      </c>
      <c r="K26" s="279">
        <f>VLOOKUP(B26,[15]杭州!$C$3:$AL$49,36,0)</f>
        <v>0</v>
      </c>
      <c r="L26" s="410">
        <f t="shared" si="9"/>
        <v>0</v>
      </c>
      <c r="M26" s="279">
        <f>VLOOKUP(B26,[16]杭州!$C:$AR,42,0)</f>
        <v>0</v>
      </c>
      <c r="N26" s="279">
        <f>VLOOKUP(B26,[17]杭州!$C$1:$AX$58,48,0)</f>
        <v>0</v>
      </c>
      <c r="O26" s="279"/>
      <c r="P26" s="410">
        <f t="shared" si="8"/>
        <v>0</v>
      </c>
      <c r="Q26" s="279"/>
      <c r="R26" s="279"/>
      <c r="S26" s="279"/>
      <c r="T26" s="279"/>
      <c r="U26" s="4">
        <f t="shared" si="0"/>
        <v>0</v>
      </c>
      <c r="W26" s="10"/>
    </row>
    <row r="27" s="6" customFormat="1" ht="32.1" customHeight="1" spans="1:23">
      <c r="A27" s="157">
        <v>6</v>
      </c>
      <c r="B27" s="174" t="s">
        <v>332</v>
      </c>
      <c r="C27" s="157" t="s">
        <v>305</v>
      </c>
      <c r="D27" s="157" t="s">
        <v>324</v>
      </c>
      <c r="E27" s="279">
        <f>VLOOKUP(B27,[12]杭州!$C:$J,8,0)</f>
        <v>0</v>
      </c>
      <c r="F27" s="279">
        <f>VLOOKUP(B27,[12]杭州!$C:$M,11,0)</f>
        <v>0</v>
      </c>
      <c r="G27" s="279">
        <f>VLOOKUP(B27,[12]杭州!$C:$S,17,0)</f>
        <v>0</v>
      </c>
      <c r="H27" s="410">
        <f t="shared" si="7"/>
        <v>0</v>
      </c>
      <c r="I27" s="279">
        <f>VLOOKUP(B27,[13]杭州!$C:$Z,24,0)</f>
        <v>0</v>
      </c>
      <c r="J27" s="279">
        <f>VLOOKUP(B27,[14]杭州!$C$3:$AF$49,30,0)</f>
        <v>0</v>
      </c>
      <c r="K27" s="279">
        <f>VLOOKUP(B27,[15]杭州!$C$3:$AL$49,36,0)</f>
        <v>0</v>
      </c>
      <c r="L27" s="410">
        <f t="shared" si="9"/>
        <v>0</v>
      </c>
      <c r="M27" s="279">
        <f>VLOOKUP(B27,[16]杭州!$C:$AR,42,0)</f>
        <v>0</v>
      </c>
      <c r="N27" s="279">
        <f>VLOOKUP(B27,[17]杭州!$C$1:$AX$58,48,0)</f>
        <v>0</v>
      </c>
      <c r="O27" s="279"/>
      <c r="P27" s="410">
        <f t="shared" si="8"/>
        <v>0</v>
      </c>
      <c r="Q27" s="279"/>
      <c r="R27" s="279"/>
      <c r="S27" s="279"/>
      <c r="T27" s="279"/>
      <c r="U27" s="4">
        <f t="shared" si="0"/>
        <v>0</v>
      </c>
      <c r="W27" s="10"/>
    </row>
    <row r="28" s="6" customFormat="1" ht="19.5" customHeight="1" spans="1:23">
      <c r="A28" s="157">
        <v>7</v>
      </c>
      <c r="B28" s="174" t="s">
        <v>333</v>
      </c>
      <c r="C28" s="157" t="s">
        <v>310</v>
      </c>
      <c r="D28" s="157" t="s">
        <v>334</v>
      </c>
      <c r="E28" s="279">
        <f>VLOOKUP(B28,[12]杭州!$C:$J,8,0)</f>
        <v>0</v>
      </c>
      <c r="F28" s="279">
        <f>VLOOKUP(B28,[12]杭州!$C:$M,11,0)</f>
        <v>0</v>
      </c>
      <c r="G28" s="279">
        <f>VLOOKUP(B28,[12]杭州!$C:$S,17,0)</f>
        <v>0</v>
      </c>
      <c r="H28" s="410">
        <f t="shared" si="7"/>
        <v>0</v>
      </c>
      <c r="I28" s="279">
        <f>VLOOKUP(B28,[13]杭州!$C:$Z,24,0)</f>
        <v>0</v>
      </c>
      <c r="J28" s="279">
        <f>VLOOKUP(B28,[14]杭州!$C$3:$AF$49,30,0)</f>
        <v>0</v>
      </c>
      <c r="K28" s="279">
        <f>VLOOKUP(B28,[15]杭州!$C$3:$AL$49,36,0)</f>
        <v>0</v>
      </c>
      <c r="L28" s="410">
        <f t="shared" si="9"/>
        <v>0</v>
      </c>
      <c r="M28" s="279">
        <f>VLOOKUP(B28,[16]杭州!$C:$AR,42,0)</f>
        <v>0</v>
      </c>
      <c r="N28" s="279">
        <f>VLOOKUP(B28,[17]杭州!$C$1:$AX$58,48,0)</f>
        <v>0</v>
      </c>
      <c r="O28" s="279"/>
      <c r="P28" s="410">
        <f t="shared" si="8"/>
        <v>0</v>
      </c>
      <c r="Q28" s="279"/>
      <c r="R28" s="279"/>
      <c r="S28" s="279"/>
      <c r="T28" s="279">
        <f>SUM(Q28:S28)</f>
        <v>0</v>
      </c>
      <c r="U28" s="4">
        <f t="shared" si="0"/>
        <v>0</v>
      </c>
      <c r="W28" s="10"/>
    </row>
    <row r="29" s="371" customFormat="1" ht="19.5" customHeight="1" spans="1:23">
      <c r="A29" s="380"/>
      <c r="B29" s="411" t="s">
        <v>11</v>
      </c>
      <c r="C29" s="412"/>
      <c r="D29" s="412"/>
      <c r="E29" s="382">
        <f>SUM(E22:E28)</f>
        <v>141700</v>
      </c>
      <c r="F29" s="382">
        <f>SUM(F22:F28)</f>
        <v>27875</v>
      </c>
      <c r="G29" s="382">
        <f t="shared" ref="G29:T29" si="10">SUM(G22:G28)</f>
        <v>154786</v>
      </c>
      <c r="H29" s="410">
        <f t="shared" si="10"/>
        <v>324361</v>
      </c>
      <c r="I29" s="382">
        <f t="shared" si="10"/>
        <v>117000</v>
      </c>
      <c r="J29" s="382">
        <f t="shared" si="10"/>
        <v>60000</v>
      </c>
      <c r="K29" s="382">
        <f t="shared" si="10"/>
        <v>150253.74</v>
      </c>
      <c r="L29" s="410">
        <f t="shared" si="10"/>
        <v>327253.74</v>
      </c>
      <c r="M29" s="382">
        <f t="shared" si="10"/>
        <v>140000</v>
      </c>
      <c r="N29" s="382">
        <f t="shared" si="10"/>
        <v>120000</v>
      </c>
      <c r="O29" s="382">
        <f t="shared" si="10"/>
        <v>0</v>
      </c>
      <c r="P29" s="410">
        <f t="shared" si="8"/>
        <v>260000</v>
      </c>
      <c r="Q29" s="382">
        <f t="shared" si="10"/>
        <v>0</v>
      </c>
      <c r="R29" s="382">
        <f t="shared" si="10"/>
        <v>0</v>
      </c>
      <c r="S29" s="382">
        <f t="shared" si="10"/>
        <v>0</v>
      </c>
      <c r="T29" s="382">
        <f t="shared" si="10"/>
        <v>0</v>
      </c>
      <c r="U29" s="4">
        <f t="shared" si="0"/>
        <v>911614.74</v>
      </c>
      <c r="W29" s="426"/>
    </row>
    <row r="30" ht="19.5" customHeight="1" spans="1:23">
      <c r="A30" s="192" t="s">
        <v>335</v>
      </c>
      <c r="B30" s="191"/>
      <c r="C30" s="193"/>
      <c r="D30" s="193"/>
      <c r="E30" s="288"/>
      <c r="F30" s="288"/>
      <c r="G30" s="288"/>
      <c r="H30" s="413"/>
      <c r="I30" s="288"/>
      <c r="J30" s="288"/>
      <c r="K30" s="288"/>
      <c r="L30" s="413"/>
      <c r="M30" s="288"/>
      <c r="N30" s="288"/>
      <c r="O30" s="288"/>
      <c r="P30" s="413"/>
      <c r="Q30" s="288"/>
      <c r="R30" s="288"/>
      <c r="S30" s="288"/>
      <c r="T30" s="288"/>
      <c r="U30" s="4">
        <f t="shared" si="0"/>
        <v>0</v>
      </c>
      <c r="W30" s="10"/>
    </row>
    <row r="31" s="6" customFormat="1" ht="19.5" customHeight="1" spans="1:23">
      <c r="A31" s="157">
        <v>1</v>
      </c>
      <c r="B31" s="174" t="s">
        <v>336</v>
      </c>
      <c r="C31" s="157" t="s">
        <v>326</v>
      </c>
      <c r="D31" s="157" t="s">
        <v>337</v>
      </c>
      <c r="E31" s="279">
        <f>VLOOKUP(B31,[12]杭州!$C:$J,8,0)</f>
        <v>149040</v>
      </c>
      <c r="F31" s="279">
        <f>VLOOKUP(B31,[12]杭州!$C:$M,11,0)</f>
        <v>72140</v>
      </c>
      <c r="G31" s="279">
        <f>VLOOKUP(B31,[12]杭州!$C:$S,17,0)</f>
        <v>160000</v>
      </c>
      <c r="H31" s="410">
        <f t="shared" ref="H31:H35" si="11">E31+F31+G31</f>
        <v>381180</v>
      </c>
      <c r="I31" s="279">
        <f>VLOOKUP(B31,[13]杭州!$C:$Z,24,0)</f>
        <v>100000</v>
      </c>
      <c r="J31" s="279">
        <f>VLOOKUP(B31,[14]杭州!$C$3:$AF$49,30,0)</f>
        <v>90000</v>
      </c>
      <c r="K31" s="279">
        <f>VLOOKUP(B31,[15]杭州!$C$3:$AL$49,36,0)</f>
        <v>275000</v>
      </c>
      <c r="L31" s="410">
        <f>SUM(I31:K31)</f>
        <v>465000</v>
      </c>
      <c r="M31" s="279">
        <f>VLOOKUP(B31,[16]杭州!$C:$AR,42,0)</f>
        <v>0</v>
      </c>
      <c r="N31" s="279">
        <f>VLOOKUP(B31,[17]杭州!$C$1:$AX$58,48,0)</f>
        <v>30000</v>
      </c>
      <c r="O31" s="279"/>
      <c r="P31" s="410">
        <f t="shared" ref="P31:P37" si="12">M31+N31+O31</f>
        <v>30000</v>
      </c>
      <c r="Q31" s="279"/>
      <c r="R31" s="279"/>
      <c r="S31" s="279"/>
      <c r="T31" s="279">
        <f>SUM(Q31:S31)</f>
        <v>0</v>
      </c>
      <c r="U31" s="4">
        <f t="shared" si="0"/>
        <v>876180</v>
      </c>
      <c r="W31" s="10"/>
    </row>
    <row r="32" s="6" customFormat="1" ht="19.5" customHeight="1" spans="1:23">
      <c r="A32" s="157">
        <v>2</v>
      </c>
      <c r="B32" s="174" t="s">
        <v>338</v>
      </c>
      <c r="C32" s="157" t="s">
        <v>326</v>
      </c>
      <c r="D32" s="157" t="s">
        <v>339</v>
      </c>
      <c r="E32" s="279">
        <f>VLOOKUP(B32,[12]杭州!$C:$J,8,0)</f>
        <v>0</v>
      </c>
      <c r="F32" s="279">
        <f>VLOOKUP(B32,[12]杭州!$C:$M,11,0)</f>
        <v>0</v>
      </c>
      <c r="G32" s="279">
        <f>VLOOKUP(B32,[12]杭州!$C:$S,17,0)</f>
        <v>0</v>
      </c>
      <c r="H32" s="410">
        <f t="shared" si="11"/>
        <v>0</v>
      </c>
      <c r="I32" s="279">
        <f>VLOOKUP(B32,[13]杭州!$C:$Z,24,0)</f>
        <v>0</v>
      </c>
      <c r="J32" s="279">
        <f>VLOOKUP(B32,[14]杭州!$C$3:$AF$49,30,0)</f>
        <v>0</v>
      </c>
      <c r="K32" s="279">
        <f>VLOOKUP(B32,[15]杭州!$C$3:$AL$49,36,0)</f>
        <v>0</v>
      </c>
      <c r="L32" s="410">
        <f>SUM(I32:K32)</f>
        <v>0</v>
      </c>
      <c r="M32" s="279">
        <f>VLOOKUP(B32,[16]杭州!$C:$AR,42,0)</f>
        <v>0</v>
      </c>
      <c r="N32" s="279">
        <f>VLOOKUP(B32,[17]杭州!$C$1:$AX$58,48,0)</f>
        <v>0</v>
      </c>
      <c r="O32" s="279"/>
      <c r="P32" s="410">
        <f t="shared" si="12"/>
        <v>0</v>
      </c>
      <c r="Q32" s="279"/>
      <c r="R32" s="279"/>
      <c r="S32" s="279"/>
      <c r="T32" s="279">
        <f>SUM(Q32:S32)</f>
        <v>0</v>
      </c>
      <c r="U32" s="4">
        <f t="shared" si="0"/>
        <v>0</v>
      </c>
      <c r="W32" s="10"/>
    </row>
    <row r="33" s="6" customFormat="1" ht="19.5" customHeight="1" spans="1:23">
      <c r="A33" s="157">
        <v>3</v>
      </c>
      <c r="B33" s="174" t="s">
        <v>340</v>
      </c>
      <c r="C33" s="157" t="s">
        <v>326</v>
      </c>
      <c r="D33" s="157" t="s">
        <v>341</v>
      </c>
      <c r="E33" s="279">
        <v>1887</v>
      </c>
      <c r="F33" s="279">
        <v>0</v>
      </c>
      <c r="G33" s="279">
        <v>21472</v>
      </c>
      <c r="H33" s="410">
        <f t="shared" si="11"/>
        <v>23359</v>
      </c>
      <c r="I33" s="279">
        <v>24592</v>
      </c>
      <c r="J33" s="279">
        <v>35823</v>
      </c>
      <c r="K33" s="279">
        <v>40090</v>
      </c>
      <c r="L33" s="410">
        <f>SUM(I33:K33)</f>
        <v>100505</v>
      </c>
      <c r="M33" s="279">
        <v>5841</v>
      </c>
      <c r="N33" s="279">
        <v>19585</v>
      </c>
      <c r="O33" s="279"/>
      <c r="P33" s="410">
        <f t="shared" si="12"/>
        <v>25426</v>
      </c>
      <c r="Q33" s="279"/>
      <c r="R33" s="279"/>
      <c r="S33" s="279"/>
      <c r="T33" s="279">
        <f>SUM(Q33:S33)</f>
        <v>0</v>
      </c>
      <c r="U33" s="4">
        <f t="shared" si="0"/>
        <v>149290</v>
      </c>
      <c r="W33" s="10"/>
    </row>
    <row r="34" s="6" customFormat="1" ht="19.5" customHeight="1" spans="1:23">
      <c r="A34" s="157">
        <v>4</v>
      </c>
      <c r="B34" s="174" t="s">
        <v>342</v>
      </c>
      <c r="C34" s="157" t="s">
        <v>326</v>
      </c>
      <c r="D34" s="157" t="s">
        <v>343</v>
      </c>
      <c r="E34" s="279">
        <f>VLOOKUP(B34,[12]杭州!$C:$J,8,0)</f>
        <v>10000</v>
      </c>
      <c r="F34" s="279">
        <f>VLOOKUP(B34,[12]杭州!$C:$M,11,0)</f>
        <v>83000</v>
      </c>
      <c r="G34" s="279">
        <f>VLOOKUP(B34,[12]杭州!$C:$S,17,0)</f>
        <v>71000</v>
      </c>
      <c r="H34" s="410">
        <f t="shared" si="11"/>
        <v>164000</v>
      </c>
      <c r="I34" s="279">
        <f>VLOOKUP(B34,[13]杭州!$C:$Z,24,0)</f>
        <v>140000</v>
      </c>
      <c r="J34" s="279">
        <f>VLOOKUP(B34,[14]杭州!$C$3:$AF$49,30,0)</f>
        <v>70000</v>
      </c>
      <c r="K34" s="279">
        <f>VLOOKUP(B34,[15]杭州!$C$3:$AL$49,36,0)</f>
        <v>65840</v>
      </c>
      <c r="L34" s="410">
        <f>SUM(I34:K34)</f>
        <v>275840</v>
      </c>
      <c r="M34" s="279">
        <f>VLOOKUP(B34,[16]杭州!$C:$AR,42,0)</f>
        <v>39000</v>
      </c>
      <c r="N34" s="279">
        <f>VLOOKUP(B34,[17]杭州!$C$1:$AX$58,48,0)</f>
        <v>95500</v>
      </c>
      <c r="O34" s="279"/>
      <c r="P34" s="410">
        <f t="shared" si="12"/>
        <v>134500</v>
      </c>
      <c r="Q34" s="279"/>
      <c r="R34" s="279"/>
      <c r="S34" s="279"/>
      <c r="T34" s="279">
        <f>SUM(Q34:S34)</f>
        <v>0</v>
      </c>
      <c r="U34" s="4">
        <f t="shared" si="0"/>
        <v>574340</v>
      </c>
      <c r="W34" s="10"/>
    </row>
    <row r="35" s="6" customFormat="1" ht="19.5" customHeight="1" spans="1:23">
      <c r="A35" s="157">
        <v>5</v>
      </c>
      <c r="B35" s="174" t="s">
        <v>344</v>
      </c>
      <c r="C35" s="157" t="s">
        <v>305</v>
      </c>
      <c r="D35" s="157" t="s">
        <v>337</v>
      </c>
      <c r="E35" s="279">
        <f>VLOOKUP(B35,[12]杭州!$C:$J,8,0)</f>
        <v>0</v>
      </c>
      <c r="F35" s="279">
        <f>VLOOKUP(B35,[12]杭州!$C:$M,11,0)</f>
        <v>0</v>
      </c>
      <c r="G35" s="279">
        <f>VLOOKUP(B35,[12]杭州!$C:$S,17,0)</f>
        <v>0</v>
      </c>
      <c r="H35" s="410">
        <f t="shared" si="11"/>
        <v>0</v>
      </c>
      <c r="I35" s="279">
        <f>VLOOKUP(B35,[13]杭州!$C:$Z,24,0)</f>
        <v>0</v>
      </c>
      <c r="J35" s="279">
        <f>VLOOKUP(B35,[14]杭州!$C$3:$AF$49,30,0)</f>
        <v>0</v>
      </c>
      <c r="K35" s="279">
        <f>VLOOKUP(B35,[15]杭州!$C$3:$AL$49,36,0)</f>
        <v>0</v>
      </c>
      <c r="L35" s="410">
        <f>SUM(I35:K35)</f>
        <v>0</v>
      </c>
      <c r="M35" s="279">
        <f>VLOOKUP(B35,[16]杭州!$C:$AR,42,0)</f>
        <v>0</v>
      </c>
      <c r="N35" s="279">
        <f>VLOOKUP(B35,[17]杭州!$C$1:$AX$58,48,0)</f>
        <v>0</v>
      </c>
      <c r="O35" s="279"/>
      <c r="P35" s="410">
        <f t="shared" si="12"/>
        <v>0</v>
      </c>
      <c r="Q35" s="279"/>
      <c r="R35" s="279"/>
      <c r="S35" s="279"/>
      <c r="T35" s="279">
        <f>SUM(Q35:S35)</f>
        <v>0</v>
      </c>
      <c r="U35" s="4">
        <f t="shared" si="0"/>
        <v>0</v>
      </c>
      <c r="W35" s="10"/>
    </row>
    <row r="36" s="6" customFormat="1" ht="19.5" customHeight="1" spans="1:23">
      <c r="A36" s="157"/>
      <c r="B36" s="174" t="s">
        <v>345</v>
      </c>
      <c r="C36" s="157"/>
      <c r="D36" s="157"/>
      <c r="E36" s="279"/>
      <c r="F36" s="279"/>
      <c r="G36" s="279"/>
      <c r="H36" s="410"/>
      <c r="I36" s="279"/>
      <c r="J36" s="279"/>
      <c r="K36" s="279"/>
      <c r="L36" s="410"/>
      <c r="M36" s="368">
        <v>790</v>
      </c>
      <c r="N36" s="279">
        <v>0</v>
      </c>
      <c r="O36" s="279"/>
      <c r="P36" s="410">
        <f t="shared" si="12"/>
        <v>790</v>
      </c>
      <c r="Q36" s="279"/>
      <c r="R36" s="279"/>
      <c r="S36" s="279"/>
      <c r="T36" s="279"/>
      <c r="U36" s="4">
        <f t="shared" si="0"/>
        <v>790</v>
      </c>
      <c r="W36" s="10"/>
    </row>
    <row r="37" s="371" customFormat="1" ht="19.5" customHeight="1" spans="1:23">
      <c r="A37" s="380"/>
      <c r="B37" s="411" t="s">
        <v>11</v>
      </c>
      <c r="C37" s="412"/>
      <c r="D37" s="412"/>
      <c r="E37" s="382">
        <f>SUM(E31:E35)</f>
        <v>160927</v>
      </c>
      <c r="F37" s="382">
        <f>SUM(F31:F35)</f>
        <v>155140</v>
      </c>
      <c r="G37" s="382">
        <f>SUM(G31:G35)</f>
        <v>252472</v>
      </c>
      <c r="H37" s="410">
        <f>SUM(H31:H35)</f>
        <v>568539</v>
      </c>
      <c r="I37" s="382">
        <f t="shared" ref="I37:S37" si="13">SUM(I31:I34)</f>
        <v>264592</v>
      </c>
      <c r="J37" s="382">
        <f t="shared" si="13"/>
        <v>195823</v>
      </c>
      <c r="K37" s="382">
        <f t="shared" si="13"/>
        <v>380930</v>
      </c>
      <c r="L37" s="410">
        <f>SUM(L31:L35)</f>
        <v>841345</v>
      </c>
      <c r="M37" s="382">
        <f>SUM(M31:M36)</f>
        <v>45631</v>
      </c>
      <c r="N37" s="382">
        <f t="shared" si="13"/>
        <v>145085</v>
      </c>
      <c r="O37" s="382">
        <f t="shared" si="13"/>
        <v>0</v>
      </c>
      <c r="P37" s="410">
        <f t="shared" si="12"/>
        <v>190716</v>
      </c>
      <c r="Q37" s="382">
        <f t="shared" si="13"/>
        <v>0</v>
      </c>
      <c r="R37" s="382">
        <f t="shared" si="13"/>
        <v>0</v>
      </c>
      <c r="S37" s="382">
        <f t="shared" si="13"/>
        <v>0</v>
      </c>
      <c r="T37" s="382">
        <f>SUM(T31:T35)</f>
        <v>0</v>
      </c>
      <c r="U37" s="4">
        <f t="shared" ref="U37:U79" si="14">H37+L37+P37+T37</f>
        <v>1600600</v>
      </c>
      <c r="W37" s="426"/>
    </row>
    <row r="38" ht="19.5" customHeight="1" spans="1:23">
      <c r="A38" s="193"/>
      <c r="B38" s="191"/>
      <c r="C38" s="193"/>
      <c r="D38" s="193"/>
      <c r="E38" s="10"/>
      <c r="F38" s="288"/>
      <c r="G38" s="10"/>
      <c r="H38" s="414"/>
      <c r="I38" s="288"/>
      <c r="J38" s="288"/>
      <c r="K38" s="288"/>
      <c r="L38" s="424"/>
      <c r="M38" s="288"/>
      <c r="N38" s="288"/>
      <c r="O38" s="288"/>
      <c r="P38" s="424"/>
      <c r="Q38" s="288"/>
      <c r="R38" s="288"/>
      <c r="S38" s="288"/>
      <c r="T38" s="288"/>
      <c r="U38" s="4">
        <f t="shared" si="14"/>
        <v>0</v>
      </c>
      <c r="W38" s="10"/>
    </row>
    <row r="39" s="140" customFormat="1" ht="19.5" customHeight="1" spans="1:23">
      <c r="A39" s="192" t="s">
        <v>273</v>
      </c>
      <c r="B39" s="191"/>
      <c r="C39" s="193"/>
      <c r="D39" s="193"/>
      <c r="E39" s="300"/>
      <c r="F39" s="300"/>
      <c r="G39" s="300"/>
      <c r="H39" s="415"/>
      <c r="I39" s="288"/>
      <c r="J39" s="300"/>
      <c r="K39" s="300"/>
      <c r="L39" s="415"/>
      <c r="M39" s="300"/>
      <c r="N39" s="300"/>
      <c r="O39" s="300"/>
      <c r="P39" s="415"/>
      <c r="Q39" s="300"/>
      <c r="R39" s="300"/>
      <c r="S39" s="300"/>
      <c r="T39" s="300"/>
      <c r="U39" s="4">
        <f t="shared" si="14"/>
        <v>0</v>
      </c>
      <c r="W39" s="10"/>
    </row>
    <row r="40" s="6" customFormat="1" ht="19.5" customHeight="1" spans="1:23">
      <c r="A40" s="286" t="s">
        <v>3</v>
      </c>
      <c r="B40" s="150" t="s">
        <v>286</v>
      </c>
      <c r="C40" s="157" t="s">
        <v>287</v>
      </c>
      <c r="D40" s="155" t="s">
        <v>346</v>
      </c>
      <c r="E40" s="301" t="s">
        <v>288</v>
      </c>
      <c r="F40" s="301" t="s">
        <v>289</v>
      </c>
      <c r="G40" s="301" t="s">
        <v>290</v>
      </c>
      <c r="H40" s="416" t="s">
        <v>291</v>
      </c>
      <c r="I40" s="279" t="s">
        <v>292</v>
      </c>
      <c r="J40" s="301" t="s">
        <v>293</v>
      </c>
      <c r="K40" s="301" t="s">
        <v>294</v>
      </c>
      <c r="L40" s="416" t="s">
        <v>295</v>
      </c>
      <c r="M40" s="301" t="s">
        <v>296</v>
      </c>
      <c r="N40" s="301" t="s">
        <v>297</v>
      </c>
      <c r="O40" s="301" t="s">
        <v>298</v>
      </c>
      <c r="P40" s="416" t="s">
        <v>299</v>
      </c>
      <c r="Q40" s="301" t="s">
        <v>300</v>
      </c>
      <c r="R40" s="301" t="s">
        <v>301</v>
      </c>
      <c r="S40" s="301" t="s">
        <v>302</v>
      </c>
      <c r="T40" s="301" t="s">
        <v>303</v>
      </c>
      <c r="U40" s="4" t="e">
        <f t="shared" si="14"/>
        <v>#VALUE!</v>
      </c>
      <c r="W40" s="10"/>
    </row>
    <row r="41" ht="19.5" customHeight="1" spans="1:23">
      <c r="A41" s="157">
        <v>1</v>
      </c>
      <c r="B41" s="174" t="s">
        <v>347</v>
      </c>
      <c r="C41" s="157" t="s">
        <v>348</v>
      </c>
      <c r="D41" s="157" t="s">
        <v>349</v>
      </c>
      <c r="E41" s="279">
        <f>VLOOKUP(B41,[12]杭州!$C:$J,8,0)</f>
        <v>0</v>
      </c>
      <c r="F41" s="279">
        <f>VLOOKUP(B41,[12]杭州!$C:$M,11,0)</f>
        <v>0</v>
      </c>
      <c r="G41" s="279">
        <f>VLOOKUP(B41,[12]杭州!$C:$S,17,0)</f>
        <v>0</v>
      </c>
      <c r="H41" s="410">
        <f t="shared" ref="H41:H50" si="15">E41+F41+G41</f>
        <v>0</v>
      </c>
      <c r="I41" s="279">
        <f>VLOOKUP(B41,[13]杭州!$C:$Z,24,0)</f>
        <v>0</v>
      </c>
      <c r="J41" s="279">
        <f>VLOOKUP(B41,[14]杭州!$C$3:$AF$49,30,0)</f>
        <v>0</v>
      </c>
      <c r="K41" s="279">
        <f>VLOOKUP(B41,[15]杭州!$C$3:$AL$49,36,0)</f>
        <v>0</v>
      </c>
      <c r="L41" s="410">
        <f>SUM(I41:K41)</f>
        <v>0</v>
      </c>
      <c r="M41" s="279">
        <f>VLOOKUP(B41,[16]杭州!$C:$AR,42,0)</f>
        <v>0</v>
      </c>
      <c r="N41" s="279">
        <f>VLOOKUP(B41,[17]杭州!$C$1:$AX$58,48,0)</f>
        <v>0</v>
      </c>
      <c r="O41" s="279"/>
      <c r="P41" s="410">
        <f t="shared" ref="P41:P50" si="16">M41+N41+O41</f>
        <v>0</v>
      </c>
      <c r="Q41" s="279"/>
      <c r="R41" s="279"/>
      <c r="S41" s="279"/>
      <c r="T41" s="279">
        <f t="shared" ref="T41:T47" si="17">SUM(Q41:S41)</f>
        <v>0</v>
      </c>
      <c r="U41" s="4">
        <f t="shared" si="14"/>
        <v>0</v>
      </c>
      <c r="W41" s="10"/>
    </row>
    <row r="42" ht="19.5" customHeight="1" spans="1:23">
      <c r="A42" s="157">
        <v>2</v>
      </c>
      <c r="B42" s="174" t="s">
        <v>350</v>
      </c>
      <c r="C42" s="157" t="s">
        <v>348</v>
      </c>
      <c r="D42" s="157" t="s">
        <v>334</v>
      </c>
      <c r="E42" s="279">
        <f>VLOOKUP(B42,[12]杭州!$C:$J,8,0)</f>
        <v>0</v>
      </c>
      <c r="F42" s="279">
        <f>VLOOKUP(B42,[12]杭州!$C:$M,11,0)</f>
        <v>0</v>
      </c>
      <c r="G42" s="279">
        <f>VLOOKUP(B42,[12]杭州!$C:$S,17,0)</f>
        <v>0</v>
      </c>
      <c r="H42" s="410">
        <f t="shared" si="15"/>
        <v>0</v>
      </c>
      <c r="I42" s="279">
        <f>VLOOKUP(B42,[13]杭州!$C:$Z,24,0)</f>
        <v>0</v>
      </c>
      <c r="J42" s="279">
        <f>VLOOKUP(B42,[14]杭州!$C$3:$AF$49,30,0)</f>
        <v>0</v>
      </c>
      <c r="K42" s="279">
        <f>VLOOKUP(B42,[15]杭州!$C$3:$AL$49,36,0)</f>
        <v>0</v>
      </c>
      <c r="L42" s="410">
        <f t="shared" ref="L42:L50" si="18">SUM(I42:K42)</f>
        <v>0</v>
      </c>
      <c r="M42" s="279">
        <f>VLOOKUP(B42,[16]杭州!$C:$AR,42,0)</f>
        <v>0</v>
      </c>
      <c r="N42" s="279">
        <f>VLOOKUP(B42,[17]杭州!$C$1:$AX$58,48,0)</f>
        <v>0</v>
      </c>
      <c r="O42" s="279"/>
      <c r="P42" s="410">
        <f t="shared" si="16"/>
        <v>0</v>
      </c>
      <c r="Q42" s="279"/>
      <c r="R42" s="279"/>
      <c r="S42" s="279"/>
      <c r="T42" s="279">
        <f t="shared" si="17"/>
        <v>0</v>
      </c>
      <c r="U42" s="4">
        <f t="shared" si="14"/>
        <v>0</v>
      </c>
      <c r="W42" s="10"/>
    </row>
    <row r="43" s="4" customFormat="1" ht="19.5" customHeight="1" spans="1:23">
      <c r="A43" s="157">
        <v>3</v>
      </c>
      <c r="B43" s="174" t="s">
        <v>351</v>
      </c>
      <c r="C43" s="157" t="s">
        <v>348</v>
      </c>
      <c r="D43" s="157" t="s">
        <v>352</v>
      </c>
      <c r="E43" s="279">
        <f>VLOOKUP(B43,[12]杭州!$C:$J,8,0)</f>
        <v>108230.5</v>
      </c>
      <c r="F43" s="279">
        <f>VLOOKUP(B43,[12]杭州!$C:$M,11,0)</f>
        <v>59256.4</v>
      </c>
      <c r="G43" s="368">
        <f>VLOOKUP(B43,[12]杭州!$C:$S,17,0)-4542</f>
        <v>104767.1</v>
      </c>
      <c r="H43" s="410">
        <f t="shared" si="15"/>
        <v>272254</v>
      </c>
      <c r="I43" s="279">
        <f>VLOOKUP(B43,[13]杭州!$C:$Z,24,0)</f>
        <v>130231</v>
      </c>
      <c r="J43" s="368">
        <f>VLOOKUP(B43,[14]杭州!$C$3:$AF$49,30,0)-7579</f>
        <v>115488.1</v>
      </c>
      <c r="K43" s="368">
        <f>VLOOKUP(B43,[15]杭州!$C$3:$AL$49,36,0)-9392.4</f>
        <v>148949.4</v>
      </c>
      <c r="L43" s="410">
        <f t="shared" si="18"/>
        <v>394668.5</v>
      </c>
      <c r="M43" s="368">
        <f>VLOOKUP(B43,[16]杭州!$C:$AR,42,0)-10033-2560</f>
        <v>36509</v>
      </c>
      <c r="N43" s="368">
        <f>31899-3470</f>
        <v>28429</v>
      </c>
      <c r="O43" s="279"/>
      <c r="P43" s="410">
        <f t="shared" si="16"/>
        <v>64938</v>
      </c>
      <c r="Q43" s="279"/>
      <c r="R43" s="279"/>
      <c r="S43" s="279"/>
      <c r="T43" s="279">
        <f t="shared" si="17"/>
        <v>0</v>
      </c>
      <c r="U43" s="4">
        <f t="shared" si="14"/>
        <v>731860.5</v>
      </c>
      <c r="W43" s="10"/>
    </row>
    <row r="44" ht="19.5" customHeight="1" spans="1:23">
      <c r="A44" s="157">
        <v>4</v>
      </c>
      <c r="B44" s="174" t="s">
        <v>353</v>
      </c>
      <c r="C44" s="157" t="s">
        <v>348</v>
      </c>
      <c r="D44" s="157" t="s">
        <v>314</v>
      </c>
      <c r="E44" s="279">
        <f>VLOOKUP(B44,[12]杭州!$C:$J,8,0)</f>
        <v>156262</v>
      </c>
      <c r="F44" s="279">
        <f>VLOOKUP(B44,[12]杭州!$C:$M,11,0)</f>
        <v>143497</v>
      </c>
      <c r="G44" s="279">
        <f>VLOOKUP(B44,[12]杭州!$C:$S,17,0)</f>
        <v>199854.6</v>
      </c>
      <c r="H44" s="410">
        <f t="shared" si="15"/>
        <v>499613.6</v>
      </c>
      <c r="I44" s="368">
        <f>VLOOKUP(B44,[13]杭州!$C:$Z,24,0)-1300</f>
        <v>129899.7</v>
      </c>
      <c r="J44" s="279">
        <f>VLOOKUP(B44,[14]杭州!$C$3:$AF$49,30,0)</f>
        <v>160705</v>
      </c>
      <c r="K44" s="279">
        <f>VLOOKUP(B44,[15]杭州!$C$3:$AL$49,36,0)</f>
        <v>164883</v>
      </c>
      <c r="L44" s="410">
        <f t="shared" si="18"/>
        <v>455487.7</v>
      </c>
      <c r="M44" s="279">
        <f>VLOOKUP(B44,[16]杭州!$C:$AR,42,0)</f>
        <v>50432</v>
      </c>
      <c r="N44" s="368">
        <f>57733-5061</f>
        <v>52672</v>
      </c>
      <c r="O44" s="279"/>
      <c r="P44" s="410">
        <f t="shared" si="16"/>
        <v>103104</v>
      </c>
      <c r="Q44" s="279"/>
      <c r="R44" s="279"/>
      <c r="S44" s="279"/>
      <c r="T44" s="279">
        <f t="shared" si="17"/>
        <v>0</v>
      </c>
      <c r="U44" s="4">
        <f t="shared" si="14"/>
        <v>1058205.3</v>
      </c>
      <c r="W44" s="10"/>
    </row>
    <row r="45" ht="19.5" customHeight="1" spans="1:23">
      <c r="A45" s="157">
        <v>5</v>
      </c>
      <c r="B45" s="174" t="s">
        <v>354</v>
      </c>
      <c r="C45" s="157" t="s">
        <v>348</v>
      </c>
      <c r="D45" s="157" t="s">
        <v>306</v>
      </c>
      <c r="E45" s="279">
        <f>VLOOKUP(B45,[12]杭州!$C:$J,8,0)</f>
        <v>0</v>
      </c>
      <c r="F45" s="279">
        <f>VLOOKUP(B45,[12]杭州!$C:$M,11,0)</f>
        <v>0</v>
      </c>
      <c r="G45" s="279">
        <f>VLOOKUP(B45,[12]杭州!$C:$S,17,0)</f>
        <v>0</v>
      </c>
      <c r="H45" s="410">
        <f t="shared" si="15"/>
        <v>0</v>
      </c>
      <c r="I45" s="279">
        <f>VLOOKUP(B45,[13]杭州!$C:$Z,24,0)</f>
        <v>0</v>
      </c>
      <c r="J45" s="279">
        <f>VLOOKUP(B45,[14]杭州!$C$3:$AF$49,30,0)</f>
        <v>0</v>
      </c>
      <c r="K45" s="279">
        <f>VLOOKUP(B45,[15]杭州!$C$3:$AL$49,36,0)</f>
        <v>0</v>
      </c>
      <c r="L45" s="410">
        <f t="shared" si="18"/>
        <v>0</v>
      </c>
      <c r="M45" s="279">
        <f>VLOOKUP(B45,[16]杭州!$C:$AR,42,0)</f>
        <v>0</v>
      </c>
      <c r="N45" s="279">
        <f>VLOOKUP(B45,[17]杭州!$C$1:$AX$58,48,0)</f>
        <v>0</v>
      </c>
      <c r="O45" s="279"/>
      <c r="P45" s="410">
        <f t="shared" si="16"/>
        <v>0</v>
      </c>
      <c r="Q45" s="279"/>
      <c r="R45" s="279"/>
      <c r="S45" s="279"/>
      <c r="T45" s="279">
        <f t="shared" si="17"/>
        <v>0</v>
      </c>
      <c r="U45" s="4">
        <f t="shared" si="14"/>
        <v>0</v>
      </c>
      <c r="W45" s="10"/>
    </row>
    <row r="46" ht="19.5" customHeight="1" spans="1:23">
      <c r="A46" s="157">
        <v>6</v>
      </c>
      <c r="B46" s="174" t="s">
        <v>355</v>
      </c>
      <c r="C46" s="157" t="s">
        <v>348</v>
      </c>
      <c r="D46" s="157" t="s">
        <v>352</v>
      </c>
      <c r="E46" s="279">
        <f>VLOOKUP(B46,[12]杭州!$C:$J,8,0)</f>
        <v>22066</v>
      </c>
      <c r="F46" s="279">
        <f>VLOOKUP(B46,[12]杭州!$C:$M,11,0)</f>
        <v>49149</v>
      </c>
      <c r="G46" s="279">
        <f>VLOOKUP(B46,[12]杭州!$C:$S,17,0)</f>
        <v>91366</v>
      </c>
      <c r="H46" s="410">
        <f t="shared" si="15"/>
        <v>162581</v>
      </c>
      <c r="I46" s="279">
        <f>VLOOKUP(B46,[13]杭州!$C:$Z,24,0)</f>
        <v>67817</v>
      </c>
      <c r="J46" s="279">
        <f>VLOOKUP(B46,[14]杭州!$C$3:$AF$49,30,0)</f>
        <v>71689</v>
      </c>
      <c r="K46" s="279">
        <f>VLOOKUP(B46,[15]杭州!$C$3:$AL$49,36,0)</f>
        <v>123804</v>
      </c>
      <c r="L46" s="410">
        <f t="shared" si="18"/>
        <v>263310</v>
      </c>
      <c r="M46" s="279">
        <f>VLOOKUP(B46,[16]杭州!$C:$AR,42,0)</f>
        <v>47933</v>
      </c>
      <c r="N46" s="279">
        <f>VLOOKUP(B46,[17]杭州!$C$1:$AX$58,48,0)</f>
        <v>51793</v>
      </c>
      <c r="O46" s="279"/>
      <c r="P46" s="410">
        <f t="shared" si="16"/>
        <v>99726</v>
      </c>
      <c r="Q46" s="279"/>
      <c r="R46" s="279"/>
      <c r="S46" s="279"/>
      <c r="T46" s="279">
        <f t="shared" si="17"/>
        <v>0</v>
      </c>
      <c r="U46" s="4">
        <f t="shared" si="14"/>
        <v>525617</v>
      </c>
      <c r="W46" s="10"/>
    </row>
    <row r="47" ht="19.5" customHeight="1" spans="1:23">
      <c r="A47" s="157">
        <v>7</v>
      </c>
      <c r="B47" s="363" t="s">
        <v>356</v>
      </c>
      <c r="C47" s="157" t="s">
        <v>348</v>
      </c>
      <c r="D47" s="157" t="s">
        <v>349</v>
      </c>
      <c r="E47" s="279">
        <f>VLOOKUP(B47,[12]杭州!$C:$J,8,0)</f>
        <v>248878.5</v>
      </c>
      <c r="F47" s="279">
        <f>VLOOKUP(B47,[12]杭州!$C:$M,11,0)</f>
        <v>359062</v>
      </c>
      <c r="G47" s="368">
        <f>VLOOKUP(B47,[12]杭州!$C:$S,17,0)-6093-10797</f>
        <v>569970</v>
      </c>
      <c r="H47" s="410">
        <f t="shared" si="15"/>
        <v>1177910.5</v>
      </c>
      <c r="I47" s="368">
        <f>VLOOKUP(B47,[13]杭州!$C:$Z,24,0)-3045</f>
        <v>378457</v>
      </c>
      <c r="J47" s="279">
        <f>VLOOKUP(B47,[14]杭州!$C$3:$AF$49,30,0)</f>
        <v>418566</v>
      </c>
      <c r="K47" s="279">
        <f>VLOOKUP(B47,[15]杭州!$C$3:$AL$49,36,0)</f>
        <v>579201</v>
      </c>
      <c r="L47" s="410">
        <f t="shared" si="18"/>
        <v>1376224</v>
      </c>
      <c r="M47" s="279">
        <f>VLOOKUP(B47,[16]杭州!$C:$AR,42,0)</f>
        <v>250281</v>
      </c>
      <c r="N47" s="279">
        <f>VLOOKUP(B47,[17]杭州!$C$1:$AX$58,48,0)</f>
        <v>403353</v>
      </c>
      <c r="O47" s="279"/>
      <c r="P47" s="410">
        <f t="shared" si="16"/>
        <v>653634</v>
      </c>
      <c r="Q47" s="279"/>
      <c r="R47" s="279"/>
      <c r="S47" s="279"/>
      <c r="T47" s="279"/>
      <c r="U47" s="4">
        <f t="shared" si="14"/>
        <v>3207768.5</v>
      </c>
      <c r="W47" s="10"/>
    </row>
    <row r="48" ht="19.5" customHeight="1" spans="1:23">
      <c r="A48" s="157">
        <v>8</v>
      </c>
      <c r="B48" s="174" t="s">
        <v>357</v>
      </c>
      <c r="C48" s="157" t="s">
        <v>326</v>
      </c>
      <c r="D48" s="157" t="s">
        <v>334</v>
      </c>
      <c r="E48" s="279">
        <f>VLOOKUP(B48,[12]杭州!$C:$J,8,0)</f>
        <v>24931</v>
      </c>
      <c r="F48" s="279">
        <f>VLOOKUP(B48,[12]杭州!$C:$M,11,0)</f>
        <v>30583</v>
      </c>
      <c r="G48" s="279">
        <f>VLOOKUP(B48,[12]杭州!$C:$S,17,0)</f>
        <v>10700</v>
      </c>
      <c r="H48" s="410">
        <f t="shared" si="15"/>
        <v>66214</v>
      </c>
      <c r="I48" s="279">
        <f>VLOOKUP(B48,[13]杭州!$C:$Z,24,0)</f>
        <v>0</v>
      </c>
      <c r="J48" s="279">
        <f>VLOOKUP(B48,[14]杭州!$C$3:$AF$49,30,0)</f>
        <v>-3281.96</v>
      </c>
      <c r="K48" s="279">
        <f>VLOOKUP(B48,[15]杭州!$C$3:$AL$49,36,0)</f>
        <v>0</v>
      </c>
      <c r="L48" s="410">
        <f t="shared" si="18"/>
        <v>-3281.96</v>
      </c>
      <c r="M48" s="279">
        <f>VLOOKUP(B48,[16]杭州!$C:$AR,42,0)</f>
        <v>0</v>
      </c>
      <c r="N48" s="279">
        <f>VLOOKUP(B48,[17]杭州!$C$1:$AX$58,48,0)</f>
        <v>0</v>
      </c>
      <c r="O48" s="279"/>
      <c r="P48" s="410">
        <f t="shared" si="16"/>
        <v>0</v>
      </c>
      <c r="Q48" s="279"/>
      <c r="R48" s="279"/>
      <c r="S48" s="279"/>
      <c r="T48" s="279">
        <f>SUM(Q48:S48)</f>
        <v>0</v>
      </c>
      <c r="U48" s="4">
        <f t="shared" si="14"/>
        <v>62932.04</v>
      </c>
      <c r="W48" s="10"/>
    </row>
    <row r="49" ht="19.5" customHeight="1" spans="1:23">
      <c r="A49" s="157">
        <v>9</v>
      </c>
      <c r="B49" s="417" t="s">
        <v>358</v>
      </c>
      <c r="C49" s="157" t="s">
        <v>348</v>
      </c>
      <c r="D49" s="157" t="s">
        <v>314</v>
      </c>
      <c r="E49" s="279">
        <f>VLOOKUP(B49,[12]杭州!$C:$J,8,0)</f>
        <v>128272</v>
      </c>
      <c r="F49" s="279">
        <f>VLOOKUP(B49,[12]杭州!$C:$M,11,0)</f>
        <v>300432</v>
      </c>
      <c r="G49" s="368">
        <f>VLOOKUP(B49,[12]杭州!$C:$S,17,0)-5000</f>
        <v>373127</v>
      </c>
      <c r="H49" s="410">
        <f t="shared" si="15"/>
        <v>801831</v>
      </c>
      <c r="I49" s="368">
        <f>VLOOKUP(B49,[13]杭州!$C:$Z,24,0)-4650</f>
        <v>413590</v>
      </c>
      <c r="J49" s="279">
        <f>VLOOKUP(B49,[14]杭州!$C$3:$AF$49,30,0)</f>
        <v>306225</v>
      </c>
      <c r="K49" s="368">
        <f>VLOOKUP(B49,[15]杭州!$C$3:$AL$49,36,0)-10738</f>
        <v>564040</v>
      </c>
      <c r="L49" s="410">
        <f t="shared" si="18"/>
        <v>1283855</v>
      </c>
      <c r="M49" s="279">
        <f>VLOOKUP(B49,[16]杭州!$C:$AR,42,0)</f>
        <v>166425</v>
      </c>
      <c r="N49" s="368">
        <f>178386+17758+5061</f>
        <v>201205</v>
      </c>
      <c r="O49" s="279"/>
      <c r="P49" s="410">
        <f t="shared" si="16"/>
        <v>367630</v>
      </c>
      <c r="Q49" s="279"/>
      <c r="R49" s="279"/>
      <c r="S49" s="279"/>
      <c r="T49" s="279"/>
      <c r="U49" s="4">
        <f t="shared" si="14"/>
        <v>2453316</v>
      </c>
      <c r="W49" s="10"/>
    </row>
    <row r="50" ht="19.5" customHeight="1" spans="1:23">
      <c r="A50" s="157">
        <v>10</v>
      </c>
      <c r="B50" s="417" t="s">
        <v>359</v>
      </c>
      <c r="C50" s="157" t="s">
        <v>348</v>
      </c>
      <c r="D50" s="157" t="s">
        <v>306</v>
      </c>
      <c r="E50" s="279">
        <f>VLOOKUP(B50,[12]杭州!$C:$J,8,0)</f>
        <v>840</v>
      </c>
      <c r="F50" s="279">
        <f>VLOOKUP(B50,[12]杭州!$C:$M,11,0)</f>
        <v>30008</v>
      </c>
      <c r="G50" s="279">
        <f>VLOOKUP(B50,[12]杭州!$C:$S,17,0)</f>
        <v>250109.6</v>
      </c>
      <c r="H50" s="410">
        <f t="shared" si="15"/>
        <v>280957.6</v>
      </c>
      <c r="I50" s="279">
        <f>VLOOKUP(B50,[13]杭州!$C:$Z,24,0)</f>
        <v>296574</v>
      </c>
      <c r="J50" s="279">
        <f>VLOOKUP(B50,[14]杭州!$C$3:$AF$49,30,0)</f>
        <v>255533</v>
      </c>
      <c r="K50" s="279">
        <f>VLOOKUP(B50,[15]杭州!$C$3:$AL$49,36,0)</f>
        <v>386476</v>
      </c>
      <c r="L50" s="410">
        <f t="shared" si="18"/>
        <v>938583</v>
      </c>
      <c r="M50" s="279">
        <f>VLOOKUP(B50,[16]杭州!$C:$AR,42,0)</f>
        <v>63776</v>
      </c>
      <c r="N50" s="279">
        <f>VLOOKUP(B50,[17]杭州!$C$1:$AX$58,48,0)</f>
        <v>105175</v>
      </c>
      <c r="O50" s="279"/>
      <c r="P50" s="410">
        <f t="shared" si="16"/>
        <v>168951</v>
      </c>
      <c r="Q50" s="279"/>
      <c r="R50" s="279"/>
      <c r="S50" s="279"/>
      <c r="T50" s="279"/>
      <c r="U50" s="4">
        <f t="shared" si="14"/>
        <v>1388491.6</v>
      </c>
      <c r="W50" s="10"/>
    </row>
    <row r="51" s="371" customFormat="1" ht="19.5" customHeight="1" spans="1:23">
      <c r="A51" s="380"/>
      <c r="B51" s="418" t="s">
        <v>360</v>
      </c>
      <c r="C51" s="398"/>
      <c r="D51" s="398"/>
      <c r="E51" s="382">
        <f>SUM(E41:E50)</f>
        <v>689480</v>
      </c>
      <c r="F51" s="382">
        <f t="shared" ref="F51:T51" si="19">SUM(F41:F50)</f>
        <v>971987.4</v>
      </c>
      <c r="G51" s="382">
        <f t="shared" si="19"/>
        <v>1599894.3</v>
      </c>
      <c r="H51" s="410">
        <f t="shared" si="19"/>
        <v>3261361.7</v>
      </c>
      <c r="I51" s="382">
        <f t="shared" si="19"/>
        <v>1416568.7</v>
      </c>
      <c r="J51" s="382">
        <f t="shared" si="19"/>
        <v>1324924.14</v>
      </c>
      <c r="K51" s="382">
        <f t="shared" si="19"/>
        <v>1967353.4</v>
      </c>
      <c r="L51" s="410">
        <f t="shared" si="19"/>
        <v>4708846.24</v>
      </c>
      <c r="M51" s="382">
        <f t="shared" si="19"/>
        <v>615356</v>
      </c>
      <c r="N51" s="382">
        <f t="shared" si="19"/>
        <v>842627</v>
      </c>
      <c r="O51" s="382">
        <f t="shared" si="19"/>
        <v>0</v>
      </c>
      <c r="P51" s="410">
        <f t="shared" si="19"/>
        <v>1457983</v>
      </c>
      <c r="Q51" s="382">
        <f t="shared" si="19"/>
        <v>0</v>
      </c>
      <c r="R51" s="382">
        <f t="shared" si="19"/>
        <v>0</v>
      </c>
      <c r="S51" s="382">
        <f t="shared" si="19"/>
        <v>0</v>
      </c>
      <c r="T51" s="382">
        <f t="shared" si="19"/>
        <v>0</v>
      </c>
      <c r="U51" s="4">
        <f t="shared" si="14"/>
        <v>9428190.94</v>
      </c>
      <c r="W51" s="426"/>
    </row>
    <row r="52" ht="19.5" customHeight="1" spans="1:23">
      <c r="A52" s="193"/>
      <c r="B52" s="191"/>
      <c r="C52" s="193"/>
      <c r="D52" s="193"/>
      <c r="E52" s="288"/>
      <c r="F52" s="288"/>
      <c r="G52" s="288"/>
      <c r="H52" s="413"/>
      <c r="I52" s="288"/>
      <c r="J52" s="288"/>
      <c r="K52" s="288"/>
      <c r="L52" s="413"/>
      <c r="M52" s="288"/>
      <c r="N52" s="288"/>
      <c r="O52" s="288"/>
      <c r="P52" s="413"/>
      <c r="Q52" s="288"/>
      <c r="R52" s="288"/>
      <c r="S52" s="288"/>
      <c r="T52" s="288"/>
      <c r="U52" s="4">
        <f t="shared" si="14"/>
        <v>0</v>
      </c>
      <c r="W52" s="10"/>
    </row>
    <row r="53" ht="19.5" customHeight="1" spans="5:23">
      <c r="E53" s="288"/>
      <c r="F53" s="288"/>
      <c r="G53" s="288"/>
      <c r="H53" s="413"/>
      <c r="I53" s="288"/>
      <c r="L53" s="424"/>
      <c r="P53" s="424"/>
      <c r="T53" s="6"/>
      <c r="U53" s="4">
        <f t="shared" si="14"/>
        <v>0</v>
      </c>
      <c r="W53" s="10"/>
    </row>
    <row r="54" ht="19.5" customHeight="1" spans="1:23">
      <c r="A54" s="192" t="s">
        <v>361</v>
      </c>
      <c r="B54" s="191"/>
      <c r="C54" s="193"/>
      <c r="D54" s="193"/>
      <c r="E54" s="288"/>
      <c r="F54" s="288"/>
      <c r="G54" s="288"/>
      <c r="H54" s="413"/>
      <c r="I54" s="288"/>
      <c r="J54" s="288"/>
      <c r="K54" s="288"/>
      <c r="L54" s="413"/>
      <c r="M54" s="288"/>
      <c r="N54" s="288"/>
      <c r="O54" s="288"/>
      <c r="P54" s="413"/>
      <c r="Q54" s="288"/>
      <c r="R54" s="288"/>
      <c r="S54" s="288"/>
      <c r="T54" s="288"/>
      <c r="U54" s="4">
        <f t="shared" si="14"/>
        <v>0</v>
      </c>
      <c r="W54" s="10"/>
    </row>
    <row r="55" ht="19.5" customHeight="1" spans="1:23">
      <c r="A55" s="286" t="s">
        <v>3</v>
      </c>
      <c r="B55" s="150" t="s">
        <v>286</v>
      </c>
      <c r="C55" s="286" t="s">
        <v>287</v>
      </c>
      <c r="D55" s="286" t="s">
        <v>224</v>
      </c>
      <c r="E55" s="286" t="s">
        <v>288</v>
      </c>
      <c r="F55" s="286" t="s">
        <v>289</v>
      </c>
      <c r="G55" s="286" t="s">
        <v>290</v>
      </c>
      <c r="H55" s="419" t="s">
        <v>291</v>
      </c>
      <c r="I55" s="157" t="s">
        <v>292</v>
      </c>
      <c r="J55" s="286" t="s">
        <v>293</v>
      </c>
      <c r="K55" s="286" t="s">
        <v>294</v>
      </c>
      <c r="L55" s="419" t="s">
        <v>295</v>
      </c>
      <c r="M55" s="286" t="s">
        <v>296</v>
      </c>
      <c r="N55" s="286" t="s">
        <v>297</v>
      </c>
      <c r="O55" s="286" t="s">
        <v>298</v>
      </c>
      <c r="P55" s="419" t="s">
        <v>299</v>
      </c>
      <c r="Q55" s="286" t="s">
        <v>300</v>
      </c>
      <c r="R55" s="286" t="s">
        <v>301</v>
      </c>
      <c r="S55" s="286" t="s">
        <v>302</v>
      </c>
      <c r="T55" s="286" t="s">
        <v>303</v>
      </c>
      <c r="U55" s="4" t="e">
        <f t="shared" si="14"/>
        <v>#VALUE!</v>
      </c>
      <c r="W55" s="10"/>
    </row>
    <row r="56" s="147" customFormat="1" ht="19.5" customHeight="1" spans="1:23">
      <c r="A56" s="157">
        <v>1</v>
      </c>
      <c r="B56" s="174" t="s">
        <v>362</v>
      </c>
      <c r="C56" s="157" t="s">
        <v>274</v>
      </c>
      <c r="D56" s="157" t="s">
        <v>306</v>
      </c>
      <c r="E56" s="279">
        <f>VLOOKUP(B56,[12]杭州!$C:$J,8,0)</f>
        <v>14679</v>
      </c>
      <c r="F56" s="279">
        <f>VLOOKUP(B56,[12]杭州!$C:$M,11,0)</f>
        <v>0</v>
      </c>
      <c r="G56" s="291">
        <f>VLOOKUP(B56,[12]杭州!$C:$S,17,0)</f>
        <v>3148</v>
      </c>
      <c r="H56" s="410">
        <f t="shared" ref="H56:H64" si="20">E56+F56+G56</f>
        <v>17827</v>
      </c>
      <c r="I56" s="279">
        <f>VLOOKUP(B56,[13]杭州!$C:$Z,24,0)</f>
        <v>13909</v>
      </c>
      <c r="J56" s="279">
        <f>VLOOKUP(B56,[14]杭州!$C$3:$AF$49,30,0)</f>
        <v>8765</v>
      </c>
      <c r="K56" s="279">
        <f>VLOOKUP(B56,[15]杭州!$C$3:$AL$49,36,0)</f>
        <v>9307</v>
      </c>
      <c r="L56" s="410">
        <f>SUM(I56:K56)</f>
        <v>31981</v>
      </c>
      <c r="M56" s="279">
        <f>VLOOKUP(B56,[16]杭州!$C:$AR,42,0)</f>
        <v>11183</v>
      </c>
      <c r="N56" s="279">
        <f>VLOOKUP(B56,[17]杭州!$C$1:$AX$58,48,0)</f>
        <v>6109</v>
      </c>
      <c r="O56" s="279"/>
      <c r="P56" s="410">
        <f t="shared" ref="P56:P66" si="21">M56+N56+O56</f>
        <v>17292</v>
      </c>
      <c r="Q56" s="279"/>
      <c r="R56" s="279"/>
      <c r="S56" s="279"/>
      <c r="T56" s="279">
        <f t="shared" ref="T56:T60" si="22">SUM(Q56:S56)</f>
        <v>0</v>
      </c>
      <c r="U56" s="4">
        <f t="shared" si="14"/>
        <v>67100</v>
      </c>
      <c r="W56" s="427"/>
    </row>
    <row r="57" s="147" customFormat="1" ht="19.5" customHeight="1" spans="1:23">
      <c r="A57" s="157">
        <v>2</v>
      </c>
      <c r="B57" s="174" t="s">
        <v>363</v>
      </c>
      <c r="C57" s="157" t="s">
        <v>305</v>
      </c>
      <c r="D57" s="157" t="s">
        <v>331</v>
      </c>
      <c r="E57" s="279">
        <f>VLOOKUP(B57,[12]杭州!$C:$J,8,0)</f>
        <v>0</v>
      </c>
      <c r="F57" s="279">
        <f>VLOOKUP(B57,[12]杭州!$C:$M,11,0)</f>
        <v>0</v>
      </c>
      <c r="G57" s="279">
        <f>VLOOKUP(B57,[12]杭州!$C:$S,17,0)</f>
        <v>0</v>
      </c>
      <c r="H57" s="410">
        <f t="shared" si="20"/>
        <v>0</v>
      </c>
      <c r="I57" s="279">
        <f>VLOOKUP(B57,[13]杭州!$C:$Z,24,0)</f>
        <v>0</v>
      </c>
      <c r="J57" s="279">
        <f>VLOOKUP(B57,[14]杭州!$C$3:$AF$49,30,0)</f>
        <v>0</v>
      </c>
      <c r="K57" s="279">
        <f>VLOOKUP(B57,[15]杭州!$C$3:$AL$49,36,0)</f>
        <v>0</v>
      </c>
      <c r="L57" s="410">
        <f t="shared" ref="L57:L65" si="23">SUM(I57:K57)</f>
        <v>0</v>
      </c>
      <c r="M57" s="279">
        <f>VLOOKUP(B57,[16]杭州!$C:$AR,42,0)</f>
        <v>0</v>
      </c>
      <c r="N57" s="279">
        <f>VLOOKUP(B57,[17]杭州!$C$1:$AX$58,48,0)</f>
        <v>0</v>
      </c>
      <c r="O57" s="279"/>
      <c r="P57" s="410">
        <f t="shared" si="21"/>
        <v>0</v>
      </c>
      <c r="Q57" s="279"/>
      <c r="R57" s="279"/>
      <c r="S57" s="279"/>
      <c r="T57" s="279">
        <f t="shared" si="22"/>
        <v>0</v>
      </c>
      <c r="U57" s="4">
        <f t="shared" si="14"/>
        <v>0</v>
      </c>
      <c r="W57" s="427"/>
    </row>
    <row r="58" s="147" customFormat="1" ht="19.5" customHeight="1" spans="1:23">
      <c r="A58" s="157">
        <v>3</v>
      </c>
      <c r="B58" s="174" t="s">
        <v>364</v>
      </c>
      <c r="C58" s="157" t="s">
        <v>274</v>
      </c>
      <c r="D58" s="420" t="s">
        <v>331</v>
      </c>
      <c r="E58" s="279">
        <f>VLOOKUP(B58,[12]杭州!$C:$J,8,0)</f>
        <v>218873.82</v>
      </c>
      <c r="F58" s="279">
        <f>VLOOKUP(B58,[12]杭州!$C:$M,11,0)</f>
        <v>131893.4</v>
      </c>
      <c r="G58" s="291">
        <f>VLOOKUP(B58,[12]杭州!$C:$S,17,0)</f>
        <v>143496.71</v>
      </c>
      <c r="H58" s="410">
        <f t="shared" si="20"/>
        <v>494263.93</v>
      </c>
      <c r="I58" s="279">
        <f>VLOOKUP(B58,[13]杭州!$C:$Z,24,0)</f>
        <v>34200.39</v>
      </c>
      <c r="J58" s="279">
        <f>VLOOKUP(B58,[14]杭州!$C$3:$AF$49,30,0)</f>
        <v>134290.18</v>
      </c>
      <c r="K58" s="279">
        <f>VLOOKUP(B58,[15]杭州!$C$3:$AL$49,36,0)</f>
        <v>128859.37</v>
      </c>
      <c r="L58" s="410">
        <f t="shared" si="23"/>
        <v>297349.94</v>
      </c>
      <c r="M58" s="368">
        <f>VLOOKUP(B58,[16]杭州!$C:$AR,42,0)+7200</f>
        <v>280958.72</v>
      </c>
      <c r="N58" s="279">
        <f>VLOOKUP(B58,[17]杭州!$C$1:$AX$58,48,0)</f>
        <v>121546.09</v>
      </c>
      <c r="O58" s="279"/>
      <c r="P58" s="410">
        <f t="shared" si="21"/>
        <v>402504.81</v>
      </c>
      <c r="Q58" s="279"/>
      <c r="R58" s="279"/>
      <c r="S58" s="279"/>
      <c r="T58" s="279">
        <f t="shared" si="22"/>
        <v>0</v>
      </c>
      <c r="U58" s="4">
        <f t="shared" si="14"/>
        <v>1194118.68</v>
      </c>
      <c r="W58" s="427"/>
    </row>
    <row r="59" s="147" customFormat="1" ht="19.5" customHeight="1" spans="1:23">
      <c r="A59" s="157">
        <v>4</v>
      </c>
      <c r="B59" s="421" t="s">
        <v>365</v>
      </c>
      <c r="C59" s="157" t="s">
        <v>274</v>
      </c>
      <c r="D59" s="422" t="s">
        <v>334</v>
      </c>
      <c r="E59" s="279">
        <f>VLOOKUP(B59,[12]杭州!$C:$J,8,0)</f>
        <v>37387</v>
      </c>
      <c r="F59" s="279">
        <f>VLOOKUP(B59,[12]杭州!$C:$M,11,0)</f>
        <v>0</v>
      </c>
      <c r="G59" s="423">
        <v>25132</v>
      </c>
      <c r="H59" s="410">
        <f t="shared" si="20"/>
        <v>62519</v>
      </c>
      <c r="I59" s="423">
        <v>46612</v>
      </c>
      <c r="J59" s="368">
        <v>9648</v>
      </c>
      <c r="K59" s="368">
        <f>20243+22510</f>
        <v>42753</v>
      </c>
      <c r="L59" s="410">
        <f t="shared" si="23"/>
        <v>99013</v>
      </c>
      <c r="M59" s="368">
        <v>17931</v>
      </c>
      <c r="N59" s="368">
        <f>VLOOKUP(B59,[17]杭州!$C$1:$AX$58,48,0)</f>
        <v>17220</v>
      </c>
      <c r="O59" s="279"/>
      <c r="P59" s="410">
        <f t="shared" si="21"/>
        <v>35151</v>
      </c>
      <c r="Q59" s="279"/>
      <c r="R59" s="279"/>
      <c r="S59" s="279"/>
      <c r="T59" s="279">
        <f t="shared" si="22"/>
        <v>0</v>
      </c>
      <c r="U59" s="4">
        <f t="shared" si="14"/>
        <v>196683</v>
      </c>
      <c r="W59" s="427"/>
    </row>
    <row r="60" s="147" customFormat="1" ht="19.5" customHeight="1" spans="1:23">
      <c r="A60" s="157">
        <v>5</v>
      </c>
      <c r="B60" s="174" t="s">
        <v>366</v>
      </c>
      <c r="C60" s="157"/>
      <c r="D60" s="342"/>
      <c r="E60" s="279">
        <v>790</v>
      </c>
      <c r="F60" s="279">
        <v>0</v>
      </c>
      <c r="G60" s="75">
        <v>0</v>
      </c>
      <c r="H60" s="410">
        <f t="shared" si="20"/>
        <v>790</v>
      </c>
      <c r="I60" s="279">
        <v>0</v>
      </c>
      <c r="J60" s="279">
        <v>0</v>
      </c>
      <c r="K60" s="279">
        <v>0</v>
      </c>
      <c r="L60" s="410">
        <f t="shared" si="23"/>
        <v>0</v>
      </c>
      <c r="M60" s="279">
        <v>0</v>
      </c>
      <c r="N60" s="279">
        <v>0</v>
      </c>
      <c r="O60" s="279"/>
      <c r="P60" s="410">
        <f t="shared" si="21"/>
        <v>0</v>
      </c>
      <c r="Q60" s="279"/>
      <c r="R60" s="279"/>
      <c r="S60" s="279"/>
      <c r="T60" s="279">
        <f t="shared" si="22"/>
        <v>0</v>
      </c>
      <c r="U60" s="4">
        <f t="shared" si="14"/>
        <v>790</v>
      </c>
      <c r="W60" s="427"/>
    </row>
    <row r="61" s="147" customFormat="1" ht="19.5" customHeight="1" spans="1:23">
      <c r="A61" s="157">
        <v>6</v>
      </c>
      <c r="B61" s="174" t="s">
        <v>367</v>
      </c>
      <c r="C61" s="157"/>
      <c r="D61" s="342"/>
      <c r="E61" s="279">
        <v>7580</v>
      </c>
      <c r="F61" s="279">
        <v>3678</v>
      </c>
      <c r="G61" s="102">
        <v>15781</v>
      </c>
      <c r="H61" s="410">
        <f t="shared" si="20"/>
        <v>27039</v>
      </c>
      <c r="I61" s="279">
        <v>0</v>
      </c>
      <c r="J61" s="368">
        <v>11200</v>
      </c>
      <c r="K61" s="368">
        <f>29400+2355</f>
        <v>31755</v>
      </c>
      <c r="L61" s="410">
        <f t="shared" si="23"/>
        <v>42955</v>
      </c>
      <c r="M61" s="368">
        <f>19130</f>
        <v>19130</v>
      </c>
      <c r="N61" s="368">
        <v>19242</v>
      </c>
      <c r="O61" s="279"/>
      <c r="P61" s="410">
        <f t="shared" si="21"/>
        <v>38372</v>
      </c>
      <c r="Q61" s="279"/>
      <c r="R61" s="279"/>
      <c r="S61" s="279"/>
      <c r="T61" s="279"/>
      <c r="U61" s="4">
        <f t="shared" si="14"/>
        <v>108366</v>
      </c>
      <c r="W61" s="427"/>
    </row>
    <row r="62" s="147" customFormat="1" ht="19.5" customHeight="1" spans="1:23">
      <c r="A62" s="157">
        <v>7</v>
      </c>
      <c r="B62" s="156" t="s">
        <v>368</v>
      </c>
      <c r="C62" s="157"/>
      <c r="D62" s="342"/>
      <c r="E62" s="279"/>
      <c r="F62" s="279"/>
      <c r="G62" s="291">
        <f>VLOOKUP(B62,[12]杭州!$C:$S,17,0)</f>
        <v>10661</v>
      </c>
      <c r="H62" s="410">
        <f t="shared" si="20"/>
        <v>10661</v>
      </c>
      <c r="I62" s="279">
        <f>VLOOKUP(B62,[13]杭州!$C:$Z,24,0)</f>
        <v>15411</v>
      </c>
      <c r="J62" s="279">
        <f>VLOOKUP(B62,[14]杭州!$C$3:$AF$49,30,0)</f>
        <v>3348</v>
      </c>
      <c r="K62" s="279">
        <f>VLOOKUP(B62,[15]杭州!$C$3:$AL$49,36,0)</f>
        <v>0</v>
      </c>
      <c r="L62" s="410">
        <f t="shared" si="23"/>
        <v>18759</v>
      </c>
      <c r="M62" s="279">
        <f>VLOOKUP(B62,[16]杭州!$C:$AR,42,0)</f>
        <v>0</v>
      </c>
      <c r="N62" s="279">
        <f>VLOOKUP(B62,[17]杭州!$C$1:$AX$58,48,0)</f>
        <v>0</v>
      </c>
      <c r="O62" s="279"/>
      <c r="P62" s="410">
        <f t="shared" si="21"/>
        <v>0</v>
      </c>
      <c r="Q62" s="279"/>
      <c r="R62" s="279"/>
      <c r="S62" s="279"/>
      <c r="T62" s="279"/>
      <c r="U62" s="4">
        <f t="shared" si="14"/>
        <v>29420</v>
      </c>
      <c r="W62" s="427"/>
    </row>
    <row r="63" s="147" customFormat="1" ht="19.5" customHeight="1" spans="1:23">
      <c r="A63" s="157">
        <v>8</v>
      </c>
      <c r="B63" s="156" t="s">
        <v>369</v>
      </c>
      <c r="C63" s="157"/>
      <c r="D63" s="342"/>
      <c r="E63" s="279"/>
      <c r="F63" s="279"/>
      <c r="G63" s="291">
        <f>VLOOKUP(B63,[12]杭州!$C:$S,17,0)</f>
        <v>7250</v>
      </c>
      <c r="H63" s="410">
        <f t="shared" si="20"/>
        <v>7250</v>
      </c>
      <c r="I63" s="279">
        <f>VLOOKUP(B63,[13]杭州!$C:$Z,24,0)</f>
        <v>0</v>
      </c>
      <c r="J63" s="368">
        <v>25199</v>
      </c>
      <c r="K63" s="368">
        <v>52194</v>
      </c>
      <c r="L63" s="410">
        <f t="shared" si="23"/>
        <v>77393</v>
      </c>
      <c r="M63" s="279">
        <f>VLOOKUP(B63,[16]杭州!$C:$AR,42,0)</f>
        <v>53816</v>
      </c>
      <c r="N63" s="368">
        <f>22281+11274</f>
        <v>33555</v>
      </c>
      <c r="O63" s="279"/>
      <c r="P63" s="410">
        <f t="shared" si="21"/>
        <v>87371</v>
      </c>
      <c r="Q63" s="279"/>
      <c r="R63" s="279"/>
      <c r="S63" s="279"/>
      <c r="T63" s="279"/>
      <c r="U63" s="4">
        <f t="shared" si="14"/>
        <v>172014</v>
      </c>
      <c r="W63" s="427"/>
    </row>
    <row r="64" s="147" customFormat="1" ht="19.5" customHeight="1" spans="1:23">
      <c r="A64" s="157">
        <v>9</v>
      </c>
      <c r="B64" s="363" t="s">
        <v>370</v>
      </c>
      <c r="C64" s="157"/>
      <c r="D64" s="342"/>
      <c r="E64" s="279"/>
      <c r="F64" s="279"/>
      <c r="G64" s="291">
        <f>VLOOKUP(B64,[12]杭州!$C:$S,17,0)</f>
        <v>35400</v>
      </c>
      <c r="H64" s="410">
        <f t="shared" si="20"/>
        <v>35400</v>
      </c>
      <c r="I64" s="279">
        <f>VLOOKUP(B64,[13]杭州!$C:$Z,24,0)</f>
        <v>0</v>
      </c>
      <c r="J64" s="279">
        <f>VLOOKUP(B64,[14]杭州!$C$3:$AF$49,30,0)</f>
        <v>27200</v>
      </c>
      <c r="K64" s="279">
        <f>VLOOKUP(B64,[15]杭州!$C$3:$AL$49,36,0)</f>
        <v>0</v>
      </c>
      <c r="L64" s="410">
        <f t="shared" si="23"/>
        <v>27200</v>
      </c>
      <c r="M64" s="279">
        <f>VLOOKUP(B64,[16]杭州!$C:$AR,42,0)</f>
        <v>47200</v>
      </c>
      <c r="N64" s="279">
        <f>VLOOKUP(B64,[17]杭州!$C$1:$AX$58,48,0)</f>
        <v>17700</v>
      </c>
      <c r="O64" s="279"/>
      <c r="P64" s="410">
        <f t="shared" si="21"/>
        <v>64900</v>
      </c>
      <c r="Q64" s="279"/>
      <c r="R64" s="279"/>
      <c r="S64" s="279"/>
      <c r="T64" s="279"/>
      <c r="U64" s="4">
        <f t="shared" si="14"/>
        <v>127500</v>
      </c>
      <c r="W64" s="427"/>
    </row>
    <row r="65" s="147" customFormat="1" ht="19.5" customHeight="1" spans="1:23">
      <c r="A65" s="157">
        <v>10</v>
      </c>
      <c r="B65" s="363" t="s">
        <v>371</v>
      </c>
      <c r="C65" s="157"/>
      <c r="D65" s="342"/>
      <c r="E65" s="279"/>
      <c r="F65" s="279"/>
      <c r="G65" s="291"/>
      <c r="H65" s="410"/>
      <c r="I65" s="279"/>
      <c r="J65" s="279">
        <f>VLOOKUP(B65,[14]杭州!$C$3:$AF$49,30,0)</f>
        <v>13000</v>
      </c>
      <c r="K65" s="368">
        <v>9392.4</v>
      </c>
      <c r="L65" s="410">
        <f t="shared" si="23"/>
        <v>22392.4</v>
      </c>
      <c r="M65" s="368">
        <v>2560</v>
      </c>
      <c r="N65" s="368">
        <f>VLOOKUP(B65,[17]杭州!$C$1:$AX$58,48,0)</f>
        <v>3470</v>
      </c>
      <c r="O65" s="279"/>
      <c r="P65" s="410">
        <f t="shared" si="21"/>
        <v>6030</v>
      </c>
      <c r="Q65" s="279"/>
      <c r="R65" s="279"/>
      <c r="S65" s="279"/>
      <c r="T65" s="279"/>
      <c r="U65" s="4">
        <f t="shared" si="14"/>
        <v>28422.4</v>
      </c>
      <c r="W65" s="427"/>
    </row>
    <row r="66" s="405" customFormat="1" ht="19.5" customHeight="1" spans="1:23">
      <c r="A66" s="428"/>
      <c r="B66" s="411" t="s">
        <v>11</v>
      </c>
      <c r="C66" s="412"/>
      <c r="D66" s="412"/>
      <c r="E66" s="382">
        <f t="shared" ref="E66:J66" si="24">SUM(E56:E65)</f>
        <v>279309.82</v>
      </c>
      <c r="F66" s="382">
        <f t="shared" si="24"/>
        <v>135571.4</v>
      </c>
      <c r="G66" s="382">
        <f t="shared" si="24"/>
        <v>240868.71</v>
      </c>
      <c r="H66" s="410">
        <f t="shared" si="24"/>
        <v>655749.93</v>
      </c>
      <c r="I66" s="382">
        <f t="shared" si="24"/>
        <v>110132.39</v>
      </c>
      <c r="J66" s="382">
        <f t="shared" si="24"/>
        <v>232650.18</v>
      </c>
      <c r="K66" s="382">
        <f t="shared" ref="K66:U66" si="25">SUM(K56:K65)</f>
        <v>274260.77</v>
      </c>
      <c r="L66" s="410">
        <f t="shared" si="25"/>
        <v>617043.34</v>
      </c>
      <c r="M66" s="382">
        <f t="shared" si="25"/>
        <v>432778.72</v>
      </c>
      <c r="N66" s="382">
        <f t="shared" si="25"/>
        <v>218842.09</v>
      </c>
      <c r="O66" s="382">
        <f t="shared" si="25"/>
        <v>0</v>
      </c>
      <c r="P66" s="410">
        <f t="shared" si="21"/>
        <v>651620.81</v>
      </c>
      <c r="Q66" s="382">
        <f t="shared" si="25"/>
        <v>0</v>
      </c>
      <c r="R66" s="382">
        <f t="shared" si="25"/>
        <v>0</v>
      </c>
      <c r="S66" s="382">
        <f t="shared" si="25"/>
        <v>0</v>
      </c>
      <c r="T66" s="382">
        <f t="shared" si="25"/>
        <v>0</v>
      </c>
      <c r="U66" s="4">
        <f t="shared" si="14"/>
        <v>1924414.08</v>
      </c>
      <c r="W66" s="433"/>
    </row>
    <row r="67" ht="19.5" customHeight="1" spans="1:23">
      <c r="A67" s="4" t="s">
        <v>372</v>
      </c>
      <c r="E67" s="288"/>
      <c r="F67" s="288"/>
      <c r="G67" s="288"/>
      <c r="H67" s="413"/>
      <c r="I67" s="288"/>
      <c r="J67" s="288"/>
      <c r="K67" s="288"/>
      <c r="L67" s="424"/>
      <c r="M67" s="288"/>
      <c r="N67" s="288"/>
      <c r="O67" s="288"/>
      <c r="P67" s="424"/>
      <c r="Q67" s="288"/>
      <c r="R67" s="288"/>
      <c r="S67" s="288"/>
      <c r="T67" s="6"/>
      <c r="U67" s="4">
        <f t="shared" si="14"/>
        <v>0</v>
      </c>
      <c r="W67" s="10"/>
    </row>
    <row r="68" s="6" customFormat="1" ht="24" customHeight="1" spans="1:23">
      <c r="A68" s="157">
        <v>1</v>
      </c>
      <c r="B68" s="429" t="s">
        <v>373</v>
      </c>
      <c r="C68" s="157" t="s">
        <v>374</v>
      </c>
      <c r="D68" s="157" t="s">
        <v>318</v>
      </c>
      <c r="E68" s="279">
        <f>VLOOKUP(B68,[12]杭州!$C:$J,8,0)-E60-3848-E61</f>
        <v>64655.34</v>
      </c>
      <c r="F68" s="279">
        <f>VLOOKUP(B68,[12]杭州!$C:$M,11,0)-1250-F61</f>
        <v>38356.9</v>
      </c>
      <c r="G68" s="368">
        <f>VLOOKUP(B68,[12]杭州!$C:$S,17,0)-58856-4984</f>
        <v>55308.66</v>
      </c>
      <c r="H68" s="410">
        <f t="shared" ref="H68:H81" si="26">E68+F68+G68</f>
        <v>158320.9</v>
      </c>
      <c r="I68" s="368">
        <f>VLOOKUP(B68,[13]杭州!$C:$Z,24,0)-5000</f>
        <v>305195.38</v>
      </c>
      <c r="J68" s="368">
        <f>VLOOKUP(B68,[14]杭州!$C$3:$AF$49,30,0)-3986</f>
        <v>32295.12</v>
      </c>
      <c r="K68" s="368">
        <f>VLOOKUP(B68,[15]杭州!$C$3:$AL$49,36,0)-5434-2355</f>
        <v>22895.4</v>
      </c>
      <c r="L68" s="410">
        <f>SUM(I68:K68)</f>
        <v>360385.9</v>
      </c>
      <c r="M68" s="368">
        <f>VLOOKUP(B68,[16]杭州!$C:$AR,42,0)-790-8090-4909-19130</f>
        <v>238439.5</v>
      </c>
      <c r="N68" s="368">
        <f>VLOOKUP(B68,[17]杭州!$C$1:$AX$58,48,0)-2002-19242+8090</f>
        <v>78613.56</v>
      </c>
      <c r="O68" s="279"/>
      <c r="P68" s="410">
        <f t="shared" ref="P68:P83" si="27">M68+N68+O68</f>
        <v>317053.06</v>
      </c>
      <c r="Q68" s="279"/>
      <c r="R68" s="279"/>
      <c r="S68" s="279"/>
      <c r="T68" s="279">
        <f>SUM(Q68:S68)</f>
        <v>0</v>
      </c>
      <c r="U68" s="4">
        <f t="shared" si="14"/>
        <v>835759.86</v>
      </c>
      <c r="W68" s="10"/>
    </row>
    <row r="69" s="6" customFormat="1" ht="24" customHeight="1" spans="1:23">
      <c r="A69" s="157">
        <v>2</v>
      </c>
      <c r="B69" s="174" t="s">
        <v>375</v>
      </c>
      <c r="C69" s="157" t="s">
        <v>310</v>
      </c>
      <c r="D69" s="157" t="s">
        <v>349</v>
      </c>
      <c r="E69" s="279">
        <v>0</v>
      </c>
      <c r="F69" s="279">
        <f>VLOOKUP(B69,[12]杭州!$C:$M,11,0)</f>
        <v>0</v>
      </c>
      <c r="G69" s="279"/>
      <c r="H69" s="410">
        <f t="shared" si="26"/>
        <v>0</v>
      </c>
      <c r="I69" s="279">
        <f>VLOOKUP(B69,[13]杭州!$C:$Z,24,0)</f>
        <v>0</v>
      </c>
      <c r="J69" s="279">
        <v>0</v>
      </c>
      <c r="K69" s="279">
        <f>VLOOKUP(B69,[15]杭州!$C$3:$AL$49,36,0)</f>
        <v>0</v>
      </c>
      <c r="L69" s="410">
        <f t="shared" ref="L69:L82" si="28">SUM(I69:K69)</f>
        <v>0</v>
      </c>
      <c r="M69" s="279">
        <f>VLOOKUP(B69,[16]杭州!$C:$AR,42,0)</f>
        <v>0</v>
      </c>
      <c r="N69" s="279">
        <f>VLOOKUP(B69,[17]杭州!$C$1:$AX$58,48,0)</f>
        <v>0</v>
      </c>
      <c r="O69" s="279"/>
      <c r="P69" s="410">
        <f t="shared" si="27"/>
        <v>0</v>
      </c>
      <c r="Q69" s="279"/>
      <c r="R69" s="279"/>
      <c r="S69" s="279"/>
      <c r="T69" s="279">
        <f t="shared" ref="T69:T70" si="29">SUM(Q69:S69)</f>
        <v>0</v>
      </c>
      <c r="U69" s="4">
        <f t="shared" si="14"/>
        <v>0</v>
      </c>
      <c r="W69" s="10"/>
    </row>
    <row r="70" s="6" customFormat="1" ht="24" customHeight="1" spans="1:23">
      <c r="A70" s="157">
        <v>3</v>
      </c>
      <c r="B70" s="174" t="s">
        <v>376</v>
      </c>
      <c r="C70" s="157" t="s">
        <v>305</v>
      </c>
      <c r="D70" s="157" t="s">
        <v>314</v>
      </c>
      <c r="E70" s="279">
        <v>0</v>
      </c>
      <c r="F70" s="279">
        <v>0</v>
      </c>
      <c r="G70" s="279"/>
      <c r="H70" s="410">
        <f t="shared" si="26"/>
        <v>0</v>
      </c>
      <c r="I70" s="279">
        <v>0</v>
      </c>
      <c r="J70" s="279">
        <v>0</v>
      </c>
      <c r="K70" s="279">
        <v>0</v>
      </c>
      <c r="L70" s="410">
        <f t="shared" si="28"/>
        <v>0</v>
      </c>
      <c r="M70" s="279">
        <v>0</v>
      </c>
      <c r="N70" s="279">
        <v>0</v>
      </c>
      <c r="O70" s="279"/>
      <c r="P70" s="410">
        <f t="shared" si="27"/>
        <v>0</v>
      </c>
      <c r="Q70" s="279"/>
      <c r="R70" s="279"/>
      <c r="S70" s="279"/>
      <c r="T70" s="279">
        <f t="shared" si="29"/>
        <v>0</v>
      </c>
      <c r="U70" s="4">
        <f t="shared" si="14"/>
        <v>0</v>
      </c>
      <c r="W70" s="10"/>
    </row>
    <row r="71" ht="24" customHeight="1" spans="1:23">
      <c r="A71" s="157">
        <v>4</v>
      </c>
      <c r="B71" s="174" t="s">
        <v>377</v>
      </c>
      <c r="C71" s="157" t="s">
        <v>305</v>
      </c>
      <c r="D71" s="157" t="s">
        <v>306</v>
      </c>
      <c r="E71" s="279">
        <v>0</v>
      </c>
      <c r="F71" s="279">
        <v>0</v>
      </c>
      <c r="G71" s="279"/>
      <c r="H71" s="410">
        <f t="shared" si="26"/>
        <v>0</v>
      </c>
      <c r="I71" s="279">
        <v>0</v>
      </c>
      <c r="J71" s="279">
        <v>0</v>
      </c>
      <c r="K71" s="279">
        <v>0</v>
      </c>
      <c r="L71" s="410">
        <f t="shared" si="28"/>
        <v>0</v>
      </c>
      <c r="M71" s="279">
        <v>0</v>
      </c>
      <c r="N71" s="279">
        <v>0</v>
      </c>
      <c r="O71" s="279"/>
      <c r="P71" s="410">
        <f t="shared" si="27"/>
        <v>0</v>
      </c>
      <c r="Q71" s="279"/>
      <c r="R71" s="279"/>
      <c r="S71" s="279"/>
      <c r="T71" s="279">
        <f t="shared" ref="T71:T79" si="30">SUM(Q71:S71)</f>
        <v>0</v>
      </c>
      <c r="U71" s="4">
        <f t="shared" si="14"/>
        <v>0</v>
      </c>
      <c r="W71" s="10"/>
    </row>
    <row r="72" ht="24" customHeight="1" spans="1:23">
      <c r="A72" s="157">
        <v>5</v>
      </c>
      <c r="B72" s="174" t="s">
        <v>378</v>
      </c>
      <c r="C72" s="157"/>
      <c r="D72" s="157"/>
      <c r="E72" s="279">
        <v>0</v>
      </c>
      <c r="F72" s="279">
        <v>0</v>
      </c>
      <c r="G72" s="279"/>
      <c r="H72" s="410">
        <f t="shared" si="26"/>
        <v>0</v>
      </c>
      <c r="I72" s="279">
        <v>0</v>
      </c>
      <c r="J72" s="279">
        <v>0</v>
      </c>
      <c r="K72" s="279">
        <v>0</v>
      </c>
      <c r="L72" s="410">
        <f t="shared" si="28"/>
        <v>0</v>
      </c>
      <c r="M72" s="279">
        <v>0</v>
      </c>
      <c r="N72" s="279">
        <v>0</v>
      </c>
      <c r="O72" s="279"/>
      <c r="P72" s="410">
        <f t="shared" si="27"/>
        <v>0</v>
      </c>
      <c r="Q72" s="279"/>
      <c r="R72" s="279"/>
      <c r="S72" s="279"/>
      <c r="T72" s="279">
        <f t="shared" si="30"/>
        <v>0</v>
      </c>
      <c r="U72" s="4">
        <f t="shared" si="14"/>
        <v>0</v>
      </c>
      <c r="W72" s="10"/>
    </row>
    <row r="73" ht="24" customHeight="1" spans="1:23">
      <c r="A73" s="157">
        <v>6</v>
      </c>
      <c r="B73" s="174" t="s">
        <v>379</v>
      </c>
      <c r="C73" s="157"/>
      <c r="D73" s="157"/>
      <c r="E73" s="279">
        <v>0</v>
      </c>
      <c r="F73" s="279">
        <v>0</v>
      </c>
      <c r="G73" s="279"/>
      <c r="H73" s="410">
        <f t="shared" si="26"/>
        <v>0</v>
      </c>
      <c r="I73" s="279">
        <v>0</v>
      </c>
      <c r="J73" s="279">
        <v>0</v>
      </c>
      <c r="K73" s="279">
        <v>0</v>
      </c>
      <c r="L73" s="410">
        <f t="shared" si="28"/>
        <v>0</v>
      </c>
      <c r="M73" s="279">
        <v>0</v>
      </c>
      <c r="N73" s="279">
        <v>0</v>
      </c>
      <c r="O73" s="279"/>
      <c r="P73" s="410">
        <f t="shared" si="27"/>
        <v>0</v>
      </c>
      <c r="Q73" s="279"/>
      <c r="R73" s="279"/>
      <c r="S73" s="279"/>
      <c r="T73" s="279">
        <f t="shared" si="30"/>
        <v>0</v>
      </c>
      <c r="U73" s="4">
        <f t="shared" si="14"/>
        <v>0</v>
      </c>
      <c r="W73" s="10"/>
    </row>
    <row r="74" ht="24" customHeight="1" spans="1:23">
      <c r="A74" s="157">
        <v>7</v>
      </c>
      <c r="B74" s="174" t="s">
        <v>380</v>
      </c>
      <c r="C74" s="157"/>
      <c r="D74" s="157"/>
      <c r="E74" s="279">
        <v>0</v>
      </c>
      <c r="F74" s="279">
        <v>0</v>
      </c>
      <c r="G74" s="279"/>
      <c r="H74" s="410">
        <f t="shared" si="26"/>
        <v>0</v>
      </c>
      <c r="I74" s="279">
        <v>0</v>
      </c>
      <c r="J74" s="279">
        <v>0</v>
      </c>
      <c r="K74" s="279">
        <v>0</v>
      </c>
      <c r="L74" s="410">
        <f t="shared" si="28"/>
        <v>0</v>
      </c>
      <c r="M74" s="279">
        <v>0</v>
      </c>
      <c r="N74" s="279">
        <v>0</v>
      </c>
      <c r="O74" s="279"/>
      <c r="P74" s="410">
        <f t="shared" si="27"/>
        <v>0</v>
      </c>
      <c r="Q74" s="279"/>
      <c r="R74" s="279"/>
      <c r="S74" s="279"/>
      <c r="T74" s="279">
        <f t="shared" si="30"/>
        <v>0</v>
      </c>
      <c r="U74" s="4">
        <f t="shared" si="14"/>
        <v>0</v>
      </c>
      <c r="W74" s="10"/>
    </row>
    <row r="75" ht="24" customHeight="1" spans="1:23">
      <c r="A75" s="157">
        <v>8</v>
      </c>
      <c r="B75" s="174" t="s">
        <v>381</v>
      </c>
      <c r="C75" s="157"/>
      <c r="D75" s="157"/>
      <c r="E75" s="279">
        <v>0</v>
      </c>
      <c r="F75" s="279">
        <v>0</v>
      </c>
      <c r="G75" s="279"/>
      <c r="H75" s="410">
        <f t="shared" si="26"/>
        <v>0</v>
      </c>
      <c r="I75" s="279">
        <v>0</v>
      </c>
      <c r="J75" s="279">
        <v>0</v>
      </c>
      <c r="K75" s="279">
        <v>0</v>
      </c>
      <c r="L75" s="410">
        <f t="shared" si="28"/>
        <v>0</v>
      </c>
      <c r="M75" s="279">
        <v>0</v>
      </c>
      <c r="N75" s="279">
        <v>0</v>
      </c>
      <c r="O75" s="279"/>
      <c r="P75" s="410">
        <f t="shared" si="27"/>
        <v>0</v>
      </c>
      <c r="Q75" s="279"/>
      <c r="R75" s="279"/>
      <c r="S75" s="279"/>
      <c r="T75" s="279">
        <f t="shared" si="30"/>
        <v>0</v>
      </c>
      <c r="U75" s="4">
        <f t="shared" si="14"/>
        <v>0</v>
      </c>
      <c r="W75" s="10"/>
    </row>
    <row r="76" ht="24" customHeight="1" spans="1:23">
      <c r="A76" s="157">
        <v>9</v>
      </c>
      <c r="B76" s="174" t="s">
        <v>382</v>
      </c>
      <c r="C76" s="157" t="s">
        <v>305</v>
      </c>
      <c r="D76" s="157" t="s">
        <v>334</v>
      </c>
      <c r="E76" s="279">
        <v>0</v>
      </c>
      <c r="F76" s="279">
        <v>0</v>
      </c>
      <c r="G76" s="279"/>
      <c r="H76" s="410">
        <f t="shared" si="26"/>
        <v>0</v>
      </c>
      <c r="I76" s="279">
        <v>0</v>
      </c>
      <c r="J76" s="279">
        <v>0</v>
      </c>
      <c r="K76" s="279">
        <v>0</v>
      </c>
      <c r="L76" s="410">
        <f t="shared" si="28"/>
        <v>0</v>
      </c>
      <c r="M76" s="279">
        <v>0</v>
      </c>
      <c r="N76" s="279">
        <v>0</v>
      </c>
      <c r="O76" s="279"/>
      <c r="P76" s="410">
        <f t="shared" si="27"/>
        <v>0</v>
      </c>
      <c r="Q76" s="279"/>
      <c r="R76" s="279"/>
      <c r="S76" s="279"/>
      <c r="T76" s="279">
        <f t="shared" si="30"/>
        <v>0</v>
      </c>
      <c r="U76" s="4">
        <f t="shared" si="14"/>
        <v>0</v>
      </c>
      <c r="W76" s="10"/>
    </row>
    <row r="77" ht="24" customHeight="1" spans="1:23">
      <c r="A77" s="157">
        <v>10</v>
      </c>
      <c r="B77" s="174" t="s">
        <v>383</v>
      </c>
      <c r="C77" s="157"/>
      <c r="D77" s="157"/>
      <c r="E77" s="279">
        <v>0</v>
      </c>
      <c r="F77" s="279">
        <v>0</v>
      </c>
      <c r="G77" s="279"/>
      <c r="H77" s="410">
        <f t="shared" si="26"/>
        <v>0</v>
      </c>
      <c r="I77" s="279">
        <v>0</v>
      </c>
      <c r="J77" s="279">
        <v>0</v>
      </c>
      <c r="K77" s="279">
        <v>0</v>
      </c>
      <c r="L77" s="410">
        <f t="shared" si="28"/>
        <v>0</v>
      </c>
      <c r="M77" s="279">
        <v>0</v>
      </c>
      <c r="N77" s="279">
        <v>0</v>
      </c>
      <c r="O77" s="279"/>
      <c r="P77" s="410">
        <f t="shared" si="27"/>
        <v>0</v>
      </c>
      <c r="Q77" s="279"/>
      <c r="R77" s="279"/>
      <c r="S77" s="279"/>
      <c r="T77" s="279">
        <f t="shared" si="30"/>
        <v>0</v>
      </c>
      <c r="U77" s="4">
        <f t="shared" si="14"/>
        <v>0</v>
      </c>
      <c r="W77" s="10"/>
    </row>
    <row r="78" ht="24" customHeight="1" spans="1:23">
      <c r="A78" s="157">
        <v>11</v>
      </c>
      <c r="B78" s="174" t="s">
        <v>384</v>
      </c>
      <c r="C78" s="157" t="s">
        <v>310</v>
      </c>
      <c r="D78" s="157" t="s">
        <v>314</v>
      </c>
      <c r="E78" s="279">
        <v>0</v>
      </c>
      <c r="F78" s="279">
        <v>0</v>
      </c>
      <c r="G78" s="279"/>
      <c r="H78" s="410">
        <f t="shared" si="26"/>
        <v>0</v>
      </c>
      <c r="I78" s="279">
        <v>0</v>
      </c>
      <c r="J78" s="279">
        <v>0</v>
      </c>
      <c r="K78" s="279">
        <v>0</v>
      </c>
      <c r="L78" s="410">
        <f t="shared" si="28"/>
        <v>0</v>
      </c>
      <c r="M78" s="279">
        <v>0</v>
      </c>
      <c r="N78" s="279">
        <v>0</v>
      </c>
      <c r="O78" s="279"/>
      <c r="P78" s="410">
        <f t="shared" si="27"/>
        <v>0</v>
      </c>
      <c r="Q78" s="279"/>
      <c r="R78" s="279"/>
      <c r="S78" s="279"/>
      <c r="T78" s="279">
        <f t="shared" si="30"/>
        <v>0</v>
      </c>
      <c r="U78" s="4">
        <f t="shared" si="14"/>
        <v>0</v>
      </c>
      <c r="W78" s="10"/>
    </row>
    <row r="79" ht="24" customHeight="1" spans="1:23">
      <c r="A79" s="157">
        <v>12</v>
      </c>
      <c r="B79" s="174" t="s">
        <v>385</v>
      </c>
      <c r="C79" s="157"/>
      <c r="D79" s="157"/>
      <c r="E79" s="279">
        <v>0</v>
      </c>
      <c r="F79" s="279">
        <v>0</v>
      </c>
      <c r="G79" s="279"/>
      <c r="H79" s="410">
        <f t="shared" si="26"/>
        <v>0</v>
      </c>
      <c r="I79" s="279">
        <v>0</v>
      </c>
      <c r="J79" s="279">
        <v>0</v>
      </c>
      <c r="K79" s="279">
        <v>0</v>
      </c>
      <c r="L79" s="410">
        <f t="shared" si="28"/>
        <v>0</v>
      </c>
      <c r="M79" s="279">
        <v>0</v>
      </c>
      <c r="N79" s="279">
        <v>0</v>
      </c>
      <c r="O79" s="279"/>
      <c r="P79" s="410">
        <f t="shared" si="27"/>
        <v>0</v>
      </c>
      <c r="Q79" s="279"/>
      <c r="R79" s="279"/>
      <c r="S79" s="279"/>
      <c r="T79" s="279">
        <f t="shared" si="30"/>
        <v>0</v>
      </c>
      <c r="U79" s="4">
        <f t="shared" si="14"/>
        <v>0</v>
      </c>
      <c r="W79" s="10"/>
    </row>
    <row r="80" ht="24" customHeight="1" spans="1:23">
      <c r="A80" s="157">
        <v>13</v>
      </c>
      <c r="B80" s="174" t="s">
        <v>386</v>
      </c>
      <c r="C80" s="157"/>
      <c r="D80" s="157"/>
      <c r="E80" s="279">
        <f>VLOOKUP(B80,[12]杭州!$C:$J,8,0)</f>
        <v>5208.12</v>
      </c>
      <c r="F80" s="279">
        <f>VLOOKUP(B80,[12]杭州!$C:$M,11,0)</f>
        <v>713</v>
      </c>
      <c r="G80" s="279">
        <f>VLOOKUP(B80,[12]杭州!$C:$S,17,0)</f>
        <v>0</v>
      </c>
      <c r="H80" s="410">
        <f t="shared" si="26"/>
        <v>5921.12</v>
      </c>
      <c r="I80" s="279">
        <f>VLOOKUP(B80,[13]杭州!$C:$Z,24,0)</f>
        <v>0</v>
      </c>
      <c r="J80" s="279">
        <v>0</v>
      </c>
      <c r="K80" s="279">
        <f>VLOOKUP(B80,[15]杭州!$C$3:$AL$49,36,0)</f>
        <v>0</v>
      </c>
      <c r="L80" s="410">
        <f t="shared" si="28"/>
        <v>0</v>
      </c>
      <c r="M80" s="279">
        <v>0</v>
      </c>
      <c r="N80" s="279">
        <f>VLOOKUP(B80,[17]杭州!$C$1:$AX$58,48,0)</f>
        <v>0</v>
      </c>
      <c r="O80" s="279"/>
      <c r="P80" s="410">
        <f t="shared" si="27"/>
        <v>0</v>
      </c>
      <c r="Q80" s="279"/>
      <c r="R80" s="279"/>
      <c r="S80" s="279"/>
      <c r="T80" s="279"/>
      <c r="U80" s="4">
        <f t="shared" ref="U80:U85" si="31">H80+L80+P80+T80</f>
        <v>5921.12</v>
      </c>
      <c r="W80" s="10"/>
    </row>
    <row r="81" s="10" customFormat="1" ht="26" customHeight="1" spans="1:21">
      <c r="A81" s="157">
        <v>14</v>
      </c>
      <c r="B81" s="174" t="s">
        <v>387</v>
      </c>
      <c r="C81" s="157"/>
      <c r="D81" s="157"/>
      <c r="E81" s="279"/>
      <c r="F81" s="279">
        <f>VLOOKUP(B81,[12]杭州!$C:$M,11,0)</f>
        <v>20000</v>
      </c>
      <c r="G81" s="279">
        <f>VLOOKUP(B81,[12]杭州!$C:$S,17,0)</f>
        <v>0</v>
      </c>
      <c r="H81" s="410">
        <f t="shared" si="26"/>
        <v>20000</v>
      </c>
      <c r="I81" s="279">
        <f>VLOOKUP(B81,[13]杭州!$C:$Z,24,0)</f>
        <v>0</v>
      </c>
      <c r="J81" s="368">
        <v>17250</v>
      </c>
      <c r="K81" s="279">
        <f>VLOOKUP(B81,[15]杭州!$C$3:$AL$49,36,0)</f>
        <v>10000</v>
      </c>
      <c r="L81" s="410">
        <f t="shared" si="28"/>
        <v>27250</v>
      </c>
      <c r="M81" s="279">
        <v>0</v>
      </c>
      <c r="N81" s="279">
        <f>VLOOKUP(B81,[17]杭州!$C$1:$AX$58,48,0)</f>
        <v>0</v>
      </c>
      <c r="O81" s="279"/>
      <c r="P81" s="410">
        <f t="shared" si="27"/>
        <v>0</v>
      </c>
      <c r="Q81" s="279"/>
      <c r="R81" s="279"/>
      <c r="S81" s="279"/>
      <c r="T81" s="279"/>
      <c r="U81" s="4">
        <f t="shared" si="31"/>
        <v>47250</v>
      </c>
    </row>
    <row r="82" s="10" customFormat="1" ht="26" customHeight="1" spans="1:21">
      <c r="A82" s="157">
        <v>15</v>
      </c>
      <c r="B82" s="174" t="s">
        <v>388</v>
      </c>
      <c r="C82" s="157"/>
      <c r="D82" s="157"/>
      <c r="E82" s="279"/>
      <c r="F82" s="279"/>
      <c r="G82" s="279"/>
      <c r="H82" s="410"/>
      <c r="I82" s="279"/>
      <c r="J82" s="279">
        <f>VLOOKUP(B82,[14]杭州!$C$3:$AF$49,30,0)</f>
        <v>66234</v>
      </c>
      <c r="K82" s="279">
        <f>VLOOKUP(B82,[15]杭州!$C$3:$AL$49,36,0)</f>
        <v>10341.7</v>
      </c>
      <c r="L82" s="410">
        <f t="shared" si="28"/>
        <v>76575.7</v>
      </c>
      <c r="M82" s="279">
        <f>VLOOKUP(B82,[16]杭州!$C:$AR,42,0)</f>
        <v>12445</v>
      </c>
      <c r="N82" s="279">
        <f>VLOOKUP(B82,[17]杭州!$C$1:$AX$58,48,0)</f>
        <v>8999</v>
      </c>
      <c r="O82" s="279"/>
      <c r="P82" s="410">
        <f t="shared" si="27"/>
        <v>21444</v>
      </c>
      <c r="Q82" s="279"/>
      <c r="R82" s="279"/>
      <c r="S82" s="279"/>
      <c r="T82" s="279"/>
      <c r="U82" s="4">
        <f t="shared" si="31"/>
        <v>98019.7</v>
      </c>
    </row>
    <row r="83" s="371" customFormat="1" ht="19.5" customHeight="1" spans="1:23">
      <c r="A83" s="380">
        <v>15</v>
      </c>
      <c r="B83" s="411" t="s">
        <v>389</v>
      </c>
      <c r="C83" s="412"/>
      <c r="D83" s="412"/>
      <c r="E83" s="382">
        <f>SUM(E68:E82)</f>
        <v>69863.46</v>
      </c>
      <c r="F83" s="382">
        <f t="shared" ref="F83:T83" si="32">SUM(F68:F82)</f>
        <v>59069.9</v>
      </c>
      <c r="G83" s="382">
        <f t="shared" si="32"/>
        <v>55308.66</v>
      </c>
      <c r="H83" s="410">
        <f t="shared" si="32"/>
        <v>184242.02</v>
      </c>
      <c r="I83" s="382">
        <f t="shared" si="32"/>
        <v>305195.38</v>
      </c>
      <c r="J83" s="382">
        <f t="shared" si="32"/>
        <v>115779.12</v>
      </c>
      <c r="K83" s="382">
        <f t="shared" si="32"/>
        <v>43237.1</v>
      </c>
      <c r="L83" s="410">
        <f t="shared" si="32"/>
        <v>464211.6</v>
      </c>
      <c r="M83" s="382">
        <f t="shared" si="32"/>
        <v>250884.5</v>
      </c>
      <c r="N83" s="382">
        <f t="shared" si="32"/>
        <v>87612.56</v>
      </c>
      <c r="O83" s="382">
        <f t="shared" si="32"/>
        <v>0</v>
      </c>
      <c r="P83" s="410">
        <f t="shared" si="27"/>
        <v>338497.06</v>
      </c>
      <c r="Q83" s="382">
        <f t="shared" si="32"/>
        <v>0</v>
      </c>
      <c r="R83" s="382">
        <f t="shared" si="32"/>
        <v>0</v>
      </c>
      <c r="S83" s="382">
        <f t="shared" si="32"/>
        <v>0</v>
      </c>
      <c r="T83" s="382">
        <f t="shared" si="32"/>
        <v>0</v>
      </c>
      <c r="U83" s="4">
        <f t="shared" si="31"/>
        <v>986950.68</v>
      </c>
      <c r="W83" s="426"/>
    </row>
    <row r="84" ht="19.5" customHeight="1" spans="8:20">
      <c r="H84" s="414"/>
      <c r="L84" s="424"/>
      <c r="P84" s="424"/>
      <c r="T84" s="6"/>
    </row>
    <row r="85" s="371" customFormat="1" ht="19.5" customHeight="1" spans="1:23">
      <c r="A85" s="412" t="s">
        <v>390</v>
      </c>
      <c r="B85" s="430"/>
      <c r="C85" s="412"/>
      <c r="D85" s="412"/>
      <c r="E85" s="382">
        <f>E9+E14+E20+E29+E37+E51+E66+E83</f>
        <v>2134133.92</v>
      </c>
      <c r="F85" s="382">
        <f t="shared" ref="F85:T85" si="33">F9+F14+F20+F29+F37+F51+F66+F83</f>
        <v>2030936.03</v>
      </c>
      <c r="G85" s="382">
        <f t="shared" si="33"/>
        <v>3241900.37</v>
      </c>
      <c r="H85" s="410">
        <f t="shared" ref="H85:L85" si="34">H9+H14+H20+H29+H37+H51+H66+H83</f>
        <v>7406970.32</v>
      </c>
      <c r="I85" s="382">
        <f t="shared" si="34"/>
        <v>3580142.19</v>
      </c>
      <c r="J85" s="382">
        <f t="shared" si="34"/>
        <v>2984404.72</v>
      </c>
      <c r="K85" s="382">
        <f t="shared" si="34"/>
        <v>3744100.99</v>
      </c>
      <c r="L85" s="410">
        <f t="shared" si="34"/>
        <v>10308647.9</v>
      </c>
      <c r="M85" s="382">
        <f t="shared" si="33"/>
        <v>2351069.78</v>
      </c>
      <c r="N85" s="382">
        <f t="shared" si="33"/>
        <v>1841887.65</v>
      </c>
      <c r="O85" s="382">
        <f t="shared" si="33"/>
        <v>0</v>
      </c>
      <c r="P85" s="410">
        <f t="shared" si="33"/>
        <v>4192957.43</v>
      </c>
      <c r="Q85" s="382">
        <f t="shared" si="33"/>
        <v>0</v>
      </c>
      <c r="R85" s="382">
        <f t="shared" si="33"/>
        <v>0</v>
      </c>
      <c r="S85" s="382">
        <f t="shared" si="33"/>
        <v>0</v>
      </c>
      <c r="T85" s="382">
        <f t="shared" si="33"/>
        <v>0</v>
      </c>
      <c r="U85" s="4">
        <f t="shared" si="31"/>
        <v>21908575.65</v>
      </c>
      <c r="W85" s="426"/>
    </row>
    <row r="86" ht="79" customHeight="1" spans="7:20">
      <c r="G86" s="431">
        <f>G85-G59</f>
        <v>3216768.37</v>
      </c>
      <c r="H86" s="414"/>
      <c r="I86" s="432" t="s">
        <v>391</v>
      </c>
      <c r="J86" s="141" t="s">
        <v>392</v>
      </c>
      <c r="L86" s="424"/>
      <c r="P86" s="424"/>
      <c r="T86" s="6"/>
    </row>
    <row r="87" ht="19.5" customHeight="1"/>
    <row r="88" ht="19.5" customHeight="1"/>
    <row r="89" ht="19.5" customHeight="1"/>
  </sheetData>
  <autoFilter xmlns:etc="http://www.wps.cn/officeDocument/2017/etCustomData" ref="A3:W83" etc:filterBottomFollowUsedRange="0">
    <extLst/>
  </autoFilter>
  <mergeCells count="1">
    <mergeCell ref="A85:B85"/>
  </mergeCells>
  <pageMargins left="0.393055555555556" right="0.275" top="0.354166666666667" bottom="0.275" header="0.313888888888889" footer="0.196527777777778"/>
  <pageSetup paperSize="9" scale="80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91"/>
  <sheetViews>
    <sheetView zoomScale="85" zoomScaleNormal="85" workbookViewId="0">
      <pane xSplit="2" ySplit="3" topLeftCell="C4" activePane="bottomRight" state="frozen"/>
      <selection/>
      <selection pane="topRight"/>
      <selection pane="bottomLeft"/>
      <selection pane="bottomRight" activeCell="L15" sqref="L15"/>
    </sheetView>
  </sheetViews>
  <sheetFormatPr defaultColWidth="9" defaultRowHeight="19.5" customHeight="1"/>
  <cols>
    <col min="1" max="1" width="4" style="30" customWidth="1"/>
    <col min="2" max="2" width="25.7545454545455" style="20" customWidth="1"/>
    <col min="3" max="5" width="11.1272727272727" style="30" customWidth="1"/>
    <col min="6" max="6" width="13.5" style="372" customWidth="1"/>
    <col min="7" max="7" width="11.1272727272727" style="30" customWidth="1"/>
    <col min="8" max="9" width="11.1272727272727" style="20" customWidth="1"/>
    <col min="10" max="10" width="13.2545454545455" style="373" customWidth="1"/>
    <col min="11" max="11" width="11.1272727272727" style="20" customWidth="1"/>
    <col min="12" max="13" width="12.2545454545455" style="20" customWidth="1"/>
    <col min="14" max="14" width="12.2545454545455" style="374" customWidth="1"/>
    <col min="15" max="17" width="12.1272727272727" style="20" customWidth="1"/>
    <col min="18" max="18" width="12.1272727272727" style="374" customWidth="1"/>
    <col min="19" max="19" width="4.87272727272727" style="20" customWidth="1"/>
    <col min="20" max="20" width="12.2545454545455" style="20" customWidth="1"/>
    <col min="21" max="21" width="10.1272727272727" style="20" customWidth="1"/>
    <col min="22" max="22" width="11.8727272727273" style="20" customWidth="1"/>
    <col min="23" max="23" width="28.2545454545455" style="20" customWidth="1"/>
    <col min="24" max="24" width="18.6727272727273" style="20" customWidth="1"/>
    <col min="25" max="25" width="10.3727272727273" style="20"/>
    <col min="26" max="16384" width="9" style="20"/>
  </cols>
  <sheetData>
    <row r="1" s="22" customFormat="1" ht="28.5" customHeight="1" spans="1:18">
      <c r="A1" s="351" t="s">
        <v>393</v>
      </c>
      <c r="F1" s="375"/>
      <c r="J1" s="375"/>
      <c r="N1" s="385"/>
      <c r="R1" s="385"/>
    </row>
    <row r="2" s="22" customFormat="1" customHeight="1" spans="1:18">
      <c r="A2" s="351" t="s">
        <v>394</v>
      </c>
      <c r="B2" s="351"/>
      <c r="C2" s="351"/>
      <c r="D2" s="351"/>
      <c r="E2" s="351"/>
      <c r="F2" s="375"/>
      <c r="J2" s="375"/>
      <c r="N2" s="385"/>
      <c r="R2" s="385"/>
    </row>
    <row r="3" customHeight="1" spans="1:28">
      <c r="A3" s="254" t="s">
        <v>3</v>
      </c>
      <c r="B3" s="253" t="s">
        <v>286</v>
      </c>
      <c r="C3" s="254" t="s">
        <v>288</v>
      </c>
      <c r="D3" s="254" t="s">
        <v>289</v>
      </c>
      <c r="E3" s="254" t="s">
        <v>290</v>
      </c>
      <c r="F3" s="352" t="s">
        <v>291</v>
      </c>
      <c r="G3" s="278" t="s">
        <v>292</v>
      </c>
      <c r="H3" s="254" t="s">
        <v>293</v>
      </c>
      <c r="I3" s="254" t="s">
        <v>294</v>
      </c>
      <c r="J3" s="352" t="s">
        <v>295</v>
      </c>
      <c r="K3" s="254" t="s">
        <v>296</v>
      </c>
      <c r="L3" s="254" t="s">
        <v>297</v>
      </c>
      <c r="M3" s="254" t="s">
        <v>298</v>
      </c>
      <c r="N3" s="318" t="s">
        <v>299</v>
      </c>
      <c r="O3" s="254" t="s">
        <v>300</v>
      </c>
      <c r="P3" s="254" t="s">
        <v>301</v>
      </c>
      <c r="Q3" s="254" t="s">
        <v>302</v>
      </c>
      <c r="R3" s="318" t="s">
        <v>303</v>
      </c>
      <c r="T3" s="252" t="s">
        <v>395</v>
      </c>
      <c r="W3" s="16"/>
      <c r="X3" s="388"/>
      <c r="Y3" s="388"/>
      <c r="Z3" s="388"/>
      <c r="AA3" s="388"/>
      <c r="AB3" s="252"/>
    </row>
    <row r="4" s="6" customFormat="1" customHeight="1" spans="1:27">
      <c r="A4" s="157">
        <v>1</v>
      </c>
      <c r="B4" s="266" t="s">
        <v>396</v>
      </c>
      <c r="C4" s="279">
        <v>0</v>
      </c>
      <c r="D4" s="279">
        <v>0</v>
      </c>
      <c r="E4" s="279">
        <v>0</v>
      </c>
      <c r="F4" s="376">
        <f>SUM(C4:E4)</f>
        <v>0</v>
      </c>
      <c r="G4" s="279">
        <v>0</v>
      </c>
      <c r="H4" s="279">
        <v>0</v>
      </c>
      <c r="I4" s="279">
        <v>0</v>
      </c>
      <c r="J4" s="376">
        <f>SUM(G4:I4)</f>
        <v>0</v>
      </c>
      <c r="K4" s="157">
        <v>0</v>
      </c>
      <c r="L4" s="279">
        <v>0</v>
      </c>
      <c r="M4" s="279"/>
      <c r="N4" s="386"/>
      <c r="O4" s="279"/>
      <c r="P4" s="157"/>
      <c r="Q4" s="157"/>
      <c r="R4" s="386">
        <f>SUM(O4:Q4)</f>
        <v>0</v>
      </c>
      <c r="T4" s="389">
        <f>Q4+P4+O4+M4+L4+K4+I4+H4+G4+E4+D4+C4</f>
        <v>0</v>
      </c>
      <c r="W4" s="16"/>
      <c r="X4" s="388"/>
      <c r="Y4" s="388"/>
      <c r="Z4" s="388"/>
      <c r="AA4" s="388"/>
    </row>
    <row r="5" s="6" customFormat="1" customHeight="1" spans="1:27">
      <c r="A5" s="157">
        <v>2</v>
      </c>
      <c r="B5" s="266" t="s">
        <v>397</v>
      </c>
      <c r="C5" s="279">
        <f>VLOOKUP(B5,[12]金衢!$C:$J,8,0)</f>
        <v>170180.19</v>
      </c>
      <c r="D5" s="279">
        <f>VLOOKUP(B5,[12]金衢!$C:$M,11,0)</f>
        <v>33500.8</v>
      </c>
      <c r="E5" s="279">
        <f>VLOOKUP(B5,[12]金衢!$C:$S,17,0)</f>
        <v>337846.67</v>
      </c>
      <c r="F5" s="376">
        <f t="shared" ref="F5:F32" si="0">SUM(C5:E5)</f>
        <v>541527.66</v>
      </c>
      <c r="G5" s="279">
        <f>VLOOKUP(B5,[13]金衢!$C:$Z,24,0)</f>
        <v>244513.1</v>
      </c>
      <c r="H5" s="279">
        <f>VLOOKUP(B5,[14]金衢!$C$3:$AF$32,30,0)</f>
        <v>193019.03</v>
      </c>
      <c r="I5" s="279">
        <f>VLOOKUP(B5,[15]金衢!$C$1:$AL$29,36,0)</f>
        <v>241756.98</v>
      </c>
      <c r="J5" s="376">
        <f t="shared" ref="J5:J33" si="1">SUM(G5:I5)</f>
        <v>679289.11</v>
      </c>
      <c r="K5" s="157">
        <f>VLOOKUP(B5,[16]金衢!$C:$AR,42,0)</f>
        <v>124862.42</v>
      </c>
      <c r="L5" s="279">
        <f>VLOOKUP(B5,[17]金衢!$C$3:$AX$34,48,0)</f>
        <v>0</v>
      </c>
      <c r="M5" s="279"/>
      <c r="N5" s="386"/>
      <c r="O5" s="279"/>
      <c r="P5" s="157"/>
      <c r="Q5" s="157"/>
      <c r="R5" s="386">
        <f>SUM(O5:Q5)</f>
        <v>0</v>
      </c>
      <c r="T5" s="390">
        <f>Q5+P5+O5+M5+L5+K5+I5+H5+G5+E5+D5+C5</f>
        <v>1345679.19</v>
      </c>
      <c r="W5" s="16"/>
      <c r="X5" s="388"/>
      <c r="Y5" s="388"/>
      <c r="Z5" s="388"/>
      <c r="AA5" s="388"/>
    </row>
    <row r="6" s="6" customFormat="1" customHeight="1" spans="1:27">
      <c r="A6" s="157">
        <v>3</v>
      </c>
      <c r="B6" s="266" t="s">
        <v>398</v>
      </c>
      <c r="C6" s="279">
        <v>0</v>
      </c>
      <c r="D6" s="279">
        <v>0</v>
      </c>
      <c r="E6" s="279">
        <v>0</v>
      </c>
      <c r="F6" s="376">
        <f t="shared" si="0"/>
        <v>0</v>
      </c>
      <c r="G6" s="279">
        <v>0</v>
      </c>
      <c r="H6" s="279">
        <v>0</v>
      </c>
      <c r="I6" s="279">
        <v>0</v>
      </c>
      <c r="J6" s="376">
        <f t="shared" si="1"/>
        <v>0</v>
      </c>
      <c r="K6" s="157">
        <v>0</v>
      </c>
      <c r="L6" s="279">
        <v>0</v>
      </c>
      <c r="M6" s="279"/>
      <c r="N6" s="386"/>
      <c r="O6" s="279"/>
      <c r="P6" s="157"/>
      <c r="Q6" s="157"/>
      <c r="R6" s="386">
        <f>SUM(O6:Q6)</f>
        <v>0</v>
      </c>
      <c r="T6" s="390">
        <f>Q6+P6+O6+M6+L6+K6+I6+H6+G6+E6+D6+C6</f>
        <v>0</v>
      </c>
      <c r="W6" s="16"/>
      <c r="X6" s="388"/>
      <c r="Y6" s="388"/>
      <c r="Z6" s="388"/>
      <c r="AA6" s="388"/>
    </row>
    <row r="7" s="6" customFormat="1" customHeight="1" spans="1:27">
      <c r="A7" s="157">
        <v>4</v>
      </c>
      <c r="B7" s="266" t="s">
        <v>399</v>
      </c>
      <c r="C7" s="279">
        <f>VLOOKUP(B7,[12]金衢!$C:$J,8,0)</f>
        <v>21359</v>
      </c>
      <c r="D7" s="279">
        <f>VLOOKUP(B7,[12]金衢!$C:$M,11,0)</f>
        <v>8805</v>
      </c>
      <c r="E7" s="279">
        <f>VLOOKUP(B7,[12]金衢!$C:$S,17,0)</f>
        <v>3203</v>
      </c>
      <c r="F7" s="376">
        <f t="shared" si="0"/>
        <v>33367</v>
      </c>
      <c r="G7" s="279">
        <f>VLOOKUP(B7,[13]金衢!$C:$Z,24,0)</f>
        <v>1479</v>
      </c>
      <c r="H7" s="279">
        <f>VLOOKUP(B7,[14]金衢!$C$3:$AF$32,30,0)</f>
        <v>0</v>
      </c>
      <c r="I7" s="279">
        <f>VLOOKUP(B7,[15]金衢!$C$1:$AL$29,36,0)</f>
        <v>0</v>
      </c>
      <c r="J7" s="376">
        <f t="shared" si="1"/>
        <v>1479</v>
      </c>
      <c r="K7" s="157">
        <f>VLOOKUP(B7,[16]金衢!$C:$AR,42,0)</f>
        <v>0</v>
      </c>
      <c r="L7" s="279">
        <f>VLOOKUP(B7,[17]金衢!$C$3:$AX$34,48,0)</f>
        <v>0</v>
      </c>
      <c r="M7" s="279"/>
      <c r="N7" s="386"/>
      <c r="O7" s="279"/>
      <c r="P7" s="157"/>
      <c r="Q7" s="157"/>
      <c r="R7" s="386">
        <f t="shared" ref="R7:R16" si="2">SUM(O7:Q7)</f>
        <v>0</v>
      </c>
      <c r="T7" s="390">
        <f t="shared" ref="T7:T15" si="3">Q7+P7+O7+M7+L7+K7+I7+H7+G7+E7+D7+C7</f>
        <v>34846</v>
      </c>
      <c r="W7" s="16"/>
      <c r="X7" s="388"/>
      <c r="Y7" s="388"/>
      <c r="Z7" s="388"/>
      <c r="AA7" s="388"/>
    </row>
    <row r="8" s="6" customFormat="1" customHeight="1" spans="1:27">
      <c r="A8" s="157">
        <v>5</v>
      </c>
      <c r="B8" s="266" t="s">
        <v>400</v>
      </c>
      <c r="C8" s="279">
        <v>0</v>
      </c>
      <c r="D8" s="279">
        <v>0</v>
      </c>
      <c r="E8" s="279">
        <v>0</v>
      </c>
      <c r="F8" s="376">
        <f t="shared" si="0"/>
        <v>0</v>
      </c>
      <c r="G8" s="279">
        <v>0</v>
      </c>
      <c r="H8" s="279">
        <v>0</v>
      </c>
      <c r="I8" s="279">
        <v>0</v>
      </c>
      <c r="J8" s="376">
        <f t="shared" si="1"/>
        <v>0</v>
      </c>
      <c r="K8" s="157">
        <v>0</v>
      </c>
      <c r="L8" s="279">
        <v>0</v>
      </c>
      <c r="M8" s="279"/>
      <c r="N8" s="386"/>
      <c r="O8" s="279"/>
      <c r="P8" s="157"/>
      <c r="Q8" s="157"/>
      <c r="R8" s="386">
        <f t="shared" si="2"/>
        <v>0</v>
      </c>
      <c r="T8" s="390">
        <f t="shared" si="3"/>
        <v>0</v>
      </c>
      <c r="W8" s="16"/>
      <c r="X8" s="388"/>
      <c r="Y8" s="388"/>
      <c r="Z8" s="388"/>
      <c r="AA8" s="388"/>
    </row>
    <row r="9" s="6" customFormat="1" customHeight="1" spans="1:27">
      <c r="A9" s="157">
        <v>6</v>
      </c>
      <c r="B9" s="266" t="s">
        <v>401</v>
      </c>
      <c r="C9" s="279">
        <v>0</v>
      </c>
      <c r="D9" s="279">
        <v>0</v>
      </c>
      <c r="E9" s="279">
        <v>0</v>
      </c>
      <c r="F9" s="376">
        <f t="shared" si="0"/>
        <v>0</v>
      </c>
      <c r="G9" s="279">
        <v>0</v>
      </c>
      <c r="H9" s="279">
        <v>0</v>
      </c>
      <c r="I9" s="279">
        <v>0</v>
      </c>
      <c r="J9" s="376">
        <f t="shared" si="1"/>
        <v>0</v>
      </c>
      <c r="K9" s="157">
        <v>0</v>
      </c>
      <c r="L9" s="279">
        <v>0</v>
      </c>
      <c r="M9" s="279"/>
      <c r="N9" s="386"/>
      <c r="O9" s="279"/>
      <c r="P9" s="279"/>
      <c r="Q9" s="157"/>
      <c r="R9" s="386">
        <f t="shared" si="2"/>
        <v>0</v>
      </c>
      <c r="T9" s="390">
        <f t="shared" si="3"/>
        <v>0</v>
      </c>
      <c r="W9" s="16"/>
      <c r="X9" s="388"/>
      <c r="Y9" s="388"/>
      <c r="Z9" s="388"/>
      <c r="AA9" s="388"/>
    </row>
    <row r="10" s="6" customFormat="1" customHeight="1" spans="1:27">
      <c r="A10" s="157">
        <v>7</v>
      </c>
      <c r="B10" s="266" t="s">
        <v>402</v>
      </c>
      <c r="C10" s="279">
        <v>0</v>
      </c>
      <c r="D10" s="279">
        <v>0</v>
      </c>
      <c r="E10" s="279">
        <v>0</v>
      </c>
      <c r="F10" s="376">
        <f t="shared" si="0"/>
        <v>0</v>
      </c>
      <c r="G10" s="279">
        <v>0</v>
      </c>
      <c r="H10" s="279">
        <v>0</v>
      </c>
      <c r="I10" s="279">
        <v>0</v>
      </c>
      <c r="J10" s="376">
        <f t="shared" si="1"/>
        <v>0</v>
      </c>
      <c r="K10" s="157">
        <v>0</v>
      </c>
      <c r="L10" s="279">
        <v>0</v>
      </c>
      <c r="M10" s="279"/>
      <c r="N10" s="386"/>
      <c r="O10" s="279"/>
      <c r="P10" s="279"/>
      <c r="Q10" s="157"/>
      <c r="R10" s="386">
        <f t="shared" si="2"/>
        <v>0</v>
      </c>
      <c r="T10" s="390">
        <f t="shared" si="3"/>
        <v>0</v>
      </c>
      <c r="W10" s="16"/>
      <c r="X10" s="388"/>
      <c r="Y10" s="388"/>
      <c r="Z10" s="388"/>
      <c r="AA10" s="388"/>
    </row>
    <row r="11" s="6" customFormat="1" customHeight="1" spans="1:27">
      <c r="A11" s="157">
        <v>8</v>
      </c>
      <c r="B11" s="266" t="s">
        <v>403</v>
      </c>
      <c r="C11" s="279">
        <v>0</v>
      </c>
      <c r="D11" s="279">
        <v>0</v>
      </c>
      <c r="E11" s="279">
        <v>0</v>
      </c>
      <c r="F11" s="376">
        <f t="shared" si="0"/>
        <v>0</v>
      </c>
      <c r="G11" s="279">
        <v>0</v>
      </c>
      <c r="H11" s="279">
        <v>0</v>
      </c>
      <c r="I11" s="279">
        <v>0</v>
      </c>
      <c r="J11" s="376">
        <f t="shared" si="1"/>
        <v>0</v>
      </c>
      <c r="K11" s="157">
        <v>0</v>
      </c>
      <c r="L11" s="279">
        <v>0</v>
      </c>
      <c r="M11" s="279"/>
      <c r="N11" s="386"/>
      <c r="O11" s="279"/>
      <c r="P11" s="279"/>
      <c r="Q11" s="157"/>
      <c r="R11" s="386">
        <f t="shared" si="2"/>
        <v>0</v>
      </c>
      <c r="T11" s="390">
        <f t="shared" si="3"/>
        <v>0</v>
      </c>
      <c r="W11" s="16"/>
      <c r="X11" s="388"/>
      <c r="Y11" s="388"/>
      <c r="Z11" s="388"/>
      <c r="AA11" s="388"/>
    </row>
    <row r="12" s="6" customFormat="1" customHeight="1" spans="1:27">
      <c r="A12" s="157">
        <v>9</v>
      </c>
      <c r="B12" s="266" t="s">
        <v>404</v>
      </c>
      <c r="C12" s="279">
        <v>0</v>
      </c>
      <c r="D12" s="279">
        <v>0</v>
      </c>
      <c r="E12" s="279">
        <v>0</v>
      </c>
      <c r="F12" s="376">
        <f t="shared" si="0"/>
        <v>0</v>
      </c>
      <c r="G12" s="279">
        <v>0</v>
      </c>
      <c r="H12" s="279">
        <v>0</v>
      </c>
      <c r="I12" s="279">
        <v>0</v>
      </c>
      <c r="J12" s="376">
        <f t="shared" si="1"/>
        <v>0</v>
      </c>
      <c r="K12" s="157">
        <v>0</v>
      </c>
      <c r="L12" s="279">
        <v>0</v>
      </c>
      <c r="M12" s="279"/>
      <c r="N12" s="386"/>
      <c r="O12" s="279"/>
      <c r="P12" s="279"/>
      <c r="Q12" s="157"/>
      <c r="R12" s="386">
        <f t="shared" si="2"/>
        <v>0</v>
      </c>
      <c r="T12" s="390">
        <f t="shared" si="3"/>
        <v>0</v>
      </c>
      <c r="W12" s="16"/>
      <c r="X12" s="388"/>
      <c r="Y12" s="388"/>
      <c r="Z12" s="388"/>
      <c r="AA12" s="388"/>
    </row>
    <row r="13" s="6" customFormat="1" customHeight="1" spans="1:27">
      <c r="A13" s="157">
        <v>10</v>
      </c>
      <c r="B13" s="266" t="s">
        <v>405</v>
      </c>
      <c r="C13" s="279">
        <v>0</v>
      </c>
      <c r="D13" s="279">
        <v>0</v>
      </c>
      <c r="E13" s="279">
        <v>0</v>
      </c>
      <c r="F13" s="376">
        <f t="shared" si="0"/>
        <v>0</v>
      </c>
      <c r="G13" s="279">
        <v>0</v>
      </c>
      <c r="H13" s="279">
        <v>0</v>
      </c>
      <c r="I13" s="279">
        <v>0</v>
      </c>
      <c r="J13" s="376">
        <f t="shared" si="1"/>
        <v>0</v>
      </c>
      <c r="K13" s="157">
        <v>0</v>
      </c>
      <c r="L13" s="279">
        <v>0</v>
      </c>
      <c r="M13" s="279"/>
      <c r="N13" s="386"/>
      <c r="O13" s="279"/>
      <c r="P13" s="157"/>
      <c r="Q13" s="157"/>
      <c r="R13" s="386">
        <f t="shared" si="2"/>
        <v>0</v>
      </c>
      <c r="T13" s="390">
        <f t="shared" si="3"/>
        <v>0</v>
      </c>
      <c r="W13" s="16"/>
      <c r="X13" s="388"/>
      <c r="Y13" s="388"/>
      <c r="Z13" s="388"/>
      <c r="AA13" s="388"/>
    </row>
    <row r="14" s="6" customFormat="1" customHeight="1" spans="1:27">
      <c r="A14" s="157">
        <v>11</v>
      </c>
      <c r="B14" s="266" t="s">
        <v>406</v>
      </c>
      <c r="C14" s="279">
        <f>VLOOKUP(B14,[12]金衢!$C:$J,8,0)</f>
        <v>0</v>
      </c>
      <c r="D14" s="279">
        <v>0</v>
      </c>
      <c r="E14" s="279">
        <f>VLOOKUP(B14,[12]金衢!$C:$S,17,0)</f>
        <v>0</v>
      </c>
      <c r="F14" s="376">
        <f t="shared" si="0"/>
        <v>0</v>
      </c>
      <c r="G14" s="279">
        <f>VLOOKUP(B14,[13]金衢!$C:$Z,24,0)</f>
        <v>0</v>
      </c>
      <c r="H14" s="279">
        <f>VLOOKUP(B14,[14]金衢!$C$3:$AF$32,30,0)</f>
        <v>0</v>
      </c>
      <c r="I14" s="279">
        <f>VLOOKUP(B14,[15]金衢!$C$1:$AL$29,36,0)</f>
        <v>0</v>
      </c>
      <c r="J14" s="376">
        <f t="shared" si="1"/>
        <v>0</v>
      </c>
      <c r="K14" s="157">
        <f>VLOOKUP(B14,[16]金衢!$C:$AR,42,0)</f>
        <v>0</v>
      </c>
      <c r="L14" s="279">
        <f>VLOOKUP(B14,[17]金衢!$C$3:$AX$34,48,0)</f>
        <v>0</v>
      </c>
      <c r="M14" s="279"/>
      <c r="N14" s="386"/>
      <c r="O14" s="279"/>
      <c r="P14" s="157"/>
      <c r="Q14" s="157"/>
      <c r="R14" s="386">
        <f t="shared" si="2"/>
        <v>0</v>
      </c>
      <c r="T14" s="390">
        <f t="shared" si="3"/>
        <v>0</v>
      </c>
      <c r="W14" s="16"/>
      <c r="X14" s="388"/>
      <c r="Y14" s="388"/>
      <c r="Z14" s="388"/>
      <c r="AA14" s="388"/>
    </row>
    <row r="15" s="6" customFormat="1" customHeight="1" spans="1:27">
      <c r="A15" s="157">
        <v>12</v>
      </c>
      <c r="B15" s="266" t="s">
        <v>407</v>
      </c>
      <c r="C15" s="279">
        <f>VLOOKUP(B15,[12]金衢!$C:$J,8,0)</f>
        <v>270657</v>
      </c>
      <c r="D15" s="279">
        <f>VLOOKUP(B15,[12]金衢!$C:$M,11,0)</f>
        <v>114255</v>
      </c>
      <c r="E15" s="279">
        <f>VLOOKUP(B15,[12]金衢!$C:$S,17,0)</f>
        <v>272412</v>
      </c>
      <c r="F15" s="376">
        <f t="shared" si="0"/>
        <v>657324</v>
      </c>
      <c r="G15" s="279">
        <f>VLOOKUP(B15,[13]金衢!$C:$Z,24,0)-8894</f>
        <v>135793</v>
      </c>
      <c r="H15" s="279">
        <f>VLOOKUP(B15,[14]金衢!$C$3:$AF$32,30,0)</f>
        <v>201219</v>
      </c>
      <c r="I15" s="279">
        <f>VLOOKUP(B15,[15]金衢!$C$1:$AL$29,36,0)</f>
        <v>310376</v>
      </c>
      <c r="J15" s="376">
        <f t="shared" si="1"/>
        <v>647388</v>
      </c>
      <c r="K15" s="157">
        <f>VLOOKUP(B15,[16]金衢!$C:$AR,42,0)</f>
        <v>82249</v>
      </c>
      <c r="L15" s="279">
        <f>VLOOKUP(B15,[17]金衢!$C$3:$AX$34,48,0)</f>
        <v>82118</v>
      </c>
      <c r="M15" s="279"/>
      <c r="N15" s="386"/>
      <c r="O15" s="279"/>
      <c r="P15" s="157"/>
      <c r="Q15" s="157"/>
      <c r="R15" s="386">
        <f t="shared" si="2"/>
        <v>0</v>
      </c>
      <c r="T15" s="390">
        <f t="shared" si="3"/>
        <v>1469079</v>
      </c>
      <c r="W15" s="16"/>
      <c r="X15" s="388"/>
      <c r="Y15" s="388"/>
      <c r="Z15" s="388"/>
      <c r="AA15" s="388"/>
    </row>
    <row r="16" s="6" customFormat="1" customHeight="1" spans="1:27">
      <c r="A16" s="157">
        <v>13</v>
      </c>
      <c r="B16" s="266" t="s">
        <v>408</v>
      </c>
      <c r="C16" s="279">
        <f>VLOOKUP(B16,[12]金衢!$C:$J,8,0)</f>
        <v>-8765</v>
      </c>
      <c r="D16" s="279">
        <f>VLOOKUP(B16,[12]金衢!$C:$M,11,0)</f>
        <v>2310</v>
      </c>
      <c r="E16" s="279">
        <f>VLOOKUP(B16,[12]金衢!$C:$S,17,0)</f>
        <v>5229</v>
      </c>
      <c r="F16" s="376">
        <f t="shared" si="0"/>
        <v>-1226</v>
      </c>
      <c r="G16" s="279">
        <f>VLOOKUP(B16,[13]金衢!$C:$Z,24,0)</f>
        <v>0</v>
      </c>
      <c r="H16" s="279">
        <f>VLOOKUP(B16,[14]金衢!$C$3:$AF$32,30,0)</f>
        <v>0</v>
      </c>
      <c r="I16" s="279">
        <f>VLOOKUP(B16,[15]金衢!$C$1:$AL$29,36,0)</f>
        <v>3242</v>
      </c>
      <c r="J16" s="376">
        <f t="shared" si="1"/>
        <v>3242</v>
      </c>
      <c r="K16" s="157">
        <f>VLOOKUP(B16,[16]金衢!$C:$AR,42,0)</f>
        <v>1535</v>
      </c>
      <c r="L16" s="279">
        <f>VLOOKUP(B16,[17]金衢!$C$3:$AX$34,48,0)</f>
        <v>0</v>
      </c>
      <c r="M16" s="279"/>
      <c r="N16" s="386"/>
      <c r="O16" s="279"/>
      <c r="P16" s="157"/>
      <c r="Q16" s="157"/>
      <c r="R16" s="386">
        <f t="shared" si="2"/>
        <v>0</v>
      </c>
      <c r="T16" s="390"/>
      <c r="W16" s="16"/>
      <c r="X16" s="388"/>
      <c r="Y16" s="388"/>
      <c r="Z16" s="388"/>
      <c r="AA16" s="388"/>
    </row>
    <row r="17" s="6" customFormat="1" customHeight="1" spans="1:27">
      <c r="A17" s="157">
        <v>15</v>
      </c>
      <c r="B17" s="266" t="s">
        <v>409</v>
      </c>
      <c r="C17" s="279">
        <f>VLOOKUP(B17,[12]金衢!$C:$J,8,0)</f>
        <v>0</v>
      </c>
      <c r="D17" s="279">
        <f>VLOOKUP(B17,[12]金衢!$C:$M,11,0)</f>
        <v>0</v>
      </c>
      <c r="E17" s="279">
        <f>VLOOKUP(B17,[12]金衢!$C:$S,17,0)</f>
        <v>0</v>
      </c>
      <c r="F17" s="376">
        <f t="shared" si="0"/>
        <v>0</v>
      </c>
      <c r="G17" s="279">
        <f>VLOOKUP(B17,[13]金衢!$C:$Z,24,0)</f>
        <v>0</v>
      </c>
      <c r="H17" s="279">
        <f>VLOOKUP(B17,[14]金衢!$C$3:$AF$32,30,0)</f>
        <v>0</v>
      </c>
      <c r="I17" s="279">
        <f>VLOOKUP(B17,[15]金衢!$C$1:$AL$29,36,0)</f>
        <v>0</v>
      </c>
      <c r="J17" s="376">
        <f t="shared" si="1"/>
        <v>0</v>
      </c>
      <c r="K17" s="157">
        <f>VLOOKUP(B17,[16]金衢!$C:$AR,42,0)</f>
        <v>0</v>
      </c>
      <c r="L17" s="279">
        <f>VLOOKUP(B17,[17]金衢!$C$3:$AX$34,48,0)</f>
        <v>0</v>
      </c>
      <c r="M17" s="279"/>
      <c r="N17" s="386"/>
      <c r="O17" s="279"/>
      <c r="P17" s="157"/>
      <c r="Q17" s="157"/>
      <c r="R17" s="386">
        <f t="shared" ref="R17:R23" si="4">SUM(O17:Q17)</f>
        <v>0</v>
      </c>
      <c r="T17" s="390">
        <f t="shared" ref="T17:T24" si="5">Q17+P17+O17+M17+L17+K17+I17+H17+G17+E17+D17+C17</f>
        <v>0</v>
      </c>
      <c r="W17" s="16"/>
      <c r="X17" s="388"/>
      <c r="Y17" s="388"/>
      <c r="Z17" s="388"/>
      <c r="AA17" s="388"/>
    </row>
    <row r="18" s="6" customFormat="1" customHeight="1" spans="1:27">
      <c r="A18" s="157">
        <v>16</v>
      </c>
      <c r="B18" s="266" t="s">
        <v>410</v>
      </c>
      <c r="C18" s="279">
        <v>0</v>
      </c>
      <c r="D18" s="279">
        <v>0</v>
      </c>
      <c r="E18" s="279">
        <v>0</v>
      </c>
      <c r="F18" s="376">
        <f t="shared" si="0"/>
        <v>0</v>
      </c>
      <c r="G18" s="279">
        <v>0</v>
      </c>
      <c r="H18" s="279">
        <v>0</v>
      </c>
      <c r="I18" s="279">
        <v>0</v>
      </c>
      <c r="J18" s="376">
        <f t="shared" si="1"/>
        <v>0</v>
      </c>
      <c r="K18" s="157">
        <v>0</v>
      </c>
      <c r="L18" s="279">
        <v>0</v>
      </c>
      <c r="M18" s="279"/>
      <c r="N18" s="386"/>
      <c r="O18" s="279"/>
      <c r="P18" s="157"/>
      <c r="Q18" s="157"/>
      <c r="R18" s="386">
        <f t="shared" si="4"/>
        <v>0</v>
      </c>
      <c r="T18" s="390">
        <f t="shared" si="5"/>
        <v>0</v>
      </c>
      <c r="W18" s="16"/>
      <c r="X18" s="388"/>
      <c r="Y18" s="388"/>
      <c r="Z18" s="388"/>
      <c r="AA18" s="388"/>
    </row>
    <row r="19" s="6" customFormat="1" customHeight="1" spans="1:27">
      <c r="A19" s="157">
        <v>17</v>
      </c>
      <c r="B19" s="266" t="s">
        <v>411</v>
      </c>
      <c r="C19" s="279">
        <v>0</v>
      </c>
      <c r="D19" s="279">
        <v>0</v>
      </c>
      <c r="E19" s="279">
        <v>0</v>
      </c>
      <c r="F19" s="376">
        <f t="shared" si="0"/>
        <v>0</v>
      </c>
      <c r="G19" s="279">
        <v>0</v>
      </c>
      <c r="H19" s="279">
        <v>0</v>
      </c>
      <c r="I19" s="279">
        <v>0</v>
      </c>
      <c r="J19" s="376">
        <f t="shared" si="1"/>
        <v>0</v>
      </c>
      <c r="K19" s="157">
        <v>0</v>
      </c>
      <c r="L19" s="279">
        <v>0</v>
      </c>
      <c r="M19" s="279"/>
      <c r="N19" s="386"/>
      <c r="O19" s="279"/>
      <c r="P19" s="157"/>
      <c r="Q19" s="157"/>
      <c r="R19" s="386">
        <f t="shared" si="4"/>
        <v>0</v>
      </c>
      <c r="T19" s="390">
        <f t="shared" si="5"/>
        <v>0</v>
      </c>
      <c r="W19" s="16"/>
      <c r="X19" s="388"/>
      <c r="Y19" s="388"/>
      <c r="Z19" s="388"/>
      <c r="AA19" s="388"/>
    </row>
    <row r="20" s="6" customFormat="1" customHeight="1" spans="1:27">
      <c r="A20" s="157">
        <v>18</v>
      </c>
      <c r="B20" s="266" t="s">
        <v>412</v>
      </c>
      <c r="C20" s="279">
        <v>0</v>
      </c>
      <c r="D20" s="279">
        <v>0</v>
      </c>
      <c r="E20" s="279">
        <v>0</v>
      </c>
      <c r="F20" s="376">
        <f t="shared" si="0"/>
        <v>0</v>
      </c>
      <c r="G20" s="279">
        <v>0</v>
      </c>
      <c r="H20" s="279">
        <v>0</v>
      </c>
      <c r="I20" s="279">
        <v>0</v>
      </c>
      <c r="J20" s="376">
        <f t="shared" si="1"/>
        <v>0</v>
      </c>
      <c r="K20" s="157">
        <v>0</v>
      </c>
      <c r="L20" s="279">
        <v>0</v>
      </c>
      <c r="M20" s="279"/>
      <c r="N20" s="386"/>
      <c r="O20" s="279"/>
      <c r="P20" s="157"/>
      <c r="Q20" s="157"/>
      <c r="R20" s="386">
        <f t="shared" si="4"/>
        <v>0</v>
      </c>
      <c r="T20" s="390">
        <f t="shared" si="5"/>
        <v>0</v>
      </c>
      <c r="W20" s="16"/>
      <c r="X20" s="388"/>
      <c r="Y20" s="388"/>
      <c r="Z20" s="388"/>
      <c r="AA20" s="388"/>
    </row>
    <row r="21" s="6" customFormat="1" customHeight="1" spans="1:27">
      <c r="A21" s="157">
        <v>19</v>
      </c>
      <c r="B21" s="266" t="s">
        <v>413</v>
      </c>
      <c r="C21" s="279">
        <v>0</v>
      </c>
      <c r="D21" s="279">
        <v>0</v>
      </c>
      <c r="E21" s="279">
        <v>0</v>
      </c>
      <c r="F21" s="376">
        <f t="shared" si="0"/>
        <v>0</v>
      </c>
      <c r="G21" s="279">
        <v>0</v>
      </c>
      <c r="H21" s="279">
        <v>0</v>
      </c>
      <c r="I21" s="279">
        <v>0</v>
      </c>
      <c r="J21" s="376">
        <f t="shared" si="1"/>
        <v>0</v>
      </c>
      <c r="K21" s="157">
        <v>0</v>
      </c>
      <c r="L21" s="279">
        <v>0</v>
      </c>
      <c r="M21" s="279"/>
      <c r="N21" s="386"/>
      <c r="O21" s="279"/>
      <c r="P21" s="157"/>
      <c r="Q21" s="157"/>
      <c r="R21" s="386">
        <f t="shared" si="4"/>
        <v>0</v>
      </c>
      <c r="T21" s="390">
        <f t="shared" si="5"/>
        <v>0</v>
      </c>
      <c r="W21" s="16"/>
      <c r="X21" s="388"/>
      <c r="Y21" s="388"/>
      <c r="Z21" s="388"/>
      <c r="AA21" s="388"/>
    </row>
    <row r="22" s="6" customFormat="1" customHeight="1" spans="1:27">
      <c r="A22" s="157">
        <v>20</v>
      </c>
      <c r="B22" s="266" t="s">
        <v>414</v>
      </c>
      <c r="C22" s="279">
        <v>0</v>
      </c>
      <c r="D22" s="279">
        <v>0</v>
      </c>
      <c r="E22" s="279">
        <v>0</v>
      </c>
      <c r="F22" s="376">
        <f t="shared" si="0"/>
        <v>0</v>
      </c>
      <c r="G22" s="279">
        <v>0</v>
      </c>
      <c r="H22" s="279">
        <v>0</v>
      </c>
      <c r="I22" s="279">
        <v>0</v>
      </c>
      <c r="J22" s="376">
        <f t="shared" si="1"/>
        <v>0</v>
      </c>
      <c r="K22" s="157">
        <v>0</v>
      </c>
      <c r="L22" s="279">
        <v>0</v>
      </c>
      <c r="M22" s="279"/>
      <c r="N22" s="386"/>
      <c r="O22" s="279"/>
      <c r="P22" s="157"/>
      <c r="Q22" s="157"/>
      <c r="R22" s="386">
        <f t="shared" si="4"/>
        <v>0</v>
      </c>
      <c r="T22" s="390">
        <f t="shared" si="5"/>
        <v>0</v>
      </c>
      <c r="W22" s="16"/>
      <c r="X22" s="388"/>
      <c r="Y22" s="388"/>
      <c r="Z22" s="388"/>
      <c r="AA22" s="388"/>
    </row>
    <row r="23" s="6" customFormat="1" customHeight="1" spans="1:27">
      <c r="A23" s="157">
        <v>21</v>
      </c>
      <c r="B23" s="266" t="s">
        <v>415</v>
      </c>
      <c r="C23" s="279">
        <v>0</v>
      </c>
      <c r="D23" s="279">
        <v>0</v>
      </c>
      <c r="E23" s="279">
        <v>0</v>
      </c>
      <c r="F23" s="376">
        <f t="shared" si="0"/>
        <v>0</v>
      </c>
      <c r="G23" s="279">
        <v>0</v>
      </c>
      <c r="H23" s="279">
        <v>0</v>
      </c>
      <c r="I23" s="279">
        <v>0</v>
      </c>
      <c r="J23" s="376">
        <f t="shared" si="1"/>
        <v>0</v>
      </c>
      <c r="K23" s="157">
        <v>0</v>
      </c>
      <c r="L23" s="279">
        <v>0</v>
      </c>
      <c r="M23" s="279"/>
      <c r="N23" s="386"/>
      <c r="O23" s="279"/>
      <c r="P23" s="157"/>
      <c r="Q23" s="157"/>
      <c r="R23" s="386">
        <f t="shared" si="4"/>
        <v>0</v>
      </c>
      <c r="T23" s="390">
        <f t="shared" si="5"/>
        <v>0</v>
      </c>
      <c r="W23" s="16"/>
      <c r="X23" s="388"/>
      <c r="Y23" s="388"/>
      <c r="Z23" s="388"/>
      <c r="AA23" s="388"/>
    </row>
    <row r="24" s="6" customFormat="1" customHeight="1" spans="1:27">
      <c r="A24" s="157">
        <v>22</v>
      </c>
      <c r="B24" s="377" t="s">
        <v>416</v>
      </c>
      <c r="C24" s="279">
        <f>VLOOKUP(B24,[12]金衢!$C:$J,8,0)</f>
        <v>840</v>
      </c>
      <c r="D24" s="279">
        <f>VLOOKUP(B24,[12]金衢!$C:$M,11,0)</f>
        <v>10504</v>
      </c>
      <c r="E24" s="279">
        <f>VLOOKUP(B24,[12]金衢!$C:$S,17,0)</f>
        <v>3070</v>
      </c>
      <c r="F24" s="376">
        <f t="shared" si="0"/>
        <v>14414</v>
      </c>
      <c r="G24" s="279">
        <f>VLOOKUP(B24,[13]金衢!$C:$Z,24,0)</f>
        <v>0</v>
      </c>
      <c r="H24" s="279">
        <f>VLOOKUP(B24,[14]金衢!$C$3:$AF$32,30,0)</f>
        <v>0</v>
      </c>
      <c r="I24" s="279">
        <f>VLOOKUP(B24,[15]金衢!$C$1:$AL$29,36,0)</f>
        <v>0</v>
      </c>
      <c r="J24" s="376">
        <f t="shared" si="1"/>
        <v>0</v>
      </c>
      <c r="K24" s="157">
        <f>VLOOKUP(B24,[16]金衢!$C:$AR,42,0)</f>
        <v>0</v>
      </c>
      <c r="L24" s="279">
        <f>VLOOKUP(B24,[17]金衢!$C$3:$AX$34,48,0)</f>
        <v>0</v>
      </c>
      <c r="M24" s="279"/>
      <c r="N24" s="386"/>
      <c r="O24" s="279"/>
      <c r="P24" s="157"/>
      <c r="Q24" s="157"/>
      <c r="R24" s="386"/>
      <c r="T24" s="390"/>
      <c r="W24" s="16"/>
      <c r="X24" s="388"/>
      <c r="Y24" s="388"/>
      <c r="Z24" s="388"/>
      <c r="AA24" s="388"/>
    </row>
    <row r="25" s="6" customFormat="1" customHeight="1" spans="1:27">
      <c r="A25" s="157">
        <v>23</v>
      </c>
      <c r="B25" s="377" t="s">
        <v>417</v>
      </c>
      <c r="C25" s="279">
        <f>VLOOKUP(B25,[12]金衢!$C:$J,8,0)</f>
        <v>0</v>
      </c>
      <c r="D25" s="279">
        <f>VLOOKUP(B25,[12]金衢!$C:$M,11,0)</f>
        <v>0</v>
      </c>
      <c r="E25" s="279">
        <f>VLOOKUP(B25,[12]金衢!$C:$S,17,0)</f>
        <v>0</v>
      </c>
      <c r="F25" s="376">
        <f t="shared" si="0"/>
        <v>0</v>
      </c>
      <c r="G25" s="279">
        <f>VLOOKUP(B25,[13]金衢!$C:$Z,24,0)</f>
        <v>0</v>
      </c>
      <c r="H25" s="279">
        <f>VLOOKUP(B25,[14]金衢!$C$3:$AF$32,30,0)</f>
        <v>0</v>
      </c>
      <c r="I25" s="279">
        <f>VLOOKUP(B25,[15]金衢!$C$1:$AL$29,36,0)</f>
        <v>0</v>
      </c>
      <c r="J25" s="376">
        <f t="shared" si="1"/>
        <v>0</v>
      </c>
      <c r="K25" s="157">
        <f>VLOOKUP(B25,[16]金衢!$C:$AR,42,0)</f>
        <v>0</v>
      </c>
      <c r="L25" s="279">
        <f>VLOOKUP(B25,[17]金衢!$C$3:$AX$34,48,0)</f>
        <v>0</v>
      </c>
      <c r="M25" s="279"/>
      <c r="N25" s="386"/>
      <c r="O25" s="279"/>
      <c r="P25" s="157"/>
      <c r="Q25" s="157"/>
      <c r="R25" s="386"/>
      <c r="T25" s="390"/>
      <c r="W25" s="16"/>
      <c r="X25" s="388"/>
      <c r="Y25" s="388"/>
      <c r="Z25" s="388"/>
      <c r="AA25" s="388"/>
    </row>
    <row r="26" s="6" customFormat="1" customHeight="1" spans="1:27">
      <c r="A26" s="157">
        <v>24</v>
      </c>
      <c r="B26" s="377" t="s">
        <v>364</v>
      </c>
      <c r="C26" s="279">
        <f>VLOOKUP(B26,[12]金衢!$C:$J,8,0)</f>
        <v>0</v>
      </c>
      <c r="D26" s="279">
        <f>VLOOKUP(B26,[12]金衢!$C:$M,11,0)</f>
        <v>0</v>
      </c>
      <c r="E26" s="279">
        <f>VLOOKUP(B26,[12]金衢!$C:$S,17,0)</f>
        <v>1732</v>
      </c>
      <c r="F26" s="376">
        <f t="shared" si="0"/>
        <v>1732</v>
      </c>
      <c r="G26" s="279">
        <f>VLOOKUP(B26,[13]金衢!$C:$Z,24,0)</f>
        <v>2701</v>
      </c>
      <c r="H26" s="279">
        <f>VLOOKUP(B26,[14]金衢!$C$3:$AF$32,30,0)</f>
        <v>0</v>
      </c>
      <c r="I26" s="279">
        <f>VLOOKUP(B26,[15]金衢!$C$1:$AL$29,36,0)</f>
        <v>0</v>
      </c>
      <c r="J26" s="376">
        <f t="shared" si="1"/>
        <v>2701</v>
      </c>
      <c r="K26" s="157">
        <f>VLOOKUP(B26,[16]金衢!$C:$AR,42,0)</f>
        <v>0</v>
      </c>
      <c r="L26" s="279">
        <f>VLOOKUP(B26,[17]金衢!$C$3:$AX$34,48,0)</f>
        <v>433</v>
      </c>
      <c r="M26" s="279"/>
      <c r="N26" s="386"/>
      <c r="O26" s="279"/>
      <c r="P26" s="157"/>
      <c r="Q26" s="157"/>
      <c r="R26" s="386"/>
      <c r="T26" s="390"/>
      <c r="W26" s="16"/>
      <c r="X26" s="388"/>
      <c r="Y26" s="388"/>
      <c r="Z26" s="388"/>
      <c r="AA26" s="388"/>
    </row>
    <row r="27" s="6" customFormat="1" customHeight="1" spans="1:27">
      <c r="A27" s="157">
        <v>25</v>
      </c>
      <c r="B27" s="377" t="s">
        <v>386</v>
      </c>
      <c r="C27" s="279">
        <f>VLOOKUP(B27,[12]金衢!$C:$J,8,0)</f>
        <v>0</v>
      </c>
      <c r="D27" s="279">
        <f>VLOOKUP(B27,[12]金衢!$C:$M,11,0)</f>
        <v>12400.68</v>
      </c>
      <c r="E27" s="279">
        <f>VLOOKUP(B27,[12]金衢!$C:$S,17,0)</f>
        <v>3939.44</v>
      </c>
      <c r="F27" s="376">
        <f t="shared" si="0"/>
        <v>16340.12</v>
      </c>
      <c r="G27" s="279">
        <f>VLOOKUP(B27,[13]金衢!$C:$Z,24,0)</f>
        <v>0</v>
      </c>
      <c r="H27" s="279">
        <f>VLOOKUP(B27,[14]金衢!$C$3:$AF$32,30,0)</f>
        <v>0</v>
      </c>
      <c r="I27" s="279">
        <f>VLOOKUP(B27,[15]金衢!$C$1:$AL$29,36,0)</f>
        <v>0</v>
      </c>
      <c r="J27" s="376">
        <f t="shared" si="1"/>
        <v>0</v>
      </c>
      <c r="K27" s="157">
        <f>VLOOKUP(B27,[16]金衢!$C:$AR,42,0)</f>
        <v>0</v>
      </c>
      <c r="L27" s="279">
        <f>VLOOKUP(B27,[17]金衢!$C$3:$AX$34,48,0)</f>
        <v>0</v>
      </c>
      <c r="M27" s="279"/>
      <c r="N27" s="386"/>
      <c r="O27" s="279"/>
      <c r="P27" s="157"/>
      <c r="Q27" s="157"/>
      <c r="R27" s="386"/>
      <c r="T27" s="390"/>
      <c r="W27" s="16"/>
      <c r="X27" s="388"/>
      <c r="Y27" s="388"/>
      <c r="Z27" s="388"/>
      <c r="AA27" s="388"/>
    </row>
    <row r="28" s="6" customFormat="1" ht="19" customHeight="1" spans="1:27">
      <c r="A28" s="157">
        <v>26</v>
      </c>
      <c r="B28" s="377" t="s">
        <v>418</v>
      </c>
      <c r="C28" s="279">
        <v>0</v>
      </c>
      <c r="D28" s="279">
        <v>0</v>
      </c>
      <c r="E28" s="279">
        <v>0</v>
      </c>
      <c r="F28" s="376">
        <f t="shared" si="0"/>
        <v>0</v>
      </c>
      <c r="G28" s="279">
        <v>0</v>
      </c>
      <c r="H28" s="279">
        <v>0</v>
      </c>
      <c r="I28" s="279">
        <v>0</v>
      </c>
      <c r="J28" s="376">
        <f t="shared" si="1"/>
        <v>0</v>
      </c>
      <c r="K28" s="157">
        <v>0</v>
      </c>
      <c r="L28" s="279">
        <v>0</v>
      </c>
      <c r="M28" s="279"/>
      <c r="N28" s="386"/>
      <c r="O28" s="279"/>
      <c r="P28" s="157"/>
      <c r="Q28" s="157"/>
      <c r="R28" s="386"/>
      <c r="T28" s="390"/>
      <c r="W28" s="16"/>
      <c r="X28" s="388"/>
      <c r="Y28" s="388"/>
      <c r="Z28" s="388"/>
      <c r="AA28" s="388"/>
    </row>
    <row r="29" s="6" customFormat="1" ht="19" customHeight="1" spans="1:27">
      <c r="A29" s="157">
        <v>27</v>
      </c>
      <c r="B29" s="378" t="s">
        <v>419</v>
      </c>
      <c r="C29" s="279">
        <f>VLOOKUP(B29,[12]金衢!$C:$J,8,0)</f>
        <v>0</v>
      </c>
      <c r="D29" s="279">
        <f>VLOOKUP(B29,[12]金衢!$C:$M,11,0)</f>
        <v>0</v>
      </c>
      <c r="E29" s="279">
        <f>VLOOKUP(B29,[12]金衢!$C:$S,17,0)</f>
        <v>0</v>
      </c>
      <c r="F29" s="376">
        <f t="shared" si="0"/>
        <v>0</v>
      </c>
      <c r="G29" s="279">
        <f>VLOOKUP(B29,[13]金衢!$C:$Z,24,0)</f>
        <v>0</v>
      </c>
      <c r="H29" s="279">
        <f>VLOOKUP(B29,[14]金衢!$C$3:$AF$32,30,0)</f>
        <v>0</v>
      </c>
      <c r="I29" s="279">
        <f>VLOOKUP(B29,[15]金衢!$C$1:$AL$29,36,0)</f>
        <v>0</v>
      </c>
      <c r="J29" s="376">
        <f t="shared" si="1"/>
        <v>0</v>
      </c>
      <c r="K29" s="157">
        <f>VLOOKUP(B29,[16]金衢!$C:$AR,42,0)</f>
        <v>0</v>
      </c>
      <c r="L29" s="279">
        <f>VLOOKUP(B29,[17]金衢!$C$3:$AX$34,48,0)</f>
        <v>0</v>
      </c>
      <c r="M29" s="279"/>
      <c r="N29" s="386"/>
      <c r="O29" s="279"/>
      <c r="P29" s="157"/>
      <c r="Q29" s="157"/>
      <c r="R29" s="386"/>
      <c r="T29" s="390"/>
      <c r="W29" s="16"/>
      <c r="X29" s="388"/>
      <c r="Y29" s="388"/>
      <c r="Z29" s="388"/>
      <c r="AA29" s="388"/>
    </row>
    <row r="30" s="6" customFormat="1" ht="19" customHeight="1" spans="1:27">
      <c r="A30" s="157">
        <v>28</v>
      </c>
      <c r="B30" s="379" t="s">
        <v>420</v>
      </c>
      <c r="C30" s="279">
        <f>VLOOKUP(B30,[12]金衢!$C:$J,8,0)</f>
        <v>4928</v>
      </c>
      <c r="D30" s="279">
        <f>VLOOKUP(B30,[12]金衢!$C:$M,11,0)</f>
        <v>0</v>
      </c>
      <c r="E30" s="279">
        <f>VLOOKUP(B30,[12]金衢!$C:$S,17,0)</f>
        <v>22339</v>
      </c>
      <c r="F30" s="376">
        <f t="shared" si="0"/>
        <v>27267</v>
      </c>
      <c r="G30" s="279">
        <f>VLOOKUP(B30,[13]金衢!$C:$Z,24,0)</f>
        <v>0</v>
      </c>
      <c r="H30" s="279">
        <f>VLOOKUP(B30,[14]金衢!$C$3:$AF$32,30,0)</f>
        <v>0</v>
      </c>
      <c r="I30" s="279">
        <f>VLOOKUP(B30,[15]金衢!$C$1:$AL$29,36,0)</f>
        <v>0</v>
      </c>
      <c r="J30" s="376">
        <f t="shared" si="1"/>
        <v>0</v>
      </c>
      <c r="K30" s="157">
        <f>VLOOKUP(B30,[16]金衢!$C:$AR,42,0)</f>
        <v>0</v>
      </c>
      <c r="L30" s="279">
        <f>VLOOKUP(B30,[17]金衢!$C$3:$AX$34,48,0)</f>
        <v>0</v>
      </c>
      <c r="M30" s="279"/>
      <c r="N30" s="386"/>
      <c r="O30" s="279"/>
      <c r="P30" s="157"/>
      <c r="Q30" s="157"/>
      <c r="R30" s="386"/>
      <c r="T30" s="390"/>
      <c r="W30" s="16"/>
      <c r="X30" s="388"/>
      <c r="Y30" s="388"/>
      <c r="Z30" s="388"/>
      <c r="AA30" s="388"/>
    </row>
    <row r="31" s="6" customFormat="1" ht="19" customHeight="1" spans="1:27">
      <c r="A31" s="157">
        <v>29</v>
      </c>
      <c r="B31" s="379" t="s">
        <v>421</v>
      </c>
      <c r="C31" s="279">
        <v>3668</v>
      </c>
      <c r="D31" s="279">
        <v>0</v>
      </c>
      <c r="E31" s="279">
        <v>5945</v>
      </c>
      <c r="F31" s="376">
        <f t="shared" si="0"/>
        <v>9613</v>
      </c>
      <c r="G31" s="368">
        <f>8894+12000</f>
        <v>20894</v>
      </c>
      <c r="H31" s="279">
        <v>0</v>
      </c>
      <c r="I31" s="368">
        <v>2502</v>
      </c>
      <c r="J31" s="376">
        <f t="shared" si="1"/>
        <v>23396</v>
      </c>
      <c r="K31" s="157">
        <v>0</v>
      </c>
      <c r="L31" s="279">
        <v>0</v>
      </c>
      <c r="M31" s="279"/>
      <c r="N31" s="386"/>
      <c r="O31" s="279"/>
      <c r="P31" s="157"/>
      <c r="Q31" s="157"/>
      <c r="R31" s="386"/>
      <c r="T31" s="390"/>
      <c r="W31" s="16"/>
      <c r="X31" s="388"/>
      <c r="Y31" s="388"/>
      <c r="Z31" s="388"/>
      <c r="AA31" s="388"/>
    </row>
    <row r="32" s="6" customFormat="1" ht="19" customHeight="1" spans="1:27">
      <c r="A32" s="157">
        <v>30</v>
      </c>
      <c r="B32" s="378" t="s">
        <v>422</v>
      </c>
      <c r="C32" s="279"/>
      <c r="D32" s="279"/>
      <c r="E32" s="279"/>
      <c r="F32" s="376"/>
      <c r="G32" s="279">
        <v>150000</v>
      </c>
      <c r="H32" s="279">
        <f>VLOOKUP(B32,[14]金衢!$C$3:$AF$32,30,0)</f>
        <v>0</v>
      </c>
      <c r="I32" s="279">
        <f>VLOOKUP(B32,[15]金衢!$C$1:$AL$29,36,0)</f>
        <v>0</v>
      </c>
      <c r="J32" s="376">
        <f t="shared" si="1"/>
        <v>150000</v>
      </c>
      <c r="K32" s="157">
        <f>VLOOKUP(B32,[16]金衢!$C:$AR,42,0)</f>
        <v>0</v>
      </c>
      <c r="L32" s="279">
        <f>VLOOKUP(B32,[17]金衢!$C$3:$AX$34,48,0)</f>
        <v>0</v>
      </c>
      <c r="M32" s="279"/>
      <c r="N32" s="386"/>
      <c r="O32" s="279"/>
      <c r="P32" s="157"/>
      <c r="Q32" s="157"/>
      <c r="R32" s="386"/>
      <c r="T32" s="390"/>
      <c r="W32" s="16"/>
      <c r="X32" s="388"/>
      <c r="Y32" s="388"/>
      <c r="Z32" s="388"/>
      <c r="AA32" s="388"/>
    </row>
    <row r="33" s="6" customFormat="1" ht="19" customHeight="1" spans="1:27">
      <c r="A33" s="157">
        <v>31</v>
      </c>
      <c r="B33" s="378" t="s">
        <v>423</v>
      </c>
      <c r="C33" s="279"/>
      <c r="D33" s="279"/>
      <c r="E33" s="279"/>
      <c r="F33" s="376"/>
      <c r="G33" s="279"/>
      <c r="H33" s="279">
        <f>VLOOKUP(B33,[14]金衢!$C$3:$AF$32,30,0)</f>
        <v>10781</v>
      </c>
      <c r="I33" s="279">
        <f>VLOOKUP(B33,[15]金衢!$C$1:$AL$29,36,0)</f>
        <v>11769</v>
      </c>
      <c r="J33" s="376">
        <f t="shared" si="1"/>
        <v>22550</v>
      </c>
      <c r="K33" s="157">
        <f>VLOOKUP(B33,[16]金衢!$C:$AR,42,0)</f>
        <v>22469</v>
      </c>
      <c r="L33" s="279">
        <f>VLOOKUP(B33,[17]金衢!$C$3:$AX$34,48,0)</f>
        <v>2200</v>
      </c>
      <c r="M33" s="279"/>
      <c r="N33" s="386"/>
      <c r="O33" s="279"/>
      <c r="P33" s="157"/>
      <c r="Q33" s="157"/>
      <c r="R33" s="386"/>
      <c r="T33" s="390"/>
      <c r="W33" s="16"/>
      <c r="X33" s="388"/>
      <c r="Y33" s="388"/>
      <c r="Z33" s="388"/>
      <c r="AA33" s="388"/>
    </row>
    <row r="34" s="6" customFormat="1" ht="19" customHeight="1" spans="1:27">
      <c r="A34" s="157">
        <v>32</v>
      </c>
      <c r="B34" s="378" t="s">
        <v>424</v>
      </c>
      <c r="C34" s="279"/>
      <c r="D34" s="279"/>
      <c r="E34" s="279"/>
      <c r="F34" s="376"/>
      <c r="G34" s="279"/>
      <c r="H34" s="279"/>
      <c r="I34" s="279"/>
      <c r="J34" s="376"/>
      <c r="K34" s="157">
        <v>1918</v>
      </c>
      <c r="L34" s="279">
        <f>VLOOKUP(B34,[17]金衢!$C$3:$AX$34,48,0)</f>
        <v>868</v>
      </c>
      <c r="M34" s="279"/>
      <c r="N34" s="386"/>
      <c r="O34" s="279"/>
      <c r="P34" s="157"/>
      <c r="Q34" s="157"/>
      <c r="R34" s="386"/>
      <c r="T34" s="390"/>
      <c r="U34" s="6" t="s">
        <v>425</v>
      </c>
      <c r="W34" s="16"/>
      <c r="X34" s="388"/>
      <c r="Y34" s="388"/>
      <c r="Z34" s="388"/>
      <c r="AA34" s="388"/>
    </row>
    <row r="35" s="371" customFormat="1" customHeight="1" spans="1:27">
      <c r="A35" s="380"/>
      <c r="B35" s="381" t="s">
        <v>11</v>
      </c>
      <c r="C35" s="382">
        <f>SUM(C4:C33)</f>
        <v>462867.19</v>
      </c>
      <c r="D35" s="382">
        <f t="shared" ref="D35:R35" si="6">SUM(D4:D33)</f>
        <v>181775.48</v>
      </c>
      <c r="E35" s="382">
        <f t="shared" si="6"/>
        <v>655716.11</v>
      </c>
      <c r="F35" s="368">
        <f t="shared" si="6"/>
        <v>1300358.78</v>
      </c>
      <c r="G35" s="382">
        <f t="shared" si="6"/>
        <v>555380.1</v>
      </c>
      <c r="H35" s="382">
        <f t="shared" si="6"/>
        <v>405019.03</v>
      </c>
      <c r="I35" s="382">
        <f t="shared" si="6"/>
        <v>569645.98</v>
      </c>
      <c r="J35" s="368">
        <f t="shared" si="6"/>
        <v>1530045.11</v>
      </c>
      <c r="K35" s="382">
        <f>SUM(K4:K34)</f>
        <v>233033.42</v>
      </c>
      <c r="L35" s="382">
        <f>SUM(L4:L34)</f>
        <v>85619</v>
      </c>
      <c r="M35" s="382">
        <f t="shared" si="6"/>
        <v>0</v>
      </c>
      <c r="N35" s="382">
        <f t="shared" si="6"/>
        <v>0</v>
      </c>
      <c r="O35" s="382">
        <f t="shared" si="6"/>
        <v>0</v>
      </c>
      <c r="P35" s="382">
        <f t="shared" si="6"/>
        <v>0</v>
      </c>
      <c r="Q35" s="382">
        <f t="shared" si="6"/>
        <v>0</v>
      </c>
      <c r="R35" s="382">
        <f t="shared" si="6"/>
        <v>0</v>
      </c>
      <c r="T35" s="391">
        <f>Q35+P35+O35+M35+L35+K35+I35+H35+G35+E35+D35+C35</f>
        <v>3149056.31</v>
      </c>
      <c r="W35" s="392"/>
      <c r="X35" s="393"/>
      <c r="Y35" s="393"/>
      <c r="Z35" s="393"/>
      <c r="AA35" s="393"/>
    </row>
    <row r="36" s="371" customFormat="1" customHeight="1" spans="1:27">
      <c r="A36" s="380"/>
      <c r="B36" s="381" t="s">
        <v>426</v>
      </c>
      <c r="C36" s="382">
        <f>C35-C14-C15</f>
        <v>192210.19</v>
      </c>
      <c r="D36" s="382">
        <f t="shared" ref="D36:R36" si="7">D35-D14-D15</f>
        <v>67520.48</v>
      </c>
      <c r="E36" s="382">
        <f t="shared" si="7"/>
        <v>383304.11</v>
      </c>
      <c r="F36" s="376">
        <f>SUM(C36:E36)</f>
        <v>643034.78</v>
      </c>
      <c r="G36" s="382">
        <f t="shared" si="7"/>
        <v>419587.1</v>
      </c>
      <c r="H36" s="382">
        <f t="shared" si="7"/>
        <v>203800.03</v>
      </c>
      <c r="I36" s="382">
        <f t="shared" si="7"/>
        <v>259269.98</v>
      </c>
      <c r="J36" s="368">
        <f t="shared" si="7"/>
        <v>882657.11</v>
      </c>
      <c r="K36" s="382">
        <f t="shared" si="7"/>
        <v>150784.42</v>
      </c>
      <c r="L36" s="382">
        <f t="shared" si="7"/>
        <v>3501</v>
      </c>
      <c r="M36" s="382">
        <f t="shared" si="7"/>
        <v>0</v>
      </c>
      <c r="N36" s="382">
        <f t="shared" si="7"/>
        <v>0</v>
      </c>
      <c r="O36" s="382">
        <f t="shared" si="7"/>
        <v>0</v>
      </c>
      <c r="P36" s="382">
        <f t="shared" si="7"/>
        <v>0</v>
      </c>
      <c r="Q36" s="382">
        <f t="shared" si="7"/>
        <v>0</v>
      </c>
      <c r="R36" s="382">
        <f t="shared" si="7"/>
        <v>0</v>
      </c>
      <c r="T36" s="391"/>
      <c r="W36" s="392"/>
      <c r="X36" s="393"/>
      <c r="Y36" s="393"/>
      <c r="Z36" s="393"/>
      <c r="AA36" s="393"/>
    </row>
    <row r="37" s="6" customFormat="1" customHeight="1" spans="1:27">
      <c r="A37" s="193" t="s">
        <v>427</v>
      </c>
      <c r="B37" s="140"/>
      <c r="C37" s="288"/>
      <c r="D37" s="288"/>
      <c r="E37" s="288"/>
      <c r="F37" s="383"/>
      <c r="G37" s="288"/>
      <c r="H37" s="4"/>
      <c r="I37" s="288"/>
      <c r="J37" s="372"/>
      <c r="K37" s="4"/>
      <c r="L37" s="4"/>
      <c r="M37" s="4"/>
      <c r="N37" s="387"/>
      <c r="O37" s="4"/>
      <c r="P37" s="4"/>
      <c r="Q37" s="4"/>
      <c r="R37" s="387"/>
      <c r="T37" s="390"/>
      <c r="W37" s="16"/>
      <c r="X37" s="388"/>
      <c r="Y37" s="388"/>
      <c r="Z37" s="388"/>
      <c r="AA37" s="388"/>
    </row>
    <row r="38" s="6" customFormat="1" customHeight="1" spans="1:27">
      <c r="A38" s="157">
        <v>1</v>
      </c>
      <c r="B38" s="266" t="s">
        <v>428</v>
      </c>
      <c r="C38" s="279">
        <f>VLOOKUP(B38,[12]金衢!$C:$J,8,0)</f>
        <v>211568</v>
      </c>
      <c r="D38" s="279">
        <f>VLOOKUP(B38,[12]金衢!$C:$M,11,0)</f>
        <v>126251</v>
      </c>
      <c r="E38" s="279">
        <f>VLOOKUP(B38,[12]金衢!$C:$S,17,0)</f>
        <v>164562</v>
      </c>
      <c r="F38" s="376">
        <f>SUM(C38:E38)</f>
        <v>502381</v>
      </c>
      <c r="G38" s="279">
        <f>VLOOKUP(B38,[13]金衢!$C:$Z,24,0)</f>
        <v>103867</v>
      </c>
      <c r="H38" s="279">
        <f>VLOOKUP(B38,[14]金衢!$C$3:$AF$32,30,0)</f>
        <v>136346</v>
      </c>
      <c r="I38" s="279">
        <f>VLOOKUP(B38,[15]金衢!$C$1:$AL$29,36,0)</f>
        <v>208633</v>
      </c>
      <c r="J38" s="376">
        <f>SUM(G38:I38)</f>
        <v>448846</v>
      </c>
      <c r="K38" s="157">
        <f>VLOOKUP(B38,[16]金衢!$C:$AR,42,0)</f>
        <v>124398</v>
      </c>
      <c r="L38" s="279">
        <f>VLOOKUP(B38,[17]金衢!$C$3:$AX$34,48,0)</f>
        <v>61741</v>
      </c>
      <c r="M38" s="279"/>
      <c r="N38" s="386"/>
      <c r="O38" s="279"/>
      <c r="P38" s="157"/>
      <c r="Q38" s="157"/>
      <c r="R38" s="386">
        <f t="shared" ref="R38:R46" si="8">SUM(O38:Q38)</f>
        <v>0</v>
      </c>
      <c r="T38" s="390">
        <f>Q38+P38+O38+M38+L38+K38+I38+H38+G38+E38+D38+C38</f>
        <v>1137366</v>
      </c>
      <c r="W38" s="16"/>
      <c r="X38" s="388"/>
      <c r="Y38" s="388"/>
      <c r="Z38" s="388"/>
      <c r="AA38" s="388"/>
    </row>
    <row r="39" s="6" customFormat="1" customHeight="1" spans="1:27">
      <c r="A39" s="157">
        <v>2</v>
      </c>
      <c r="B39" s="266" t="s">
        <v>429</v>
      </c>
      <c r="C39" s="279">
        <v>0</v>
      </c>
      <c r="D39" s="279">
        <v>0</v>
      </c>
      <c r="E39" s="279">
        <v>0</v>
      </c>
      <c r="F39" s="376">
        <f t="shared" ref="F39:F48" si="9">SUM(C39:E39)</f>
        <v>0</v>
      </c>
      <c r="G39" s="279">
        <v>0</v>
      </c>
      <c r="H39" s="279">
        <v>0</v>
      </c>
      <c r="I39" s="279">
        <v>0</v>
      </c>
      <c r="J39" s="376">
        <f t="shared" ref="J39:J47" si="10">SUM(G39:I39)</f>
        <v>0</v>
      </c>
      <c r="K39" s="157">
        <v>0</v>
      </c>
      <c r="L39" s="279">
        <v>0</v>
      </c>
      <c r="M39" s="279"/>
      <c r="N39" s="386"/>
      <c r="O39" s="279"/>
      <c r="P39" s="157"/>
      <c r="Q39" s="157"/>
      <c r="R39" s="386">
        <f t="shared" si="8"/>
        <v>0</v>
      </c>
      <c r="T39" s="390">
        <f t="shared" ref="T39:T43" si="11">Q39+P39+O39+M39+L39+K39+I39+H39+G39+E39+D39+C39</f>
        <v>0</v>
      </c>
      <c r="W39" s="16"/>
      <c r="X39" s="388"/>
      <c r="Y39" s="388"/>
      <c r="Z39" s="388"/>
      <c r="AA39" s="388"/>
    </row>
    <row r="40" s="6" customFormat="1" customHeight="1" spans="1:27">
      <c r="A40" s="157">
        <v>3</v>
      </c>
      <c r="B40" s="266" t="s">
        <v>430</v>
      </c>
      <c r="C40" s="279">
        <v>0</v>
      </c>
      <c r="D40" s="279">
        <v>0</v>
      </c>
      <c r="E40" s="279">
        <v>0</v>
      </c>
      <c r="F40" s="376">
        <f t="shared" si="9"/>
        <v>0</v>
      </c>
      <c r="G40" s="279">
        <v>0</v>
      </c>
      <c r="H40" s="279">
        <v>0</v>
      </c>
      <c r="I40" s="279">
        <v>0</v>
      </c>
      <c r="J40" s="376">
        <f t="shared" si="10"/>
        <v>0</v>
      </c>
      <c r="K40" s="157">
        <v>0</v>
      </c>
      <c r="L40" s="279">
        <v>0</v>
      </c>
      <c r="M40" s="279"/>
      <c r="N40" s="386"/>
      <c r="O40" s="279"/>
      <c r="P40" s="157"/>
      <c r="Q40" s="157"/>
      <c r="R40" s="386">
        <f t="shared" si="8"/>
        <v>0</v>
      </c>
      <c r="T40" s="390">
        <f t="shared" si="11"/>
        <v>0</v>
      </c>
      <c r="W40" s="16"/>
      <c r="X40" s="388"/>
      <c r="Y40" s="388"/>
      <c r="Z40" s="388"/>
      <c r="AA40" s="388"/>
    </row>
    <row r="41" s="6" customFormat="1" customHeight="1" spans="1:27">
      <c r="A41" s="157">
        <v>4</v>
      </c>
      <c r="B41" s="266" t="s">
        <v>431</v>
      </c>
      <c r="C41" s="279">
        <v>0</v>
      </c>
      <c r="D41" s="279">
        <v>0</v>
      </c>
      <c r="E41" s="279">
        <v>0</v>
      </c>
      <c r="F41" s="376">
        <f t="shared" si="9"/>
        <v>0</v>
      </c>
      <c r="G41" s="279">
        <v>0</v>
      </c>
      <c r="H41" s="279">
        <v>0</v>
      </c>
      <c r="I41" s="279">
        <v>0</v>
      </c>
      <c r="J41" s="376">
        <f t="shared" si="10"/>
        <v>0</v>
      </c>
      <c r="K41" s="157">
        <v>0</v>
      </c>
      <c r="L41" s="279">
        <v>0</v>
      </c>
      <c r="M41" s="279"/>
      <c r="N41" s="386"/>
      <c r="O41" s="279"/>
      <c r="P41" s="157"/>
      <c r="Q41" s="157"/>
      <c r="R41" s="386">
        <f t="shared" si="8"/>
        <v>0</v>
      </c>
      <c r="T41" s="390">
        <f t="shared" si="11"/>
        <v>0</v>
      </c>
      <c r="W41" s="16"/>
      <c r="X41" s="388"/>
      <c r="Y41" s="388"/>
      <c r="Z41" s="388"/>
      <c r="AA41" s="388"/>
    </row>
    <row r="42" s="6" customFormat="1" customHeight="1" spans="1:27">
      <c r="A42" s="157">
        <v>5</v>
      </c>
      <c r="B42" s="266" t="s">
        <v>432</v>
      </c>
      <c r="C42" s="279">
        <f>VLOOKUP(B42,[12]金衢!$C:$J,8,0)</f>
        <v>30730</v>
      </c>
      <c r="D42" s="279">
        <f>VLOOKUP(B42,[12]金衢!$C:$M,11,0)</f>
        <v>0</v>
      </c>
      <c r="E42" s="279">
        <f>VLOOKUP(B42,[12]金衢!$C:$S,17,0)</f>
        <v>31852</v>
      </c>
      <c r="F42" s="376">
        <f t="shared" si="9"/>
        <v>62582</v>
      </c>
      <c r="G42" s="279">
        <f>VLOOKUP(B42,[13]金衢!$C:$Z,24,0)</f>
        <v>39671</v>
      </c>
      <c r="H42" s="279">
        <f>VLOOKUP(B42,[14]金衢!$C$3:$AF$32,30,0)</f>
        <v>48396</v>
      </c>
      <c r="I42" s="279">
        <f>VLOOKUP(B42,[15]金衢!$C$1:$AL$29,36,0)</f>
        <v>79258</v>
      </c>
      <c r="J42" s="376">
        <f t="shared" si="10"/>
        <v>167325</v>
      </c>
      <c r="K42" s="157">
        <f>VLOOKUP(B42,[16]金衢!$C:$AR,42,0)</f>
        <v>0</v>
      </c>
      <c r="L42" s="279">
        <f>VLOOKUP(B42,[17]金衢!$C$3:$AX$34,48,0)</f>
        <v>11352</v>
      </c>
      <c r="M42" s="279"/>
      <c r="N42" s="386"/>
      <c r="O42" s="279"/>
      <c r="P42" s="157"/>
      <c r="Q42" s="157"/>
      <c r="R42" s="386">
        <f t="shared" si="8"/>
        <v>0</v>
      </c>
      <c r="T42" s="390">
        <f t="shared" si="11"/>
        <v>241259</v>
      </c>
      <c r="W42" s="16"/>
      <c r="X42" s="388"/>
      <c r="Y42" s="388"/>
      <c r="Z42" s="388"/>
      <c r="AA42" s="388"/>
    </row>
    <row r="43" s="6" customFormat="1" customHeight="1" spans="1:27">
      <c r="A43" s="157">
        <v>6</v>
      </c>
      <c r="B43" s="384" t="s">
        <v>433</v>
      </c>
      <c r="C43" s="279">
        <f>VLOOKUP(B43,[12]金衢!$C:$J,8,0)</f>
        <v>0</v>
      </c>
      <c r="D43" s="279">
        <f>VLOOKUP(B43,[12]金衢!$C:$M,11,0)</f>
        <v>0</v>
      </c>
      <c r="E43" s="279">
        <f>VLOOKUP(B43,[12]金衢!$C:$S,17,0)</f>
        <v>0</v>
      </c>
      <c r="F43" s="376">
        <f t="shared" si="9"/>
        <v>0</v>
      </c>
      <c r="G43" s="279">
        <f>VLOOKUP(B43,[13]金衢!$C:$Z,24,0)</f>
        <v>0</v>
      </c>
      <c r="H43" s="279">
        <f>VLOOKUP(B43,[14]金衢!$C$3:$AF$32,30,0)</f>
        <v>0</v>
      </c>
      <c r="I43" s="279">
        <f>VLOOKUP(B43,[15]金衢!$C$1:$AL$29,36,0)</f>
        <v>0</v>
      </c>
      <c r="J43" s="376">
        <f t="shared" si="10"/>
        <v>0</v>
      </c>
      <c r="K43" s="157">
        <f>VLOOKUP(B43,[16]金衢!$C:$AR,42,0)</f>
        <v>0</v>
      </c>
      <c r="L43" s="279">
        <f>VLOOKUP(B43,[17]金衢!$C$3:$AX$34,48,0)</f>
        <v>0</v>
      </c>
      <c r="M43" s="279"/>
      <c r="N43" s="386"/>
      <c r="O43" s="279"/>
      <c r="P43" s="157"/>
      <c r="Q43" s="157"/>
      <c r="R43" s="386">
        <f t="shared" si="8"/>
        <v>0</v>
      </c>
      <c r="T43" s="390">
        <f t="shared" si="11"/>
        <v>0</v>
      </c>
      <c r="W43" s="16"/>
      <c r="X43" s="388"/>
      <c r="Y43" s="388"/>
      <c r="Z43" s="388"/>
      <c r="AA43" s="388"/>
    </row>
    <row r="44" s="6" customFormat="1" customHeight="1" spans="1:27">
      <c r="A44" s="157">
        <v>7</v>
      </c>
      <c r="B44" s="266" t="s">
        <v>434</v>
      </c>
      <c r="C44" s="279">
        <f>VLOOKUP(B44,[12]金衢!$C:$J,8,0)</f>
        <v>2310</v>
      </c>
      <c r="D44" s="279">
        <f>VLOOKUP(B44,[12]金衢!$C:$M,11,0)</f>
        <v>3302</v>
      </c>
      <c r="E44" s="279">
        <f>VLOOKUP(B44,[12]金衢!$C:$S,17,0)</f>
        <v>0</v>
      </c>
      <c r="F44" s="376">
        <f t="shared" si="9"/>
        <v>5612</v>
      </c>
      <c r="G44" s="279">
        <f>VLOOKUP(B44,[13]金衢!$C:$Z,24,0)</f>
        <v>0</v>
      </c>
      <c r="H44" s="279">
        <f>VLOOKUP(B44,[14]金衢!$C$3:$AF$32,30,0)</f>
        <v>0</v>
      </c>
      <c r="I44" s="279">
        <f>VLOOKUP(B44,[15]金衢!$C$1:$AL$29,36,0)</f>
        <v>0</v>
      </c>
      <c r="J44" s="376">
        <f t="shared" si="10"/>
        <v>0</v>
      </c>
      <c r="K44" s="157">
        <f>VLOOKUP(B44,[16]金衢!$C:$AR,42,0)</f>
        <v>4354</v>
      </c>
      <c r="L44" s="279">
        <f>VLOOKUP(B44,[17]金衢!$C$3:$AX$34,48,0)</f>
        <v>0</v>
      </c>
      <c r="M44" s="279"/>
      <c r="N44" s="386"/>
      <c r="O44" s="279"/>
      <c r="P44" s="157"/>
      <c r="Q44" s="157"/>
      <c r="R44" s="386">
        <f t="shared" si="8"/>
        <v>0</v>
      </c>
      <c r="T44" s="390"/>
      <c r="W44" s="16"/>
      <c r="X44" s="388"/>
      <c r="Y44" s="388"/>
      <c r="Z44" s="388"/>
      <c r="AA44" s="388"/>
    </row>
    <row r="45" s="6" customFormat="1" customHeight="1" spans="1:27">
      <c r="A45" s="157">
        <v>8</v>
      </c>
      <c r="B45" s="266" t="s">
        <v>435</v>
      </c>
      <c r="C45" s="279">
        <f>VLOOKUP(B45,[12]金衢!$C:$J,8,0)</f>
        <v>0</v>
      </c>
      <c r="D45" s="279">
        <f>VLOOKUP(B45,[12]金衢!$C:$M,11,0)</f>
        <v>0</v>
      </c>
      <c r="E45" s="279">
        <f>VLOOKUP(B45,[12]金衢!$C:$S,17,0)</f>
        <v>0</v>
      </c>
      <c r="F45" s="376">
        <f t="shared" si="9"/>
        <v>0</v>
      </c>
      <c r="G45" s="279">
        <f>VLOOKUP(B45,[13]金衢!$C:$Z,24,0)</f>
        <v>0</v>
      </c>
      <c r="H45" s="279">
        <f>VLOOKUP(B45,[14]金衢!$C$3:$AF$32,30,0)</f>
        <v>0</v>
      </c>
      <c r="I45" s="279">
        <f>VLOOKUP(B45,[15]金衢!$C$1:$AL$29,36,0)</f>
        <v>0</v>
      </c>
      <c r="J45" s="376">
        <f t="shared" si="10"/>
        <v>0</v>
      </c>
      <c r="K45" s="157">
        <f>VLOOKUP(B45,[16]金衢!$C:$AR,42,0)</f>
        <v>0</v>
      </c>
      <c r="L45" s="279">
        <f>VLOOKUP(B45,[17]金衢!$C$3:$AX$34,48,0)</f>
        <v>0</v>
      </c>
      <c r="M45" s="279"/>
      <c r="N45" s="386"/>
      <c r="O45" s="279"/>
      <c r="P45" s="157"/>
      <c r="Q45" s="157"/>
      <c r="R45" s="386">
        <f t="shared" si="8"/>
        <v>0</v>
      </c>
      <c r="T45" s="390"/>
      <c r="W45" s="16"/>
      <c r="X45" s="388"/>
      <c r="Y45" s="388"/>
      <c r="Z45" s="388"/>
      <c r="AA45" s="388"/>
    </row>
    <row r="46" s="6" customFormat="1" customHeight="1" spans="1:27">
      <c r="A46" s="157">
        <v>9</v>
      </c>
      <c r="B46" s="266" t="s">
        <v>436</v>
      </c>
      <c r="C46" s="279">
        <v>0</v>
      </c>
      <c r="D46" s="279">
        <v>0</v>
      </c>
      <c r="E46" s="279">
        <v>0</v>
      </c>
      <c r="F46" s="376">
        <f t="shared" si="9"/>
        <v>0</v>
      </c>
      <c r="G46" s="279">
        <v>0</v>
      </c>
      <c r="H46" s="279">
        <v>0</v>
      </c>
      <c r="I46" s="279">
        <v>0</v>
      </c>
      <c r="J46" s="376">
        <f t="shared" si="10"/>
        <v>0</v>
      </c>
      <c r="K46" s="157">
        <v>0</v>
      </c>
      <c r="L46" s="279">
        <v>0</v>
      </c>
      <c r="M46" s="279"/>
      <c r="N46" s="386"/>
      <c r="O46" s="279"/>
      <c r="P46" s="157"/>
      <c r="Q46" s="157"/>
      <c r="R46" s="386">
        <f t="shared" si="8"/>
        <v>0</v>
      </c>
      <c r="T46" s="390">
        <f>Q46+P46+O46+M46+L46+K46+I46+H46+G46+E46+D46+C46</f>
        <v>0</v>
      </c>
      <c r="W46" s="16"/>
      <c r="X46" s="388"/>
      <c r="Y46" s="388"/>
      <c r="Z46" s="388"/>
      <c r="AA46" s="388"/>
    </row>
    <row r="47" s="6" customFormat="1" customHeight="1" spans="1:27">
      <c r="A47" s="157">
        <v>10</v>
      </c>
      <c r="B47" s="266" t="s">
        <v>437</v>
      </c>
      <c r="C47" s="279">
        <f>VLOOKUP(B47,[12]金衢!$C:$J,8,0)</f>
        <v>5688</v>
      </c>
      <c r="D47" s="279">
        <f>VLOOKUP(B47,[12]金衢!$C:$M,11,0)</f>
        <v>0</v>
      </c>
      <c r="E47" s="279">
        <f>VLOOKUP(B47,[12]金衢!$C:$S,17,0)</f>
        <v>2300</v>
      </c>
      <c r="F47" s="376">
        <f t="shared" si="9"/>
        <v>7988</v>
      </c>
      <c r="G47" s="279">
        <f>VLOOKUP(B47,[13]金衢!$C:$Z,24,0)</f>
        <v>0</v>
      </c>
      <c r="H47" s="279">
        <f>VLOOKUP(B47,[14]金衢!$C$3:$AF$32,30,0)</f>
        <v>0</v>
      </c>
      <c r="I47" s="279">
        <f>VLOOKUP(B47,[15]金衢!$C$1:$AL$29,36,0)</f>
        <v>0</v>
      </c>
      <c r="J47" s="376">
        <f t="shared" si="10"/>
        <v>0</v>
      </c>
      <c r="K47" s="157">
        <f>VLOOKUP(B47,[16]金衢!$C:$AR,42,0)</f>
        <v>0</v>
      </c>
      <c r="L47" s="279">
        <f>VLOOKUP(B47,[17]金衢!$C$3:$AX$34,48,0)</f>
        <v>0</v>
      </c>
      <c r="M47" s="279"/>
      <c r="N47" s="386"/>
      <c r="O47" s="279"/>
      <c r="P47" s="157"/>
      <c r="Q47" s="157"/>
      <c r="R47" s="386"/>
      <c r="T47" s="390"/>
      <c r="W47" s="16"/>
      <c r="X47" s="388"/>
      <c r="Y47" s="388"/>
      <c r="Z47" s="388"/>
      <c r="AA47" s="388"/>
    </row>
    <row r="48" s="371" customFormat="1" customHeight="1" spans="1:27">
      <c r="A48" s="380"/>
      <c r="B48" s="381" t="s">
        <v>11</v>
      </c>
      <c r="C48" s="382">
        <f>SUM(C38:C47)</f>
        <v>250296</v>
      </c>
      <c r="D48" s="382">
        <f t="shared" ref="D48:R48" si="12">SUM(D38:D47)</f>
        <v>129553</v>
      </c>
      <c r="E48" s="382">
        <f t="shared" si="12"/>
        <v>198714</v>
      </c>
      <c r="F48" s="368">
        <f t="shared" si="12"/>
        <v>578563</v>
      </c>
      <c r="G48" s="382">
        <f t="shared" si="12"/>
        <v>143538</v>
      </c>
      <c r="H48" s="382">
        <f t="shared" si="12"/>
        <v>184742</v>
      </c>
      <c r="I48" s="382">
        <f t="shared" si="12"/>
        <v>287891</v>
      </c>
      <c r="J48" s="368">
        <f t="shared" si="12"/>
        <v>616171</v>
      </c>
      <c r="K48" s="382">
        <f t="shared" si="12"/>
        <v>128752</v>
      </c>
      <c r="L48" s="382">
        <f t="shared" si="12"/>
        <v>73093</v>
      </c>
      <c r="M48" s="382">
        <f t="shared" si="12"/>
        <v>0</v>
      </c>
      <c r="N48" s="382">
        <f t="shared" si="12"/>
        <v>0</v>
      </c>
      <c r="O48" s="382">
        <f t="shared" si="12"/>
        <v>0</v>
      </c>
      <c r="P48" s="382">
        <f t="shared" si="12"/>
        <v>0</v>
      </c>
      <c r="Q48" s="382">
        <f t="shared" si="12"/>
        <v>0</v>
      </c>
      <c r="R48" s="382">
        <f t="shared" si="12"/>
        <v>0</v>
      </c>
      <c r="T48" s="391">
        <f>Q48+P48+O48+M48+L48+K48+I48+H48+G48+E48+D48+C48</f>
        <v>1396579</v>
      </c>
      <c r="W48" s="392"/>
      <c r="X48" s="393"/>
      <c r="Y48" s="393"/>
      <c r="Z48" s="393"/>
      <c r="AA48" s="393"/>
    </row>
    <row r="49" s="6" customFormat="1" customHeight="1" spans="1:27">
      <c r="A49" s="193" t="s">
        <v>438</v>
      </c>
      <c r="B49" s="140"/>
      <c r="C49" s="288"/>
      <c r="D49" s="288"/>
      <c r="E49" s="288"/>
      <c r="F49" s="383"/>
      <c r="G49" s="288"/>
      <c r="H49" s="4"/>
      <c r="I49" s="288"/>
      <c r="J49" s="372"/>
      <c r="K49" s="4"/>
      <c r="L49" s="4"/>
      <c r="M49" s="4"/>
      <c r="N49" s="387"/>
      <c r="O49" s="4"/>
      <c r="P49" s="4"/>
      <c r="Q49" s="4"/>
      <c r="R49" s="387"/>
      <c r="T49" s="390"/>
      <c r="W49" s="16"/>
      <c r="X49" s="388"/>
      <c r="Y49" s="388"/>
      <c r="Z49" s="388"/>
      <c r="AA49" s="388"/>
    </row>
    <row r="50" s="6" customFormat="1" customHeight="1" spans="1:27">
      <c r="A50" s="157">
        <v>1</v>
      </c>
      <c r="B50" s="266" t="s">
        <v>439</v>
      </c>
      <c r="C50" s="279">
        <v>0</v>
      </c>
      <c r="D50" s="279">
        <v>0</v>
      </c>
      <c r="E50" s="279">
        <v>0</v>
      </c>
      <c r="F50" s="376">
        <f>SUM(C50:E50)</f>
        <v>0</v>
      </c>
      <c r="G50" s="279">
        <v>0</v>
      </c>
      <c r="H50" s="279">
        <v>0</v>
      </c>
      <c r="I50" s="279">
        <v>0</v>
      </c>
      <c r="J50" s="376">
        <f t="shared" ref="J50:J68" si="13">SUM(G50:I50)</f>
        <v>0</v>
      </c>
      <c r="K50" s="157">
        <v>0</v>
      </c>
      <c r="L50" s="279">
        <v>0</v>
      </c>
      <c r="M50" s="279"/>
      <c r="N50" s="386"/>
      <c r="O50" s="279"/>
      <c r="P50" s="157"/>
      <c r="Q50" s="157"/>
      <c r="R50" s="386">
        <f t="shared" ref="R50:R66" si="14">SUM(O50:Q50)</f>
        <v>0</v>
      </c>
      <c r="T50" s="390">
        <f>Q50+P50+O50+M50+L50+K50+I50+H50+G50+E50+D50+C50</f>
        <v>0</v>
      </c>
      <c r="W50" s="16"/>
      <c r="X50" s="388"/>
      <c r="Y50" s="388"/>
      <c r="Z50" s="388"/>
      <c r="AA50" s="388"/>
    </row>
    <row r="51" s="6" customFormat="1" customHeight="1" spans="1:27">
      <c r="A51" s="157">
        <v>2</v>
      </c>
      <c r="B51" s="266" t="s">
        <v>440</v>
      </c>
      <c r="C51" s="279">
        <v>0</v>
      </c>
      <c r="D51" s="279">
        <v>0</v>
      </c>
      <c r="E51" s="279">
        <v>0</v>
      </c>
      <c r="F51" s="376">
        <f t="shared" ref="F51:F68" si="15">SUM(C51:E51)</f>
        <v>0</v>
      </c>
      <c r="G51" s="279">
        <v>0</v>
      </c>
      <c r="H51" s="279">
        <v>0</v>
      </c>
      <c r="I51" s="279">
        <v>0</v>
      </c>
      <c r="J51" s="376">
        <f t="shared" si="13"/>
        <v>0</v>
      </c>
      <c r="K51" s="157">
        <v>0</v>
      </c>
      <c r="L51" s="279">
        <v>0</v>
      </c>
      <c r="M51" s="279"/>
      <c r="N51" s="386"/>
      <c r="O51" s="279"/>
      <c r="P51" s="157"/>
      <c r="Q51" s="157"/>
      <c r="R51" s="386">
        <f t="shared" si="14"/>
        <v>0</v>
      </c>
      <c r="T51" s="390">
        <f>Q51+P51+O51+M51+L51+K51+I51+H51+G51+E51+D51+C51</f>
        <v>0</v>
      </c>
      <c r="W51" s="16"/>
      <c r="X51" s="388"/>
      <c r="Y51" s="388"/>
      <c r="Z51" s="388"/>
      <c r="AA51" s="388"/>
    </row>
    <row r="52" s="6" customFormat="1" customHeight="1" spans="1:27">
      <c r="A52" s="157">
        <v>3</v>
      </c>
      <c r="B52" s="266" t="s">
        <v>441</v>
      </c>
      <c r="C52" s="279">
        <f>VLOOKUP(B52,[12]金衢!$C:$J,8,0)</f>
        <v>84500</v>
      </c>
      <c r="D52" s="279">
        <f>VLOOKUP(B52,[12]金衢!$C:$M,11,0)</f>
        <v>36876</v>
      </c>
      <c r="E52" s="279">
        <f>VLOOKUP(B52,[12]金衢!$C:$S,17,0)</f>
        <v>114573.54</v>
      </c>
      <c r="F52" s="376">
        <f t="shared" si="15"/>
        <v>235949.54</v>
      </c>
      <c r="G52" s="279">
        <f>VLOOKUP(B52,[13]金衢!$C:$Z,24,0)</f>
        <v>156103</v>
      </c>
      <c r="H52" s="279">
        <f>VLOOKUP(B52,[14]金衢!$C$3:$AF$32,30,0)</f>
        <v>51953</v>
      </c>
      <c r="I52" s="279">
        <f>VLOOKUP(B52,[15]金衢!$C$1:$AL$29,36,0)</f>
        <v>113309</v>
      </c>
      <c r="J52" s="376">
        <f t="shared" si="13"/>
        <v>321365</v>
      </c>
      <c r="K52" s="157">
        <f>VLOOKUP(B52,[16]金衢!$C:$AR,42,0)</f>
        <v>18500</v>
      </c>
      <c r="L52" s="279">
        <f>VLOOKUP(B52,[17]金衢!$C$3:$AX$34,48,0)</f>
        <v>80100</v>
      </c>
      <c r="M52" s="279"/>
      <c r="N52" s="386"/>
      <c r="O52" s="279"/>
      <c r="P52" s="157"/>
      <c r="Q52" s="157"/>
      <c r="R52" s="386">
        <f t="shared" si="14"/>
        <v>0</v>
      </c>
      <c r="T52" s="390">
        <f>Q52+P52+O52+M52+L52+K52+I52+H52+G52+E52+D52+C52</f>
        <v>655914.54</v>
      </c>
      <c r="W52" s="16"/>
      <c r="X52" s="388"/>
      <c r="Y52" s="388"/>
      <c r="Z52" s="388"/>
      <c r="AA52" s="388"/>
    </row>
    <row r="53" s="6" customFormat="1" customHeight="1" spans="1:27">
      <c r="A53" s="157">
        <v>4</v>
      </c>
      <c r="B53" s="266" t="s">
        <v>442</v>
      </c>
      <c r="C53" s="279">
        <v>0</v>
      </c>
      <c r="D53" s="279">
        <v>0</v>
      </c>
      <c r="E53" s="279">
        <v>0</v>
      </c>
      <c r="F53" s="376">
        <f t="shared" si="15"/>
        <v>0</v>
      </c>
      <c r="G53" s="279">
        <v>0</v>
      </c>
      <c r="H53" s="279">
        <v>0</v>
      </c>
      <c r="I53" s="279">
        <v>0</v>
      </c>
      <c r="J53" s="376">
        <f t="shared" si="13"/>
        <v>0</v>
      </c>
      <c r="K53" s="157">
        <v>0</v>
      </c>
      <c r="L53" s="279">
        <v>0</v>
      </c>
      <c r="M53" s="279"/>
      <c r="N53" s="386"/>
      <c r="O53" s="279"/>
      <c r="P53" s="157"/>
      <c r="Q53" s="157"/>
      <c r="R53" s="386">
        <f t="shared" si="14"/>
        <v>0</v>
      </c>
      <c r="T53" s="390">
        <f>Q53+P53+O53+M53+L53+K53+I53+H53+G53+E53+D53+C53</f>
        <v>0</v>
      </c>
      <c r="W53" s="16"/>
      <c r="X53" s="388"/>
      <c r="Y53" s="388"/>
      <c r="Z53" s="388"/>
      <c r="AA53" s="388"/>
    </row>
    <row r="54" s="6" customFormat="1" customHeight="1" spans="1:27">
      <c r="A54" s="157">
        <v>5</v>
      </c>
      <c r="B54" s="266" t="s">
        <v>443</v>
      </c>
      <c r="C54" s="279">
        <v>0</v>
      </c>
      <c r="D54" s="279">
        <v>0</v>
      </c>
      <c r="E54" s="279">
        <v>0</v>
      </c>
      <c r="F54" s="376">
        <f t="shared" si="15"/>
        <v>0</v>
      </c>
      <c r="G54" s="279">
        <v>0</v>
      </c>
      <c r="H54" s="279">
        <v>0</v>
      </c>
      <c r="I54" s="279">
        <v>0</v>
      </c>
      <c r="J54" s="376">
        <f t="shared" si="13"/>
        <v>0</v>
      </c>
      <c r="K54" s="157">
        <v>0</v>
      </c>
      <c r="L54" s="279">
        <v>0</v>
      </c>
      <c r="M54" s="279"/>
      <c r="N54" s="386"/>
      <c r="O54" s="279"/>
      <c r="P54" s="157"/>
      <c r="Q54" s="157"/>
      <c r="R54" s="386">
        <f t="shared" si="14"/>
        <v>0</v>
      </c>
      <c r="T54" s="390">
        <f t="shared" ref="T54:T59" si="16">Q54+P54+O54+M54+L54+K54+I54+H54+G54+E54+D54+C54</f>
        <v>0</v>
      </c>
      <c r="W54" s="16"/>
      <c r="X54" s="388"/>
      <c r="Y54" s="388"/>
      <c r="Z54" s="388"/>
      <c r="AA54" s="388"/>
    </row>
    <row r="55" s="6" customFormat="1" customHeight="1" spans="1:27">
      <c r="A55" s="157">
        <v>6</v>
      </c>
      <c r="B55" s="266" t="s">
        <v>444</v>
      </c>
      <c r="C55" s="279">
        <v>0</v>
      </c>
      <c r="D55" s="279">
        <v>0</v>
      </c>
      <c r="E55" s="279">
        <v>0</v>
      </c>
      <c r="F55" s="376">
        <f t="shared" si="15"/>
        <v>0</v>
      </c>
      <c r="G55" s="279">
        <v>0</v>
      </c>
      <c r="H55" s="279">
        <v>0</v>
      </c>
      <c r="I55" s="279">
        <v>0</v>
      </c>
      <c r="J55" s="376">
        <f t="shared" si="13"/>
        <v>0</v>
      </c>
      <c r="K55" s="157">
        <v>0</v>
      </c>
      <c r="L55" s="279">
        <v>0</v>
      </c>
      <c r="M55" s="279"/>
      <c r="N55" s="386"/>
      <c r="O55" s="279"/>
      <c r="P55" s="157"/>
      <c r="Q55" s="157"/>
      <c r="R55" s="386">
        <f t="shared" si="14"/>
        <v>0</v>
      </c>
      <c r="T55" s="6">
        <f t="shared" si="16"/>
        <v>0</v>
      </c>
      <c r="W55" s="16"/>
      <c r="X55" s="388"/>
      <c r="Y55" s="388"/>
      <c r="Z55" s="388"/>
      <c r="AA55" s="388"/>
    </row>
    <row r="56" s="6" customFormat="1" customHeight="1" spans="1:27">
      <c r="A56" s="157">
        <v>7</v>
      </c>
      <c r="B56" s="266" t="s">
        <v>445</v>
      </c>
      <c r="C56" s="279">
        <v>0</v>
      </c>
      <c r="D56" s="279">
        <v>0</v>
      </c>
      <c r="E56" s="279">
        <v>0</v>
      </c>
      <c r="F56" s="376">
        <f t="shared" si="15"/>
        <v>0</v>
      </c>
      <c r="G56" s="279">
        <v>0</v>
      </c>
      <c r="H56" s="279">
        <v>0</v>
      </c>
      <c r="I56" s="279">
        <v>0</v>
      </c>
      <c r="J56" s="376">
        <f t="shared" si="13"/>
        <v>0</v>
      </c>
      <c r="K56" s="157">
        <v>0</v>
      </c>
      <c r="L56" s="279">
        <v>0</v>
      </c>
      <c r="M56" s="279"/>
      <c r="N56" s="386"/>
      <c r="O56" s="279"/>
      <c r="P56" s="157"/>
      <c r="Q56" s="157"/>
      <c r="R56" s="386">
        <f t="shared" si="14"/>
        <v>0</v>
      </c>
      <c r="T56" s="6">
        <f t="shared" si="16"/>
        <v>0</v>
      </c>
      <c r="W56" s="16"/>
      <c r="X56" s="388"/>
      <c r="Y56" s="388"/>
      <c r="Z56" s="388"/>
      <c r="AA56" s="388"/>
    </row>
    <row r="57" s="6" customFormat="1" customHeight="1" spans="1:27">
      <c r="A57" s="157">
        <v>8</v>
      </c>
      <c r="B57" s="266" t="s">
        <v>446</v>
      </c>
      <c r="C57" s="279">
        <f>VLOOKUP(B57,[12]金衢!$C:$J,8,0)</f>
        <v>0</v>
      </c>
      <c r="D57" s="279">
        <f>VLOOKUP(B57,[12]金衢!$C:$M,11,0)</f>
        <v>0</v>
      </c>
      <c r="E57" s="279">
        <f>VLOOKUP(B57,[12]金衢!$C:$S,17,0)</f>
        <v>0</v>
      </c>
      <c r="F57" s="376">
        <f t="shared" si="15"/>
        <v>0</v>
      </c>
      <c r="G57" s="279">
        <f>VLOOKUP(B57,[13]金衢!$C:$Z,24,0)</f>
        <v>0</v>
      </c>
      <c r="H57" s="279">
        <f>VLOOKUP(B57,[14]金衢!$C$3:$AF$32,30,0)</f>
        <v>0</v>
      </c>
      <c r="I57" s="279">
        <f>VLOOKUP(B57,[15]金衢!$C$1:$AL$29,36,0)</f>
        <v>0</v>
      </c>
      <c r="J57" s="376">
        <f t="shared" si="13"/>
        <v>0</v>
      </c>
      <c r="K57" s="157">
        <f>VLOOKUP(B57,[16]金衢!$C:$AR,42,0)</f>
        <v>0</v>
      </c>
      <c r="L57" s="279">
        <f>VLOOKUP(B57,[17]金衢!$C$3:$AX$34,48,0)</f>
        <v>0</v>
      </c>
      <c r="M57" s="279"/>
      <c r="N57" s="386"/>
      <c r="O57" s="279"/>
      <c r="P57" s="157"/>
      <c r="Q57" s="157"/>
      <c r="R57" s="386">
        <f t="shared" si="14"/>
        <v>0</v>
      </c>
      <c r="T57" s="6">
        <f t="shared" si="16"/>
        <v>0</v>
      </c>
      <c r="W57" s="16"/>
      <c r="X57" s="388"/>
      <c r="Y57" s="388"/>
      <c r="Z57" s="388"/>
      <c r="AA57" s="388"/>
    </row>
    <row r="58" s="6" customFormat="1" customHeight="1" spans="1:28">
      <c r="A58" s="157">
        <v>9</v>
      </c>
      <c r="B58" s="266" t="s">
        <v>447</v>
      </c>
      <c r="C58" s="279">
        <f>VLOOKUP(B58,[12]金衢!$C:$J,8,0)</f>
        <v>4298</v>
      </c>
      <c r="D58" s="279">
        <f>VLOOKUP(B58,[12]金衢!$C:$M,11,0)</f>
        <v>5186</v>
      </c>
      <c r="E58" s="279">
        <f>VLOOKUP(B58,[12]金衢!$C:$S,17,0)</f>
        <v>0</v>
      </c>
      <c r="F58" s="376">
        <f t="shared" si="15"/>
        <v>9484</v>
      </c>
      <c r="G58" s="279">
        <f>VLOOKUP(B58,[13]金衢!$C:$Z,24,0)</f>
        <v>2766</v>
      </c>
      <c r="H58" s="279">
        <f>VLOOKUP(B58,[14]金衢!$C$3:$AF$32,30,0)</f>
        <v>0</v>
      </c>
      <c r="I58" s="279">
        <f>VLOOKUP(B58,[15]金衢!$C$1:$AL$29,36,0)</f>
        <v>0</v>
      </c>
      <c r="J58" s="376">
        <f t="shared" si="13"/>
        <v>2766</v>
      </c>
      <c r="K58" s="157">
        <f>VLOOKUP(B58,[16]金衢!$C:$AR,42,0)</f>
        <v>0</v>
      </c>
      <c r="L58" s="279">
        <f>VLOOKUP(B58,[17]金衢!$C$3:$AX$34,48,0)</f>
        <v>0</v>
      </c>
      <c r="M58" s="279"/>
      <c r="N58" s="386"/>
      <c r="O58" s="279"/>
      <c r="P58" s="157"/>
      <c r="Q58" s="157"/>
      <c r="R58" s="386">
        <f t="shared" si="14"/>
        <v>0</v>
      </c>
      <c r="T58" s="390">
        <f t="shared" si="16"/>
        <v>12250</v>
      </c>
      <c r="W58" s="16"/>
      <c r="X58" s="388"/>
      <c r="Y58" s="388"/>
      <c r="Z58" s="388"/>
      <c r="AA58" s="388"/>
      <c r="AB58" s="297"/>
    </row>
    <row r="59" s="6" customFormat="1" customHeight="1" spans="1:24">
      <c r="A59" s="157">
        <v>10</v>
      </c>
      <c r="B59" s="266" t="s">
        <v>448</v>
      </c>
      <c r="C59" s="279">
        <v>0</v>
      </c>
      <c r="D59" s="279">
        <v>0</v>
      </c>
      <c r="E59" s="279">
        <v>0</v>
      </c>
      <c r="F59" s="376">
        <f t="shared" si="15"/>
        <v>0</v>
      </c>
      <c r="G59" s="279">
        <v>0</v>
      </c>
      <c r="H59" s="279">
        <v>0</v>
      </c>
      <c r="I59" s="279">
        <v>0</v>
      </c>
      <c r="J59" s="376">
        <f t="shared" si="13"/>
        <v>0</v>
      </c>
      <c r="K59" s="157">
        <v>0</v>
      </c>
      <c r="L59" s="279">
        <v>0</v>
      </c>
      <c r="M59" s="279"/>
      <c r="N59" s="386"/>
      <c r="O59" s="279"/>
      <c r="P59" s="157"/>
      <c r="Q59" s="157"/>
      <c r="R59" s="386">
        <f t="shared" si="14"/>
        <v>0</v>
      </c>
      <c r="T59" s="390">
        <f t="shared" si="16"/>
        <v>0</v>
      </c>
      <c r="W59" s="2"/>
      <c r="X59" s="2"/>
    </row>
    <row r="60" s="297" customFormat="1" customHeight="1" spans="1:24">
      <c r="A60" s="157">
        <v>11</v>
      </c>
      <c r="B60" s="266" t="s">
        <v>449</v>
      </c>
      <c r="C60" s="279">
        <v>0</v>
      </c>
      <c r="D60" s="279">
        <v>0</v>
      </c>
      <c r="E60" s="279">
        <v>0</v>
      </c>
      <c r="F60" s="376">
        <f t="shared" si="15"/>
        <v>0</v>
      </c>
      <c r="G60" s="279">
        <v>0</v>
      </c>
      <c r="H60" s="279">
        <v>0</v>
      </c>
      <c r="I60" s="279">
        <v>0</v>
      </c>
      <c r="J60" s="376">
        <f t="shared" si="13"/>
        <v>0</v>
      </c>
      <c r="K60" s="157">
        <v>0</v>
      </c>
      <c r="L60" s="279">
        <v>0</v>
      </c>
      <c r="M60" s="279"/>
      <c r="N60" s="386"/>
      <c r="O60" s="279"/>
      <c r="P60" s="157"/>
      <c r="Q60" s="157"/>
      <c r="R60" s="386">
        <f t="shared" si="14"/>
        <v>0</v>
      </c>
      <c r="T60" s="394">
        <f t="shared" ref="T60:T67" si="17">Q60+P60+O60+M60+L60+K60+I60+H60+G60+E60+D60+C60</f>
        <v>0</v>
      </c>
      <c r="U60" s="6"/>
      <c r="W60" s="2"/>
      <c r="X60" s="2"/>
    </row>
    <row r="61" s="6" customFormat="1" customHeight="1" spans="1:24">
      <c r="A61" s="157">
        <v>12</v>
      </c>
      <c r="B61" s="266" t="s">
        <v>450</v>
      </c>
      <c r="C61" s="279">
        <v>0</v>
      </c>
      <c r="D61" s="279">
        <v>0</v>
      </c>
      <c r="E61" s="279">
        <v>0</v>
      </c>
      <c r="F61" s="376">
        <f t="shared" si="15"/>
        <v>0</v>
      </c>
      <c r="G61" s="279">
        <v>0</v>
      </c>
      <c r="H61" s="279">
        <v>0</v>
      </c>
      <c r="I61" s="279">
        <v>0</v>
      </c>
      <c r="J61" s="376">
        <f t="shared" si="13"/>
        <v>0</v>
      </c>
      <c r="K61" s="157">
        <v>0</v>
      </c>
      <c r="L61" s="279">
        <v>0</v>
      </c>
      <c r="M61" s="279"/>
      <c r="N61" s="386"/>
      <c r="O61" s="279"/>
      <c r="P61" s="157"/>
      <c r="Q61" s="157"/>
      <c r="R61" s="386">
        <f t="shared" si="14"/>
        <v>0</v>
      </c>
      <c r="T61" s="390">
        <f t="shared" si="17"/>
        <v>0</v>
      </c>
      <c r="W61" s="2"/>
      <c r="X61" s="2"/>
    </row>
    <row r="62" s="297" customFormat="1" customHeight="1" spans="1:23">
      <c r="A62" s="157">
        <v>13</v>
      </c>
      <c r="B62" s="266" t="s">
        <v>451</v>
      </c>
      <c r="C62" s="279">
        <f>VLOOKUP(B62,[12]金衢!$C:$J,8,0)</f>
        <v>0</v>
      </c>
      <c r="D62" s="279">
        <f>VLOOKUP(B62,[12]金衢!$C:$M,11,0)</f>
        <v>0</v>
      </c>
      <c r="E62" s="279">
        <f>VLOOKUP(B62,[12]金衢!$C:$S,17,0)</f>
        <v>0</v>
      </c>
      <c r="F62" s="376">
        <f t="shared" si="15"/>
        <v>0</v>
      </c>
      <c r="G62" s="279">
        <f>VLOOKUP(B62,[13]金衢!$C:$Z,24,0)</f>
        <v>0</v>
      </c>
      <c r="H62" s="279">
        <f>VLOOKUP(B62,[14]金衢!$C$3:$AF$32,30,0)</f>
        <v>0</v>
      </c>
      <c r="I62" s="279">
        <v>0</v>
      </c>
      <c r="J62" s="376">
        <f t="shared" si="13"/>
        <v>0</v>
      </c>
      <c r="K62" s="157">
        <f>VLOOKUP(B62,[16]金衢!$C:$AR,42,0)</f>
        <v>0</v>
      </c>
      <c r="L62" s="279">
        <f>VLOOKUP(B62,[17]金衢!$C$3:$AX$34,48,0)</f>
        <v>0</v>
      </c>
      <c r="M62" s="279"/>
      <c r="N62" s="386"/>
      <c r="O62" s="279"/>
      <c r="P62" s="157"/>
      <c r="Q62" s="157"/>
      <c r="R62" s="386">
        <f t="shared" si="14"/>
        <v>0</v>
      </c>
      <c r="T62" s="394">
        <f t="shared" si="17"/>
        <v>0</v>
      </c>
      <c r="U62" s="6"/>
      <c r="W62" s="2"/>
    </row>
    <row r="63" s="297" customFormat="1" customHeight="1" spans="1:23">
      <c r="A63" s="157">
        <v>14</v>
      </c>
      <c r="B63" s="266" t="s">
        <v>452</v>
      </c>
      <c r="C63" s="279">
        <v>0</v>
      </c>
      <c r="D63" s="279">
        <v>0</v>
      </c>
      <c r="E63" s="279">
        <v>0</v>
      </c>
      <c r="F63" s="376">
        <f t="shared" si="15"/>
        <v>0</v>
      </c>
      <c r="G63" s="279">
        <v>0</v>
      </c>
      <c r="H63" s="279">
        <v>0</v>
      </c>
      <c r="I63" s="279">
        <v>0</v>
      </c>
      <c r="J63" s="376">
        <f t="shared" si="13"/>
        <v>0</v>
      </c>
      <c r="K63" s="157">
        <v>0</v>
      </c>
      <c r="L63" s="279">
        <v>0</v>
      </c>
      <c r="M63" s="279"/>
      <c r="N63" s="386"/>
      <c r="O63" s="279"/>
      <c r="P63" s="157"/>
      <c r="Q63" s="157"/>
      <c r="R63" s="386">
        <f t="shared" si="14"/>
        <v>0</v>
      </c>
      <c r="T63" s="394">
        <f t="shared" si="17"/>
        <v>0</v>
      </c>
      <c r="U63" s="6"/>
      <c r="V63" s="6"/>
      <c r="W63" s="2"/>
    </row>
    <row r="64" s="6" customFormat="1" customHeight="1" spans="1:20">
      <c r="A64" s="157">
        <v>15</v>
      </c>
      <c r="B64" s="266" t="s">
        <v>453</v>
      </c>
      <c r="C64" s="279">
        <v>0</v>
      </c>
      <c r="D64" s="279">
        <v>0</v>
      </c>
      <c r="E64" s="279">
        <v>0</v>
      </c>
      <c r="F64" s="376">
        <f t="shared" si="15"/>
        <v>0</v>
      </c>
      <c r="G64" s="279">
        <v>0</v>
      </c>
      <c r="H64" s="279">
        <v>0</v>
      </c>
      <c r="I64" s="279">
        <v>0</v>
      </c>
      <c r="J64" s="376">
        <f t="shared" si="13"/>
        <v>0</v>
      </c>
      <c r="K64" s="157">
        <v>0</v>
      </c>
      <c r="L64" s="279">
        <v>0</v>
      </c>
      <c r="M64" s="279"/>
      <c r="N64" s="386"/>
      <c r="O64" s="279"/>
      <c r="P64" s="157"/>
      <c r="Q64" s="157"/>
      <c r="R64" s="386">
        <f t="shared" si="14"/>
        <v>0</v>
      </c>
      <c r="T64" s="390">
        <f t="shared" si="17"/>
        <v>0</v>
      </c>
    </row>
    <row r="65" s="6" customFormat="1" customHeight="1" spans="1:23">
      <c r="A65" s="157">
        <v>16</v>
      </c>
      <c r="B65" s="266" t="s">
        <v>454</v>
      </c>
      <c r="C65" s="279">
        <v>0</v>
      </c>
      <c r="D65" s="279">
        <v>0</v>
      </c>
      <c r="E65" s="279">
        <v>0</v>
      </c>
      <c r="F65" s="376">
        <f t="shared" si="15"/>
        <v>0</v>
      </c>
      <c r="G65" s="279">
        <v>0</v>
      </c>
      <c r="H65" s="279">
        <v>0</v>
      </c>
      <c r="I65" s="279">
        <v>0</v>
      </c>
      <c r="J65" s="376">
        <f t="shared" si="13"/>
        <v>0</v>
      </c>
      <c r="K65" s="157">
        <v>0</v>
      </c>
      <c r="L65" s="279">
        <v>0</v>
      </c>
      <c r="M65" s="279"/>
      <c r="N65" s="386"/>
      <c r="O65" s="279"/>
      <c r="P65" s="157"/>
      <c r="Q65" s="157"/>
      <c r="R65" s="386">
        <f t="shared" si="14"/>
        <v>0</v>
      </c>
      <c r="T65" s="390">
        <f t="shared" si="17"/>
        <v>0</v>
      </c>
      <c r="W65" s="140"/>
    </row>
    <row r="66" s="6" customFormat="1" customHeight="1" spans="1:23">
      <c r="A66" s="157">
        <v>17</v>
      </c>
      <c r="B66" s="266" t="s">
        <v>455</v>
      </c>
      <c r="C66" s="279">
        <f>VLOOKUP(B66,[12]金衢!$C:$J,8,0)</f>
        <v>0</v>
      </c>
      <c r="D66" s="279">
        <f>VLOOKUP(B66,[12]金衢!$C:$M,11,0)</f>
        <v>0</v>
      </c>
      <c r="E66" s="279">
        <f>VLOOKUP(B66,[12]金衢!$C:$S,17,0)</f>
        <v>0</v>
      </c>
      <c r="F66" s="376">
        <f t="shared" si="15"/>
        <v>0</v>
      </c>
      <c r="G66" s="279">
        <f>VLOOKUP(B66,[13]金衢!$C:$Z,24,0)</f>
        <v>0</v>
      </c>
      <c r="H66" s="279">
        <f>VLOOKUP(B66,[14]金衢!$C$3:$AF$32,30,0)</f>
        <v>0</v>
      </c>
      <c r="I66" s="279">
        <f>VLOOKUP(B66,[15]金衢!$C$1:$AL$29,36,0)</f>
        <v>0</v>
      </c>
      <c r="J66" s="376">
        <f t="shared" si="13"/>
        <v>0</v>
      </c>
      <c r="K66" s="157">
        <f>VLOOKUP(B66,[16]金衢!$C:$AR,42,0)</f>
        <v>0</v>
      </c>
      <c r="L66" s="279">
        <f>VLOOKUP(B66,[17]金衢!$C$3:$AX$34,48,0)</f>
        <v>0</v>
      </c>
      <c r="M66" s="279"/>
      <c r="N66" s="386"/>
      <c r="O66" s="279"/>
      <c r="P66" s="157"/>
      <c r="Q66" s="157"/>
      <c r="R66" s="386">
        <f t="shared" si="14"/>
        <v>0</v>
      </c>
      <c r="T66" s="390">
        <f t="shared" si="17"/>
        <v>0</v>
      </c>
      <c r="W66" s="2"/>
    </row>
    <row r="67" s="6" customFormat="1" customHeight="1" spans="1:23">
      <c r="A67" s="157"/>
      <c r="B67" s="266" t="s">
        <v>456</v>
      </c>
      <c r="C67" s="279">
        <v>0</v>
      </c>
      <c r="D67" s="279">
        <v>0</v>
      </c>
      <c r="E67" s="279">
        <v>0</v>
      </c>
      <c r="F67" s="376">
        <f t="shared" si="15"/>
        <v>0</v>
      </c>
      <c r="G67" s="279">
        <v>0</v>
      </c>
      <c r="H67" s="279">
        <v>0</v>
      </c>
      <c r="I67" s="279">
        <v>0</v>
      </c>
      <c r="J67" s="376">
        <f t="shared" si="13"/>
        <v>0</v>
      </c>
      <c r="K67" s="157">
        <v>0</v>
      </c>
      <c r="L67" s="279">
        <v>0</v>
      </c>
      <c r="M67" s="279"/>
      <c r="N67" s="386"/>
      <c r="O67" s="279"/>
      <c r="P67" s="157"/>
      <c r="Q67" s="157"/>
      <c r="R67" s="386"/>
      <c r="T67" s="390"/>
      <c r="W67" s="2"/>
    </row>
    <row r="68" s="6" customFormat="1" customHeight="1" spans="1:23">
      <c r="A68" s="157"/>
      <c r="B68" s="266" t="s">
        <v>457</v>
      </c>
      <c r="C68" s="279"/>
      <c r="D68" s="279"/>
      <c r="E68" s="279"/>
      <c r="F68" s="376"/>
      <c r="G68" s="279"/>
      <c r="H68" s="279">
        <f>VLOOKUP(B68,[14]金衢!$C$3:$AF$32,30,0)</f>
        <v>20000</v>
      </c>
      <c r="I68" s="279">
        <f>VLOOKUP(B68,[15]金衢!$C$1:$AL$29,36,0)</f>
        <v>0</v>
      </c>
      <c r="J68" s="376">
        <f t="shared" si="13"/>
        <v>20000</v>
      </c>
      <c r="K68" s="157">
        <f>VLOOKUP(B68,[16]金衢!$C:$AR,42,0)</f>
        <v>0</v>
      </c>
      <c r="L68" s="279">
        <f>VLOOKUP(B68,[17]金衢!$C$3:$AX$34,48,0)</f>
        <v>0</v>
      </c>
      <c r="M68" s="279"/>
      <c r="N68" s="386"/>
      <c r="O68" s="279"/>
      <c r="P68" s="157"/>
      <c r="Q68" s="157"/>
      <c r="R68" s="386"/>
      <c r="T68" s="390"/>
      <c r="W68" s="2"/>
    </row>
    <row r="69" s="371" customFormat="1" customHeight="1" spans="1:23">
      <c r="A69" s="380"/>
      <c r="B69" s="381" t="s">
        <v>11</v>
      </c>
      <c r="C69" s="382">
        <f>SUM(C50:C68)</f>
        <v>88798</v>
      </c>
      <c r="D69" s="382">
        <f t="shared" ref="D69:R69" si="18">SUM(D50:D68)</f>
        <v>42062</v>
      </c>
      <c r="E69" s="382">
        <f t="shared" si="18"/>
        <v>114573.54</v>
      </c>
      <c r="F69" s="368">
        <f t="shared" si="18"/>
        <v>245433.54</v>
      </c>
      <c r="G69" s="382">
        <f t="shared" si="18"/>
        <v>158869</v>
      </c>
      <c r="H69" s="382">
        <f t="shared" si="18"/>
        <v>71953</v>
      </c>
      <c r="I69" s="382">
        <f t="shared" si="18"/>
        <v>113309</v>
      </c>
      <c r="J69" s="368">
        <f t="shared" si="18"/>
        <v>344131</v>
      </c>
      <c r="K69" s="382">
        <f t="shared" si="18"/>
        <v>18500</v>
      </c>
      <c r="L69" s="382">
        <f t="shared" si="18"/>
        <v>80100</v>
      </c>
      <c r="M69" s="382">
        <f t="shared" si="18"/>
        <v>0</v>
      </c>
      <c r="N69" s="382">
        <f t="shared" si="18"/>
        <v>0</v>
      </c>
      <c r="O69" s="382">
        <f t="shared" si="18"/>
        <v>0</v>
      </c>
      <c r="P69" s="382">
        <f t="shared" si="18"/>
        <v>0</v>
      </c>
      <c r="Q69" s="382">
        <f t="shared" si="18"/>
        <v>0</v>
      </c>
      <c r="R69" s="382">
        <f t="shared" si="18"/>
        <v>0</v>
      </c>
      <c r="T69" s="391">
        <f>Q69+P69+O69+M69+L69+K69+I69+H69+G69+E69+D69+C69</f>
        <v>688164.54</v>
      </c>
      <c r="W69" s="404"/>
    </row>
    <row r="70" s="6" customFormat="1" customHeight="1" spans="1:23">
      <c r="A70" s="4"/>
      <c r="C70" s="288"/>
      <c r="D70" s="288"/>
      <c r="E70" s="288"/>
      <c r="F70" s="383"/>
      <c r="G70" s="288"/>
      <c r="H70" s="4"/>
      <c r="I70" s="288"/>
      <c r="J70" s="372"/>
      <c r="K70" s="4"/>
      <c r="L70" s="4"/>
      <c r="M70" s="4"/>
      <c r="N70" s="387"/>
      <c r="O70" s="4"/>
      <c r="P70" s="4"/>
      <c r="Q70" s="4"/>
      <c r="R70" s="387"/>
      <c r="T70" s="390"/>
      <c r="W70" s="2"/>
    </row>
    <row r="71" s="6" customFormat="1" customHeight="1" spans="1:20">
      <c r="A71" s="286">
        <v>1</v>
      </c>
      <c r="B71" s="395" t="s">
        <v>458</v>
      </c>
      <c r="C71" s="279">
        <f>VLOOKUP(B71,[12]金衢!$C:$J,8,0)-3668</f>
        <v>350</v>
      </c>
      <c r="D71" s="279">
        <f>VLOOKUP(B71,[12]金衢!$C:$M,11,0)</f>
        <v>0</v>
      </c>
      <c r="E71" s="279">
        <f>VLOOKUP(B71,[12]金衢!$C:$S,17,0)-5945</f>
        <v>350</v>
      </c>
      <c r="F71" s="376">
        <f>SUM(C71:E71)</f>
        <v>700</v>
      </c>
      <c r="G71" s="279">
        <f>VLOOKUP(B71,[13]金衢!$C:$Z,24,0)-12000</f>
        <v>0</v>
      </c>
      <c r="H71" s="279">
        <f>VLOOKUP(B71,[14]金衢!$C$3:$AF$32,30,0)</f>
        <v>0</v>
      </c>
      <c r="I71" s="279">
        <f>VLOOKUP(B71,[15]金衢!$C$1:$AL$29,36,0)-2502</f>
        <v>0</v>
      </c>
      <c r="J71" s="376">
        <f>SUM(G71:I71)</f>
        <v>0</v>
      </c>
      <c r="K71" s="157">
        <f>VLOOKUP(B71,[16]金衢!$C:$AR,42,0)</f>
        <v>3253</v>
      </c>
      <c r="L71" s="279">
        <f>VLOOKUP(B71,[17]金衢!$C$3:$AX$34,48,0)</f>
        <v>4280</v>
      </c>
      <c r="M71" s="279"/>
      <c r="N71" s="386"/>
      <c r="O71" s="279"/>
      <c r="P71" s="157"/>
      <c r="Q71" s="157"/>
      <c r="R71" s="386">
        <f>SUM(O71:Q71)</f>
        <v>0</v>
      </c>
      <c r="T71" s="390">
        <f>Q71+P71+O71+M71+L71+K71+I71+H71+G71+E71+D71+C71</f>
        <v>8233</v>
      </c>
    </row>
    <row r="72" s="6" customFormat="1" customHeight="1" spans="1:20">
      <c r="A72" s="396"/>
      <c r="B72" s="397"/>
      <c r="C72" s="279"/>
      <c r="D72" s="279"/>
      <c r="E72" s="279"/>
      <c r="F72" s="376"/>
      <c r="G72" s="279"/>
      <c r="H72" s="279"/>
      <c r="I72" s="279"/>
      <c r="J72" s="376"/>
      <c r="K72" s="157"/>
      <c r="L72" s="279"/>
      <c r="M72" s="279"/>
      <c r="N72" s="386"/>
      <c r="O72" s="279"/>
      <c r="P72" s="157"/>
      <c r="Q72" s="157"/>
      <c r="R72" s="386"/>
      <c r="T72" s="390"/>
    </row>
    <row r="73" s="371" customFormat="1" customHeight="1" spans="1:20">
      <c r="A73" s="398" t="s">
        <v>459</v>
      </c>
      <c r="B73" s="399"/>
      <c r="C73" s="382">
        <f>C71+C69+C48+C35</f>
        <v>802311.19</v>
      </c>
      <c r="D73" s="382">
        <f t="shared" ref="D73:R73" si="19">D71+D69+D48+D35</f>
        <v>353390.48</v>
      </c>
      <c r="E73" s="382">
        <f t="shared" si="19"/>
        <v>969353.65</v>
      </c>
      <c r="F73" s="376">
        <f>SUM(C73:E73)</f>
        <v>2125055.32</v>
      </c>
      <c r="G73" s="382">
        <f t="shared" si="19"/>
        <v>857787.1</v>
      </c>
      <c r="H73" s="382">
        <f t="shared" si="19"/>
        <v>661714.03</v>
      </c>
      <c r="I73" s="382">
        <f t="shared" si="19"/>
        <v>970845.98</v>
      </c>
      <c r="J73" s="368">
        <f t="shared" si="19"/>
        <v>2490347.11</v>
      </c>
      <c r="K73" s="382">
        <f t="shared" si="19"/>
        <v>383538.42</v>
      </c>
      <c r="L73" s="382">
        <f t="shared" si="19"/>
        <v>243092</v>
      </c>
      <c r="M73" s="382">
        <f t="shared" si="19"/>
        <v>0</v>
      </c>
      <c r="N73" s="382">
        <f t="shared" si="19"/>
        <v>0</v>
      </c>
      <c r="O73" s="382">
        <f t="shared" si="19"/>
        <v>0</v>
      </c>
      <c r="P73" s="382">
        <f t="shared" si="19"/>
        <v>0</v>
      </c>
      <c r="Q73" s="382">
        <f t="shared" si="19"/>
        <v>0</v>
      </c>
      <c r="R73" s="382">
        <f t="shared" si="19"/>
        <v>0</v>
      </c>
      <c r="T73" s="391">
        <f>Q73+P73+O73+M73+L73+K73+I73+H73+G73+E73+D73+C73</f>
        <v>5242032.85</v>
      </c>
    </row>
    <row r="74" s="6" customFormat="1" customHeight="1" spans="1:20">
      <c r="A74" s="4"/>
      <c r="B74" s="6" t="s">
        <v>460</v>
      </c>
      <c r="C74" s="4">
        <f>C71+C15+C14</f>
        <v>271007</v>
      </c>
      <c r="D74" s="4">
        <f t="shared" ref="D74:R74" si="20">D71+D15+D14</f>
        <v>114255</v>
      </c>
      <c r="E74" s="4">
        <f t="shared" si="20"/>
        <v>272762</v>
      </c>
      <c r="F74" s="372">
        <f t="shared" si="20"/>
        <v>658024</v>
      </c>
      <c r="G74" s="4">
        <f t="shared" si="20"/>
        <v>135793</v>
      </c>
      <c r="H74" s="4">
        <f t="shared" si="20"/>
        <v>201219</v>
      </c>
      <c r="I74" s="4">
        <f t="shared" si="20"/>
        <v>310376</v>
      </c>
      <c r="J74" s="372">
        <f t="shared" si="20"/>
        <v>647388</v>
      </c>
      <c r="K74" s="4">
        <f t="shared" si="20"/>
        <v>85502</v>
      </c>
      <c r="L74" s="4">
        <f t="shared" si="20"/>
        <v>86398</v>
      </c>
      <c r="M74" s="4">
        <f t="shared" si="20"/>
        <v>0</v>
      </c>
      <c r="N74" s="387">
        <f t="shared" si="20"/>
        <v>0</v>
      </c>
      <c r="O74" s="4">
        <f t="shared" si="20"/>
        <v>0</v>
      </c>
      <c r="P74" s="4">
        <f t="shared" si="20"/>
        <v>0</v>
      </c>
      <c r="Q74" s="4">
        <f t="shared" si="20"/>
        <v>0</v>
      </c>
      <c r="R74" s="4">
        <f t="shared" si="20"/>
        <v>0</v>
      </c>
      <c r="T74" s="390"/>
    </row>
    <row r="75" s="6" customFormat="1" customHeight="1" spans="1:20">
      <c r="A75" s="4"/>
      <c r="C75" s="400"/>
      <c r="D75" s="400"/>
      <c r="E75" s="400"/>
      <c r="F75" s="401"/>
      <c r="G75" s="400"/>
      <c r="H75" s="400"/>
      <c r="I75" s="400"/>
      <c r="J75" s="401"/>
      <c r="K75" s="400"/>
      <c r="L75" s="400"/>
      <c r="M75" s="400"/>
      <c r="N75" s="402"/>
      <c r="O75" s="400"/>
      <c r="P75" s="400"/>
      <c r="Q75" s="400"/>
      <c r="R75" s="402"/>
      <c r="S75" s="400"/>
      <c r="T75" s="400"/>
    </row>
    <row r="76" s="6" customFormat="1" ht="22.5" customHeight="1" spans="1:20">
      <c r="A76" s="4"/>
      <c r="C76" s="400"/>
      <c r="D76" s="400"/>
      <c r="E76" s="400"/>
      <c r="F76" s="401"/>
      <c r="G76" s="400"/>
      <c r="H76" s="400"/>
      <c r="I76" s="400"/>
      <c r="J76" s="401"/>
      <c r="K76" s="400"/>
      <c r="L76" s="400"/>
      <c r="M76" s="400"/>
      <c r="N76" s="402"/>
      <c r="O76" s="400"/>
      <c r="P76" s="400"/>
      <c r="Q76" s="400"/>
      <c r="R76" s="402"/>
      <c r="S76" s="400"/>
      <c r="T76" s="400"/>
    </row>
    <row r="77" s="6" customFormat="1" customHeight="1" spans="1:20">
      <c r="A77" s="4"/>
      <c r="B77" s="6" t="s">
        <v>461</v>
      </c>
      <c r="C77" s="400">
        <f>C71+C66+C63+C62+C61+C60+C59+C58+C57+C56+C55+C54+C53+C52+C51+C50+C46+C45+C44+C43+C42+C41+C40+C39+C38+C23+C22+C21+C20+C19+C18+C17+C16+C13+C12+C11+C10+C9+C8+C7+C6+C5+C4</f>
        <v>516530.19</v>
      </c>
      <c r="D77" s="400">
        <f t="shared" ref="D77:Q77" si="21">D71+D66+D63+D62+D61+D60+D59+D58+D57+D56+D55+D54+D53+D52+D51+D50+D46+D45+D44+D43+D42+D41+D40+D39+D38+D23+D22+D21+D20+D19+D18+D17+D16+D13+D12+D11+D10+D9+D8+D7+D6+D5+D4</f>
        <v>216230.8</v>
      </c>
      <c r="E77" s="400">
        <f t="shared" si="21"/>
        <v>657616.21</v>
      </c>
      <c r="F77" s="376">
        <f>SUM(C77:E77)</f>
        <v>1390377.2</v>
      </c>
      <c r="G77" s="400">
        <f t="shared" si="21"/>
        <v>548399.1</v>
      </c>
      <c r="H77" s="400">
        <f t="shared" si="21"/>
        <v>429714.03</v>
      </c>
      <c r="I77" s="400">
        <f t="shared" si="21"/>
        <v>646198.98</v>
      </c>
      <c r="J77" s="376">
        <f t="shared" ref="J77:J79" si="22">SUM(G77:I77)</f>
        <v>1624312.11</v>
      </c>
      <c r="K77" s="400">
        <f t="shared" si="21"/>
        <v>276902.42</v>
      </c>
      <c r="L77" s="400">
        <f t="shared" si="21"/>
        <v>157473</v>
      </c>
      <c r="M77" s="400">
        <f t="shared" si="21"/>
        <v>0</v>
      </c>
      <c r="N77" s="386">
        <f t="shared" ref="N77:N79" si="23">SUM(K77:M77)</f>
        <v>434375.42</v>
      </c>
      <c r="O77" s="400">
        <f t="shared" si="21"/>
        <v>0</v>
      </c>
      <c r="P77" s="400">
        <f t="shared" si="21"/>
        <v>0</v>
      </c>
      <c r="Q77" s="400">
        <f t="shared" si="21"/>
        <v>0</v>
      </c>
      <c r="R77" s="386">
        <f t="shared" ref="R77:R79" si="24">SUM(O77:Q77)</f>
        <v>0</v>
      </c>
      <c r="S77" s="400"/>
      <c r="T77" s="390">
        <f>Q77+P77+O77+M77+L77+K77+I77+H77+G77+E77+D77+C77</f>
        <v>3449064.73</v>
      </c>
    </row>
    <row r="78" s="6" customFormat="1" customHeight="1" spans="1:20">
      <c r="A78" s="4"/>
      <c r="B78" s="6" t="s">
        <v>462</v>
      </c>
      <c r="C78" s="400">
        <f t="shared" ref="C78:I78" si="25">C15+C14</f>
        <v>270657</v>
      </c>
      <c r="D78" s="400">
        <f t="shared" si="25"/>
        <v>114255</v>
      </c>
      <c r="E78" s="400">
        <f t="shared" si="25"/>
        <v>272412</v>
      </c>
      <c r="F78" s="376">
        <f>SUM(C78:E78)</f>
        <v>657324</v>
      </c>
      <c r="G78" s="400">
        <f t="shared" si="25"/>
        <v>135793</v>
      </c>
      <c r="H78" s="400">
        <f t="shared" si="25"/>
        <v>201219</v>
      </c>
      <c r="I78" s="400">
        <f t="shared" si="25"/>
        <v>310376</v>
      </c>
      <c r="J78" s="376">
        <f t="shared" si="22"/>
        <v>647388</v>
      </c>
      <c r="K78" s="400">
        <f t="shared" ref="K78:M78" si="26">K15+K14</f>
        <v>82249</v>
      </c>
      <c r="L78" s="400">
        <f t="shared" si="26"/>
        <v>82118</v>
      </c>
      <c r="M78" s="400">
        <f t="shared" si="26"/>
        <v>0</v>
      </c>
      <c r="N78" s="386">
        <f t="shared" si="23"/>
        <v>164367</v>
      </c>
      <c r="O78" s="400">
        <f t="shared" ref="O78:Q78" si="27">O15+O14</f>
        <v>0</v>
      </c>
      <c r="P78" s="400">
        <f t="shared" si="27"/>
        <v>0</v>
      </c>
      <c r="Q78" s="400">
        <f t="shared" si="27"/>
        <v>0</v>
      </c>
      <c r="R78" s="386">
        <f t="shared" si="24"/>
        <v>0</v>
      </c>
      <c r="S78" s="400"/>
      <c r="T78" s="390">
        <f>Q78+P78+O78+M78+L78+K78+I78+H78+G78+E78+D78+C78</f>
        <v>1469079</v>
      </c>
    </row>
    <row r="79" s="6" customFormat="1" customHeight="1" spans="1:20">
      <c r="A79" s="4"/>
      <c r="C79" s="4">
        <f t="shared" ref="C79:I79" si="28">C77+C78</f>
        <v>787187.19</v>
      </c>
      <c r="D79" s="4">
        <f t="shared" si="28"/>
        <v>330485.8</v>
      </c>
      <c r="E79" s="4">
        <f t="shared" si="28"/>
        <v>930028.21</v>
      </c>
      <c r="F79" s="376">
        <f>SUM(C79:E79)</f>
        <v>2047701.2</v>
      </c>
      <c r="G79" s="4">
        <f t="shared" si="28"/>
        <v>684192.1</v>
      </c>
      <c r="H79" s="4">
        <f t="shared" si="28"/>
        <v>630933.03</v>
      </c>
      <c r="I79" s="4">
        <f t="shared" si="28"/>
        <v>956574.98</v>
      </c>
      <c r="J79" s="376">
        <f t="shared" si="22"/>
        <v>2271700.11</v>
      </c>
      <c r="K79" s="4">
        <f t="shared" ref="K79:M79" si="29">K77+K78</f>
        <v>359151.42</v>
      </c>
      <c r="L79" s="4">
        <f t="shared" si="29"/>
        <v>239591</v>
      </c>
      <c r="M79" s="4">
        <f t="shared" si="29"/>
        <v>0</v>
      </c>
      <c r="N79" s="386">
        <f t="shared" si="23"/>
        <v>598742.42</v>
      </c>
      <c r="O79" s="4">
        <f t="shared" ref="O79:Q79" si="30">O77+O78</f>
        <v>0</v>
      </c>
      <c r="P79" s="4">
        <f t="shared" si="30"/>
        <v>0</v>
      </c>
      <c r="Q79" s="4">
        <f t="shared" si="30"/>
        <v>0</v>
      </c>
      <c r="R79" s="386">
        <f t="shared" si="24"/>
        <v>0</v>
      </c>
      <c r="T79" s="390"/>
    </row>
    <row r="80" s="6" customFormat="1" customHeight="1" spans="1:22">
      <c r="A80" s="4"/>
      <c r="C80" s="4"/>
      <c r="D80" s="4"/>
      <c r="E80" s="4"/>
      <c r="F80" s="372"/>
      <c r="G80" s="4"/>
      <c r="J80" s="373"/>
      <c r="N80" s="403"/>
      <c r="R80" s="403"/>
      <c r="V80" s="390"/>
    </row>
    <row r="81" s="6" customFormat="1" customHeight="1" spans="1:18">
      <c r="A81" s="157"/>
      <c r="B81" s="266" t="s">
        <v>463</v>
      </c>
      <c r="C81" s="279">
        <v>0</v>
      </c>
      <c r="D81" s="279">
        <v>0</v>
      </c>
      <c r="E81" s="279">
        <v>0</v>
      </c>
      <c r="F81" s="376">
        <f>SUM(C81:E81)</f>
        <v>0</v>
      </c>
      <c r="G81" s="279">
        <v>0</v>
      </c>
      <c r="H81" s="279">
        <v>0</v>
      </c>
      <c r="I81" s="279">
        <f>VLOOKUP(B81,[9]金衢!$C:$AG,31,0)</f>
        <v>0</v>
      </c>
      <c r="J81" s="376">
        <f>SUM(G81:I81)</f>
        <v>0</v>
      </c>
      <c r="K81" s="157">
        <f>VLOOKUP(B81,[10]金衢!$C$3:$AM$38,37,0)</f>
        <v>0</v>
      </c>
      <c r="L81" s="279">
        <f>VLOOKUP(B81,[11]金衢!$C:$AS,43,0)</f>
        <v>0</v>
      </c>
      <c r="M81" s="266"/>
      <c r="N81" s="386">
        <f>SUM(K81:M81)</f>
        <v>0</v>
      </c>
      <c r="O81" s="266"/>
      <c r="P81" s="266"/>
      <c r="Q81" s="157"/>
      <c r="R81" s="386">
        <f>SUM(O81:Q81)</f>
        <v>0</v>
      </c>
    </row>
    <row r="82" s="6" customFormat="1" customHeight="1" spans="1:18">
      <c r="A82" s="157"/>
      <c r="B82" s="266" t="s">
        <v>464</v>
      </c>
      <c r="C82" s="279">
        <v>0</v>
      </c>
      <c r="D82" s="279">
        <v>0</v>
      </c>
      <c r="E82" s="279">
        <v>0</v>
      </c>
      <c r="F82" s="376">
        <f>SUM(C82:E82)</f>
        <v>0</v>
      </c>
      <c r="G82" s="279">
        <v>0</v>
      </c>
      <c r="H82" s="279">
        <v>0</v>
      </c>
      <c r="I82" s="279">
        <f>VLOOKUP(B82,[9]金衢!$C:$AG,31,0)</f>
        <v>0</v>
      </c>
      <c r="J82" s="376">
        <f>SUM(G82:I82)</f>
        <v>0</v>
      </c>
      <c r="K82" s="157">
        <f>VLOOKUP(B82,[10]金衢!$C$3:$AM$38,37,0)</f>
        <v>0</v>
      </c>
      <c r="L82" s="279">
        <f>VLOOKUP(B82,[11]金衢!$C:$AS,43,0)</f>
        <v>0</v>
      </c>
      <c r="M82" s="266"/>
      <c r="N82" s="386">
        <f>SUM(K82:M82)</f>
        <v>0</v>
      </c>
      <c r="O82" s="266"/>
      <c r="P82" s="266"/>
      <c r="Q82" s="157"/>
      <c r="R82" s="386">
        <f>SUM(O82:Q82)</f>
        <v>0</v>
      </c>
    </row>
    <row r="83" s="6" customFormat="1" customHeight="1" spans="1:18">
      <c r="A83" s="4"/>
      <c r="C83" s="4"/>
      <c r="D83" s="4"/>
      <c r="E83" s="4"/>
      <c r="F83" s="372"/>
      <c r="G83" s="4"/>
      <c r="J83" s="373"/>
      <c r="N83" s="403"/>
      <c r="R83" s="403"/>
    </row>
    <row r="84" s="6" customFormat="1" customHeight="1" spans="1:18">
      <c r="A84" s="4"/>
      <c r="C84" s="4"/>
      <c r="D84" s="4"/>
      <c r="E84" s="4"/>
      <c r="F84" s="372"/>
      <c r="G84" s="4"/>
      <c r="J84" s="373"/>
      <c r="N84" s="403"/>
      <c r="R84" s="403"/>
    </row>
    <row r="85" s="6" customFormat="1" customHeight="1" spans="1:18">
      <c r="A85" s="4"/>
      <c r="C85" s="4"/>
      <c r="D85" s="4"/>
      <c r="E85" s="4"/>
      <c r="F85" s="372"/>
      <c r="G85" s="4"/>
      <c r="J85" s="373"/>
      <c r="N85" s="403"/>
      <c r="R85" s="403"/>
    </row>
    <row r="86" s="6" customFormat="1" customHeight="1" spans="1:18">
      <c r="A86" s="4"/>
      <c r="C86" s="4"/>
      <c r="D86" s="4"/>
      <c r="E86" s="4"/>
      <c r="F86" s="372"/>
      <c r="G86" s="4"/>
      <c r="J86" s="373"/>
      <c r="N86" s="403"/>
      <c r="R86" s="403"/>
    </row>
    <row r="87" s="6" customFormat="1" customHeight="1" spans="1:18">
      <c r="A87" s="4"/>
      <c r="C87" s="4"/>
      <c r="D87" s="4"/>
      <c r="E87" s="4"/>
      <c r="F87" s="372"/>
      <c r="G87" s="4"/>
      <c r="J87" s="373"/>
      <c r="N87" s="403"/>
      <c r="R87" s="403"/>
    </row>
    <row r="88" s="6" customFormat="1" customHeight="1" spans="1:18">
      <c r="A88" s="4"/>
      <c r="C88" s="4"/>
      <c r="D88" s="4"/>
      <c r="E88" s="4"/>
      <c r="F88" s="372"/>
      <c r="G88" s="4"/>
      <c r="J88" s="373"/>
      <c r="N88" s="403"/>
      <c r="R88" s="403"/>
    </row>
    <row r="89" s="6" customFormat="1" customHeight="1" spans="1:18">
      <c r="A89" s="4"/>
      <c r="C89" s="4"/>
      <c r="D89" s="4"/>
      <c r="E89" s="4"/>
      <c r="F89" s="372"/>
      <c r="G89" s="4"/>
      <c r="J89" s="373"/>
      <c r="N89" s="403"/>
      <c r="R89" s="403"/>
    </row>
    <row r="90" s="6" customFormat="1" customHeight="1" spans="1:18">
      <c r="A90" s="4"/>
      <c r="C90" s="4"/>
      <c r="D90" s="4"/>
      <c r="E90" s="4"/>
      <c r="F90" s="372"/>
      <c r="G90" s="4"/>
      <c r="J90" s="373"/>
      <c r="N90" s="403"/>
      <c r="R90" s="403"/>
    </row>
    <row r="91" s="6" customFormat="1" customHeight="1" spans="1:18">
      <c r="A91" s="4"/>
      <c r="C91" s="4"/>
      <c r="D91" s="4"/>
      <c r="E91" s="4"/>
      <c r="F91" s="372"/>
      <c r="G91" s="4"/>
      <c r="J91" s="373"/>
      <c r="N91" s="403"/>
      <c r="R91" s="403"/>
    </row>
  </sheetData>
  <autoFilter xmlns:etc="http://www.wps.cn/officeDocument/2017/etCustomData" ref="A3:Z69" etc:filterBottomFollowUsedRange="0">
    <extLst/>
  </autoFilter>
  <mergeCells count="1">
    <mergeCell ref="A73:B73"/>
  </mergeCells>
  <pageMargins left="0.354166666666667" right="0.354166666666667" top="0.432638888888889" bottom="0.432638888888889" header="0.313888888888889" footer="0.313888888888889"/>
  <pageSetup paperSize="9" orientation="portrait"/>
  <headerFooter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47"/>
  <sheetViews>
    <sheetView zoomScale="70" zoomScaleNormal="70" workbookViewId="0">
      <selection activeCell="T17" sqref="T17"/>
    </sheetView>
  </sheetViews>
  <sheetFormatPr defaultColWidth="9" defaultRowHeight="13"/>
  <cols>
    <col min="1" max="1" width="4" style="30" customWidth="1"/>
    <col min="2" max="2" width="28.0454545454545" style="141" customWidth="1"/>
    <col min="3" max="3" width="9.75454545454545" style="30" customWidth="1"/>
    <col min="4" max="4" width="10" style="30" customWidth="1"/>
    <col min="5" max="5" width="10.5" style="4" customWidth="1"/>
    <col min="6" max="7" width="10.5" style="30" customWidth="1"/>
    <col min="8" max="8" width="11.6272727272727" style="349" customWidth="1"/>
    <col min="9" max="9" width="10.5" style="30" customWidth="1"/>
    <col min="10" max="11" width="10.5" style="20" customWidth="1"/>
    <col min="12" max="12" width="11.7545454545455" style="350" customWidth="1"/>
    <col min="13" max="13" width="11.2545454545455" style="20" customWidth="1"/>
    <col min="14" max="14" width="12.7545454545455" style="20" customWidth="1"/>
    <col min="15" max="15" width="11.2545454545455" style="20" customWidth="1"/>
    <col min="16" max="16" width="11.2545454545455" style="317" customWidth="1"/>
    <col min="17" max="18" width="10.7272727272727" style="20" customWidth="1"/>
    <col min="19" max="19" width="11.5545454545455" style="20" customWidth="1"/>
    <col min="20" max="20" width="7.36363636363636" style="317" customWidth="1"/>
    <col min="21" max="21" width="4.5" style="20" customWidth="1"/>
    <col min="22" max="22" width="3.75454545454545" style="20" customWidth="1"/>
    <col min="23" max="23" width="11.1272727272727" style="20" customWidth="1"/>
    <col min="24" max="16384" width="9" style="20"/>
  </cols>
  <sheetData>
    <row r="1" s="20" customFormat="1" ht="25.5" customHeight="1" spans="1:20">
      <c r="A1" s="252" t="s">
        <v>284</v>
      </c>
      <c r="B1" s="141"/>
      <c r="C1" s="30"/>
      <c r="D1" s="30"/>
      <c r="E1" s="4"/>
      <c r="F1" s="30"/>
      <c r="G1" s="30"/>
      <c r="H1" s="349"/>
      <c r="I1" s="30"/>
      <c r="L1" s="350"/>
      <c r="P1" s="317"/>
      <c r="T1" s="317"/>
    </row>
    <row r="2" s="20" customFormat="1" ht="19.5" customHeight="1" spans="1:20">
      <c r="A2" s="351"/>
      <c r="B2" s="141" t="s">
        <v>68</v>
      </c>
      <c r="C2" s="30"/>
      <c r="D2" s="30"/>
      <c r="E2" s="4"/>
      <c r="F2" s="30"/>
      <c r="G2" s="30"/>
      <c r="H2" s="349"/>
      <c r="I2" s="30"/>
      <c r="L2" s="350"/>
      <c r="P2" s="317"/>
      <c r="T2" s="317"/>
    </row>
    <row r="3" s="252" customFormat="1" ht="19.5" customHeight="1" spans="1:20">
      <c r="A3" s="254" t="s">
        <v>3</v>
      </c>
      <c r="B3" s="150" t="s">
        <v>286</v>
      </c>
      <c r="C3" s="254" t="s">
        <v>287</v>
      </c>
      <c r="D3" s="254" t="s">
        <v>224</v>
      </c>
      <c r="E3" s="286" t="s">
        <v>288</v>
      </c>
      <c r="F3" s="254" t="s">
        <v>289</v>
      </c>
      <c r="G3" s="254" t="s">
        <v>290</v>
      </c>
      <c r="H3" s="352" t="s">
        <v>291</v>
      </c>
      <c r="I3" s="254" t="s">
        <v>292</v>
      </c>
      <c r="J3" s="254" t="s">
        <v>293</v>
      </c>
      <c r="K3" s="254" t="s">
        <v>294</v>
      </c>
      <c r="L3" s="352" t="s">
        <v>295</v>
      </c>
      <c r="M3" s="254" t="s">
        <v>296</v>
      </c>
      <c r="N3" s="254" t="s">
        <v>297</v>
      </c>
      <c r="O3" s="254" t="s">
        <v>298</v>
      </c>
      <c r="P3" s="318" t="s">
        <v>299</v>
      </c>
      <c r="Q3" s="254" t="s">
        <v>300</v>
      </c>
      <c r="R3" s="254" t="s">
        <v>301</v>
      </c>
      <c r="S3" s="254" t="s">
        <v>302</v>
      </c>
      <c r="T3" s="318" t="s">
        <v>303</v>
      </c>
    </row>
    <row r="4" s="6" customFormat="1" ht="19.5" customHeight="1" spans="1:23">
      <c r="A4" s="157">
        <v>1</v>
      </c>
      <c r="B4" s="749" t="s">
        <v>465</v>
      </c>
      <c r="C4" s="157" t="s">
        <v>466</v>
      </c>
      <c r="D4" s="157" t="s">
        <v>467</v>
      </c>
      <c r="E4" s="353">
        <f>[12]湖州!$J$5</f>
        <v>400000</v>
      </c>
      <c r="F4" s="279">
        <f>[12]湖州!$M$5</f>
        <v>300000</v>
      </c>
      <c r="G4" s="279">
        <f>[12]湖州!$S$5</f>
        <v>210000</v>
      </c>
      <c r="H4" s="354">
        <f t="shared" ref="H4:H7" si="0">E4+F4+G4</f>
        <v>910000</v>
      </c>
      <c r="I4" s="279">
        <f>VLOOKUP(B4,[13]湖州!$C:$Z,24,0)</f>
        <v>400000</v>
      </c>
      <c r="J4" s="279">
        <f>VLOOKUP(B4,[14]湖州!$C$3:$AF$22,30,0)</f>
        <v>180000</v>
      </c>
      <c r="K4" s="279">
        <f>VLOOKUP(B4,[15]湖州!$C$1:$AL$30,36,0)</f>
        <v>200000</v>
      </c>
      <c r="L4" s="354">
        <f>SUM(I4:K4)</f>
        <v>780000</v>
      </c>
      <c r="M4" s="279">
        <f>VLOOKUP(B4,[16]湖州!$C:$AR,42,0)</f>
        <v>250000</v>
      </c>
      <c r="N4" s="279">
        <f>VLOOKUP(B4,[17]湖州!$C$3:$AX$33,48,0)</f>
        <v>200000</v>
      </c>
      <c r="O4" s="279"/>
      <c r="P4" s="370"/>
      <c r="Q4" s="279"/>
      <c r="R4" s="279"/>
      <c r="S4" s="279"/>
      <c r="T4" s="370">
        <f t="shared" ref="T4:T7" si="1">SUM(Q4:S4)</f>
        <v>0</v>
      </c>
      <c r="W4"/>
    </row>
    <row r="5" s="4" customFormat="1" ht="19.5" customHeight="1" spans="1:23">
      <c r="A5" s="157">
        <v>4</v>
      </c>
      <c r="B5" s="355" t="s">
        <v>468</v>
      </c>
      <c r="C5" s="356" t="s">
        <v>305</v>
      </c>
      <c r="D5" s="356" t="s">
        <v>467</v>
      </c>
      <c r="E5" s="357">
        <v>0</v>
      </c>
      <c r="F5" s="358">
        <v>30820</v>
      </c>
      <c r="G5" s="359">
        <v>9744</v>
      </c>
      <c r="H5" s="354">
        <f t="shared" si="0"/>
        <v>40564</v>
      </c>
      <c r="I5" s="279">
        <f>VLOOKUP(B5,[13]湖州!$C:$Z,24,0)</f>
        <v>0</v>
      </c>
      <c r="J5" s="279">
        <f>VLOOKUP(B5,[14]湖州!$C$3:$AF$22,30,0)</f>
        <v>32390</v>
      </c>
      <c r="K5" s="279">
        <f>VLOOKUP(B5,[15]湖州!$C$1:$AL$30,36,0)</f>
        <v>21149</v>
      </c>
      <c r="L5" s="354">
        <f>SUM(I5:K5)</f>
        <v>53539</v>
      </c>
      <c r="M5" s="279">
        <f>VLOOKUP(B5,[16]湖州!$C:$AR,42,0)</f>
        <v>24595</v>
      </c>
      <c r="N5" s="279">
        <f>VLOOKUP(B5,[17]湖州!$C$3:$AX$33,48,0)</f>
        <v>10998</v>
      </c>
      <c r="O5" s="279"/>
      <c r="P5" s="370"/>
      <c r="Q5" s="279"/>
      <c r="R5" s="279"/>
      <c r="S5" s="279"/>
      <c r="T5" s="370"/>
      <c r="W5" s="1"/>
    </row>
    <row r="6" s="6" customFormat="1" ht="19.5" customHeight="1" spans="1:23">
      <c r="A6" s="157">
        <v>3</v>
      </c>
      <c r="B6" s="174"/>
      <c r="C6" s="157"/>
      <c r="D6" s="157"/>
      <c r="E6" s="279"/>
      <c r="F6" s="279"/>
      <c r="G6" s="279"/>
      <c r="H6" s="354">
        <f t="shared" si="0"/>
        <v>0</v>
      </c>
      <c r="I6" s="279"/>
      <c r="J6" s="279"/>
      <c r="K6" s="279"/>
      <c r="L6" s="354"/>
      <c r="M6" s="279"/>
      <c r="N6" s="279"/>
      <c r="O6" s="279"/>
      <c r="P6" s="370"/>
      <c r="Q6" s="279"/>
      <c r="R6" s="279"/>
      <c r="S6" s="279"/>
      <c r="T6" s="370">
        <f t="shared" si="1"/>
        <v>0</v>
      </c>
      <c r="W6"/>
    </row>
    <row r="7" s="6" customFormat="1" ht="19.5" customHeight="1" spans="1:23">
      <c r="A7" s="157">
        <v>4</v>
      </c>
      <c r="B7" s="174"/>
      <c r="C7" s="157"/>
      <c r="D7" s="157"/>
      <c r="E7" s="279"/>
      <c r="F7" s="279"/>
      <c r="G7" s="279"/>
      <c r="H7" s="354">
        <f t="shared" si="0"/>
        <v>0</v>
      </c>
      <c r="I7" s="279"/>
      <c r="J7" s="279"/>
      <c r="K7" s="279"/>
      <c r="L7" s="354"/>
      <c r="M7" s="279"/>
      <c r="N7" s="279"/>
      <c r="O7" s="279"/>
      <c r="P7" s="370"/>
      <c r="Q7" s="279"/>
      <c r="R7" s="279"/>
      <c r="S7" s="279"/>
      <c r="T7" s="370">
        <f t="shared" si="1"/>
        <v>0</v>
      </c>
      <c r="W7"/>
    </row>
    <row r="8" s="20" customFormat="1" ht="19.5" customHeight="1" spans="1:23">
      <c r="A8" s="30"/>
      <c r="B8" s="360" t="s">
        <v>11</v>
      </c>
      <c r="C8" s="361"/>
      <c r="D8" s="361"/>
      <c r="E8" s="324">
        <f t="shared" ref="E8:T8" si="2">SUM(E4:E7)</f>
        <v>400000</v>
      </c>
      <c r="F8" s="276">
        <f t="shared" si="2"/>
        <v>330820</v>
      </c>
      <c r="G8" s="276">
        <f t="shared" si="2"/>
        <v>219744</v>
      </c>
      <c r="H8" s="354">
        <f t="shared" si="2"/>
        <v>950564</v>
      </c>
      <c r="I8" s="276">
        <f t="shared" si="2"/>
        <v>400000</v>
      </c>
      <c r="J8" s="276">
        <f t="shared" si="2"/>
        <v>212390</v>
      </c>
      <c r="K8" s="276">
        <f t="shared" si="2"/>
        <v>221149</v>
      </c>
      <c r="L8" s="354">
        <f t="shared" si="2"/>
        <v>833539</v>
      </c>
      <c r="M8" s="276">
        <f t="shared" si="2"/>
        <v>274595</v>
      </c>
      <c r="N8" s="276">
        <f t="shared" si="2"/>
        <v>210998</v>
      </c>
      <c r="O8" s="276">
        <f t="shared" si="2"/>
        <v>0</v>
      </c>
      <c r="P8" s="324">
        <f t="shared" si="2"/>
        <v>0</v>
      </c>
      <c r="Q8" s="276">
        <f t="shared" si="2"/>
        <v>0</v>
      </c>
      <c r="R8" s="276">
        <f t="shared" si="2"/>
        <v>0</v>
      </c>
      <c r="S8" s="276">
        <f t="shared" si="2"/>
        <v>0</v>
      </c>
      <c r="T8" s="324">
        <f t="shared" si="2"/>
        <v>0</v>
      </c>
      <c r="W8"/>
    </row>
    <row r="9" s="20" customFormat="1" ht="19.5" customHeight="1" spans="1:23">
      <c r="A9" s="351"/>
      <c r="B9" s="191" t="s">
        <v>70</v>
      </c>
      <c r="C9" s="252"/>
      <c r="D9" s="252"/>
      <c r="E9" s="288"/>
      <c r="F9" s="265"/>
      <c r="G9" s="265"/>
      <c r="H9" s="362"/>
      <c r="I9" s="265"/>
      <c r="J9" s="265"/>
      <c r="K9" s="265"/>
      <c r="L9" s="362"/>
      <c r="M9" s="265"/>
      <c r="N9" s="265"/>
      <c r="O9" s="265"/>
      <c r="P9" s="325"/>
      <c r="Q9" s="265"/>
      <c r="R9" s="265"/>
      <c r="S9" s="265"/>
      <c r="T9" s="325"/>
      <c r="W9"/>
    </row>
    <row r="10" s="4" customFormat="1" ht="19.5" customHeight="1" spans="1:23">
      <c r="A10" s="157">
        <v>1</v>
      </c>
      <c r="B10" s="750" t="s">
        <v>469</v>
      </c>
      <c r="C10" s="356" t="s">
        <v>305</v>
      </c>
      <c r="D10" s="751" t="s">
        <v>470</v>
      </c>
      <c r="E10" s="357">
        <v>0</v>
      </c>
      <c r="F10" s="358">
        <v>4405</v>
      </c>
      <c r="G10" s="359">
        <v>30000</v>
      </c>
      <c r="H10" s="354">
        <f>E10+F10+G10</f>
        <v>34405</v>
      </c>
      <c r="I10" s="279">
        <f>VLOOKUP(B10,[13]湖州!$C:$Z,24,0)</f>
        <v>0</v>
      </c>
      <c r="J10" s="279">
        <f>VLOOKUP(B10,[14]湖州!$C$3:$AF$22,30,0)</f>
        <v>0</v>
      </c>
      <c r="K10" s="279">
        <f>VLOOKUP(B10,[15]湖州!$C$1:$AL$30,36,0)</f>
        <v>0</v>
      </c>
      <c r="L10" s="354">
        <f t="shared" ref="L10:L18" si="3">SUM(I10:K10)</f>
        <v>0</v>
      </c>
      <c r="M10" s="279">
        <f>VLOOKUP(B10,[16]湖州!$C:$AR,42,0)</f>
        <v>0</v>
      </c>
      <c r="N10" s="279">
        <f>VLOOKUP(B10,[17]湖州!$C$3:$AX$33,48,0)</f>
        <v>0</v>
      </c>
      <c r="O10" s="279"/>
      <c r="P10" s="370"/>
      <c r="Q10" s="279"/>
      <c r="R10" s="279"/>
      <c r="S10" s="279"/>
      <c r="T10" s="370">
        <f>SUM(Q10:S10)</f>
        <v>0</v>
      </c>
      <c r="W10" s="1"/>
    </row>
    <row r="11" s="4" customFormat="1" ht="19.5" customHeight="1" spans="1:23">
      <c r="A11" s="157">
        <v>2</v>
      </c>
      <c r="B11" s="363" t="s">
        <v>471</v>
      </c>
      <c r="C11" s="364" t="s">
        <v>348</v>
      </c>
      <c r="D11" s="751" t="s">
        <v>470</v>
      </c>
      <c r="E11" s="357">
        <v>41556</v>
      </c>
      <c r="F11" s="358">
        <v>23930</v>
      </c>
      <c r="G11" s="359">
        <v>28616</v>
      </c>
      <c r="H11" s="354">
        <f t="shared" ref="H11:H18" si="4">E11+F11+G11</f>
        <v>94102</v>
      </c>
      <c r="I11" s="279">
        <f>VLOOKUP(B11,[13]湖州!$C:$Z,24,0)</f>
        <v>5936</v>
      </c>
      <c r="J11" s="279">
        <f>VLOOKUP(B11,[14]湖州!$C$3:$AF$22,30,0)</f>
        <v>33015</v>
      </c>
      <c r="K11" s="279">
        <f>VLOOKUP(B11,[15]湖州!$C$1:$AL$30,36,0)</f>
        <v>4599</v>
      </c>
      <c r="L11" s="354">
        <f t="shared" si="3"/>
        <v>43550</v>
      </c>
      <c r="M11" s="279">
        <f>VLOOKUP(B11,[16]湖州!$C:$AR,42,0)</f>
        <v>-4599</v>
      </c>
      <c r="N11" s="279">
        <f>VLOOKUP(B11,[17]湖州!$C$3:$AX$33,48,0)</f>
        <v>0</v>
      </c>
      <c r="O11" s="279"/>
      <c r="P11" s="370"/>
      <c r="Q11" s="279"/>
      <c r="R11" s="279"/>
      <c r="S11" s="279"/>
      <c r="T11" s="370"/>
      <c r="W11" s="1"/>
    </row>
    <row r="12" s="4" customFormat="1" ht="19.5" customHeight="1" spans="1:23">
      <c r="A12" s="157">
        <v>3</v>
      </c>
      <c r="B12" s="365" t="s">
        <v>472</v>
      </c>
      <c r="C12" s="356" t="s">
        <v>305</v>
      </c>
      <c r="D12" s="751" t="s">
        <v>470</v>
      </c>
      <c r="E12" s="357"/>
      <c r="F12" s="358"/>
      <c r="G12" s="359"/>
      <c r="H12" s="354">
        <f t="shared" si="4"/>
        <v>0</v>
      </c>
      <c r="I12" s="279">
        <f>VLOOKUP(B12,[13]湖州!$C:$Z,24,0)</f>
        <v>0</v>
      </c>
      <c r="J12" s="279">
        <f>VLOOKUP(B12,[14]湖州!$C$3:$AF$22,30,0)</f>
        <v>0</v>
      </c>
      <c r="K12" s="279">
        <f>VLOOKUP(B12,[15]湖州!$C$1:$AL$30,36,0)</f>
        <v>0</v>
      </c>
      <c r="L12" s="354">
        <f t="shared" si="3"/>
        <v>0</v>
      </c>
      <c r="M12" s="279">
        <f>VLOOKUP(B12,[16]湖州!$C:$AR,42,0)</f>
        <v>0</v>
      </c>
      <c r="N12" s="279">
        <f>VLOOKUP(B12,[17]湖州!$C$3:$AX$33,48,0)</f>
        <v>0</v>
      </c>
      <c r="O12" s="279"/>
      <c r="P12" s="370"/>
      <c r="Q12" s="279"/>
      <c r="R12" s="279"/>
      <c r="S12" s="279"/>
      <c r="T12" s="370"/>
      <c r="W12" s="1"/>
    </row>
    <row r="13" s="4" customFormat="1" ht="19.5" customHeight="1" spans="1:23">
      <c r="A13" s="157">
        <v>4</v>
      </c>
      <c r="B13" s="365" t="s">
        <v>473</v>
      </c>
      <c r="C13" s="356" t="s">
        <v>305</v>
      </c>
      <c r="D13" s="356" t="s">
        <v>470</v>
      </c>
      <c r="E13" s="357"/>
      <c r="F13" s="358"/>
      <c r="G13" s="359"/>
      <c r="H13" s="354">
        <f t="shared" si="4"/>
        <v>0</v>
      </c>
      <c r="I13" s="279">
        <f>VLOOKUP(B13,[13]湖州!$C:$Z,24,0)</f>
        <v>0</v>
      </c>
      <c r="J13" s="279">
        <f>VLOOKUP(B13,[14]湖州!$C$3:$AF$22,30,0)</f>
        <v>0</v>
      </c>
      <c r="K13" s="279">
        <f>VLOOKUP(B13,[15]湖州!$C$1:$AL$30,36,0)</f>
        <v>0</v>
      </c>
      <c r="L13" s="354">
        <f t="shared" si="3"/>
        <v>0</v>
      </c>
      <c r="M13" s="279">
        <v>0</v>
      </c>
      <c r="N13" s="279">
        <v>37.6</v>
      </c>
      <c r="O13" s="279"/>
      <c r="P13" s="370"/>
      <c r="Q13" s="279"/>
      <c r="R13" s="279"/>
      <c r="S13" s="279"/>
      <c r="T13" s="370"/>
      <c r="W13" s="1"/>
    </row>
    <row r="14" s="4" customFormat="1" ht="19.5" customHeight="1" spans="1:23">
      <c r="A14" s="157">
        <v>5</v>
      </c>
      <c r="B14" s="365" t="s">
        <v>474</v>
      </c>
      <c r="C14" s="356" t="s">
        <v>305</v>
      </c>
      <c r="D14" s="356" t="s">
        <v>470</v>
      </c>
      <c r="E14" s="357"/>
      <c r="F14" s="358"/>
      <c r="G14" s="359"/>
      <c r="H14" s="354">
        <f t="shared" si="4"/>
        <v>0</v>
      </c>
      <c r="I14" s="279">
        <f>VLOOKUP(B14,[13]湖州!$C:$Z,24,0)</f>
        <v>0</v>
      </c>
      <c r="J14" s="279">
        <f>VLOOKUP(B14,[14]湖州!$C$3:$AF$22,30,0)</f>
        <v>0</v>
      </c>
      <c r="K14" s="279">
        <f>VLOOKUP(B14,[15]湖州!$C$1:$AL$30,36,0)</f>
        <v>0</v>
      </c>
      <c r="L14" s="354">
        <f t="shared" si="3"/>
        <v>0</v>
      </c>
      <c r="M14" s="279">
        <f>VLOOKUP(B14,[16]湖州!$C:$AR,42,0)</f>
        <v>0</v>
      </c>
      <c r="N14" s="279">
        <f>VLOOKUP(B14,[17]湖州!$C$3:$AX$33,48,0)</f>
        <v>0</v>
      </c>
      <c r="O14" s="279"/>
      <c r="P14" s="370"/>
      <c r="Q14" s="279"/>
      <c r="R14" s="279"/>
      <c r="S14" s="279"/>
      <c r="T14" s="370"/>
      <c r="W14" s="1"/>
    </row>
    <row r="15" s="4" customFormat="1" ht="19.5" customHeight="1" spans="1:23">
      <c r="A15" s="157">
        <v>6</v>
      </c>
      <c r="B15" s="365" t="s">
        <v>475</v>
      </c>
      <c r="C15" s="356" t="s">
        <v>305</v>
      </c>
      <c r="D15" s="356" t="s">
        <v>470</v>
      </c>
      <c r="E15" s="357"/>
      <c r="F15" s="358"/>
      <c r="G15" s="359"/>
      <c r="H15" s="354">
        <f t="shared" si="4"/>
        <v>0</v>
      </c>
      <c r="I15" s="279">
        <f>VLOOKUP(B15,[13]湖州!$C:$Z,24,0)</f>
        <v>0</v>
      </c>
      <c r="J15" s="279">
        <f>VLOOKUP(B15,[14]湖州!$C$3:$AF$22,30,0)</f>
        <v>0</v>
      </c>
      <c r="K15" s="279">
        <f>VLOOKUP(B15,[15]湖州!$C$1:$AL$30,36,0)</f>
        <v>0</v>
      </c>
      <c r="L15" s="354">
        <f t="shared" si="3"/>
        <v>0</v>
      </c>
      <c r="M15" s="279">
        <f>VLOOKUP(B15,[16]湖州!$C:$AR,42,0)</f>
        <v>0</v>
      </c>
      <c r="N15" s="279">
        <f>VLOOKUP(B15,[17]湖州!$C$3:$AX$33,48,0)</f>
        <v>0</v>
      </c>
      <c r="O15" s="279"/>
      <c r="P15" s="370"/>
      <c r="Q15" s="279"/>
      <c r="R15" s="279"/>
      <c r="S15" s="279"/>
      <c r="T15" s="370"/>
      <c r="W15" s="1"/>
    </row>
    <row r="16" s="4" customFormat="1" ht="19.5" customHeight="1" spans="1:23">
      <c r="A16" s="157">
        <v>7</v>
      </c>
      <c r="B16" s="365" t="s">
        <v>476</v>
      </c>
      <c r="C16" s="356" t="s">
        <v>305</v>
      </c>
      <c r="D16" s="356" t="s">
        <v>470</v>
      </c>
      <c r="E16" s="357"/>
      <c r="F16" s="358"/>
      <c r="G16" s="359"/>
      <c r="H16" s="354">
        <f t="shared" si="4"/>
        <v>0</v>
      </c>
      <c r="I16" s="279">
        <f>VLOOKUP(B16,[13]湖州!$C:$Z,24,0)</f>
        <v>0</v>
      </c>
      <c r="J16" s="279">
        <f>VLOOKUP(B16,[14]湖州!$C$3:$AF$22,30,0)</f>
        <v>0</v>
      </c>
      <c r="K16" s="279">
        <f>VLOOKUP(B16,[15]湖州!$C$1:$AL$30,36,0)</f>
        <v>0</v>
      </c>
      <c r="L16" s="354">
        <f t="shared" si="3"/>
        <v>0</v>
      </c>
      <c r="M16" s="279">
        <f>VLOOKUP(B16,[16]湖州!$C:$AR,42,0)</f>
        <v>0</v>
      </c>
      <c r="N16" s="279">
        <f>VLOOKUP(B16,[17]湖州!$C$3:$AX$33,48,0)</f>
        <v>0</v>
      </c>
      <c r="O16" s="279"/>
      <c r="P16" s="370"/>
      <c r="Q16" s="279"/>
      <c r="R16" s="279"/>
      <c r="S16" s="279"/>
      <c r="T16" s="370"/>
      <c r="W16" s="1"/>
    </row>
    <row r="17" s="4" customFormat="1" ht="19.5" customHeight="1" spans="1:23">
      <c r="A17" s="157">
        <v>8</v>
      </c>
      <c r="B17" s="365" t="s">
        <v>477</v>
      </c>
      <c r="C17" s="356" t="s">
        <v>305</v>
      </c>
      <c r="D17" s="356" t="s">
        <v>470</v>
      </c>
      <c r="E17" s="357"/>
      <c r="F17" s="358"/>
      <c r="G17" s="359"/>
      <c r="H17" s="354">
        <f t="shared" si="4"/>
        <v>0</v>
      </c>
      <c r="I17" s="279">
        <f>VLOOKUP(B17,[13]湖州!$C:$Z,24,0)</f>
        <v>0</v>
      </c>
      <c r="J17" s="279">
        <f>VLOOKUP(B17,[14]湖州!$C$3:$AF$22,30,0)</f>
        <v>0</v>
      </c>
      <c r="K17" s="279">
        <f>VLOOKUP(B17,[15]湖州!$C$1:$AL$30,36,0)</f>
        <v>6167</v>
      </c>
      <c r="L17" s="354">
        <f t="shared" si="3"/>
        <v>6167</v>
      </c>
      <c r="M17" s="279">
        <v>0</v>
      </c>
      <c r="N17" s="279">
        <v>0</v>
      </c>
      <c r="O17" s="279"/>
      <c r="P17" s="370"/>
      <c r="Q17" s="279"/>
      <c r="R17" s="279"/>
      <c r="S17" s="279"/>
      <c r="T17" s="370">
        <f t="shared" ref="T17:T22" si="5">SUM(Q17:S17)</f>
        <v>0</v>
      </c>
      <c r="W17" s="1"/>
    </row>
    <row r="18" s="4" customFormat="1" ht="19.5" customHeight="1" spans="1:23">
      <c r="A18" s="157">
        <v>9</v>
      </c>
      <c r="B18" s="155"/>
      <c r="C18" s="157"/>
      <c r="D18" s="157"/>
      <c r="E18" s="353"/>
      <c r="F18" s="279"/>
      <c r="G18" s="279"/>
      <c r="H18" s="354">
        <f t="shared" si="4"/>
        <v>0</v>
      </c>
      <c r="I18" s="279"/>
      <c r="J18" s="279"/>
      <c r="K18" s="279">
        <v>0</v>
      </c>
      <c r="L18" s="354">
        <f t="shared" si="3"/>
        <v>0</v>
      </c>
      <c r="M18" s="279">
        <v>0</v>
      </c>
      <c r="N18" s="279">
        <v>0</v>
      </c>
      <c r="O18" s="279"/>
      <c r="P18" s="370"/>
      <c r="Q18" s="279"/>
      <c r="R18" s="279"/>
      <c r="S18" s="279"/>
      <c r="T18" s="370">
        <f t="shared" si="5"/>
        <v>0</v>
      </c>
      <c r="W18" s="1"/>
    </row>
    <row r="19" s="30" customFormat="1" ht="20.1" customHeight="1" spans="1:23">
      <c r="A19" s="278"/>
      <c r="B19" s="366" t="s">
        <v>11</v>
      </c>
      <c r="C19" s="367"/>
      <c r="D19" s="367"/>
      <c r="E19" s="324">
        <f t="shared" ref="E19:S19" si="6">SUM(E10:E18)</f>
        <v>41556</v>
      </c>
      <c r="F19" s="276">
        <f t="shared" si="6"/>
        <v>28335</v>
      </c>
      <c r="G19" s="276">
        <f t="shared" si="6"/>
        <v>58616</v>
      </c>
      <c r="H19" s="368">
        <f t="shared" si="6"/>
        <v>128507</v>
      </c>
      <c r="I19" s="276">
        <f t="shared" si="6"/>
        <v>5936</v>
      </c>
      <c r="J19" s="276">
        <f t="shared" si="6"/>
        <v>33015</v>
      </c>
      <c r="K19" s="276">
        <f t="shared" si="6"/>
        <v>10766</v>
      </c>
      <c r="L19" s="368">
        <f t="shared" si="6"/>
        <v>49717</v>
      </c>
      <c r="M19" s="276">
        <f t="shared" si="6"/>
        <v>-4599</v>
      </c>
      <c r="N19" s="276">
        <f t="shared" si="6"/>
        <v>37.6</v>
      </c>
      <c r="O19" s="276">
        <f t="shared" si="6"/>
        <v>0</v>
      </c>
      <c r="P19" s="276">
        <f t="shared" si="6"/>
        <v>0</v>
      </c>
      <c r="Q19" s="276">
        <f t="shared" si="6"/>
        <v>0</v>
      </c>
      <c r="R19" s="276">
        <f t="shared" si="6"/>
        <v>0</v>
      </c>
      <c r="S19" s="276">
        <f t="shared" si="6"/>
        <v>0</v>
      </c>
      <c r="T19" s="324">
        <f>SUM(T10:T10)</f>
        <v>0</v>
      </c>
      <c r="W19" s="1"/>
    </row>
    <row r="20" ht="19.5" customHeight="1"/>
    <row r="21" s="20" customFormat="1" ht="19.5" customHeight="1" spans="1:23">
      <c r="A21" s="351"/>
      <c r="B21" s="191" t="s">
        <v>478</v>
      </c>
      <c r="C21" s="252"/>
      <c r="D21" s="252"/>
      <c r="E21" s="288"/>
      <c r="F21" s="265"/>
      <c r="G21" s="265"/>
      <c r="H21" s="362"/>
      <c r="I21" s="265"/>
      <c r="J21" s="265"/>
      <c r="K21" s="265"/>
      <c r="L21" s="362"/>
      <c r="M21" s="265"/>
      <c r="N21" s="265"/>
      <c r="O21" s="265"/>
      <c r="P21" s="325"/>
      <c r="Q21" s="265"/>
      <c r="R21" s="265"/>
      <c r="S21" s="265"/>
      <c r="T21" s="325"/>
      <c r="W21"/>
    </row>
    <row r="22" s="4" customFormat="1" ht="19.5" customHeight="1" spans="1:23">
      <c r="A22" s="157">
        <v>1</v>
      </c>
      <c r="B22" s="363" t="s">
        <v>479</v>
      </c>
      <c r="C22" s="356" t="s">
        <v>326</v>
      </c>
      <c r="D22" s="751" t="s">
        <v>480</v>
      </c>
      <c r="E22" s="357">
        <v>3500</v>
      </c>
      <c r="F22" s="358">
        <v>10000</v>
      </c>
      <c r="G22" s="359">
        <v>13017.06</v>
      </c>
      <c r="H22" s="354">
        <f t="shared" ref="H22:H30" si="7">E22+F22+G22</f>
        <v>26517.06</v>
      </c>
      <c r="I22" s="279">
        <f>VLOOKUP(B22,[13]湖州!$C:$Z,24,0)</f>
        <v>0</v>
      </c>
      <c r="J22" s="279">
        <f>VLOOKUP(B22,[14]湖州!$C$3:$AF$22,30,0)</f>
        <v>0</v>
      </c>
      <c r="K22" s="279">
        <f>VLOOKUP(B22,[15]湖州!$C$1:$AL$30,36,0)</f>
        <v>0</v>
      </c>
      <c r="L22" s="354">
        <f t="shared" ref="L22:L30" si="8">SUM(I22:K22)</f>
        <v>0</v>
      </c>
      <c r="M22" s="279">
        <f>VLOOKUP(B22,[16]湖州!$C:$AR,42,0)</f>
        <v>0</v>
      </c>
      <c r="N22" s="279">
        <f>VLOOKUP(B22,[17]湖州!$C$3:$AX$33,48,0)</f>
        <v>0</v>
      </c>
      <c r="O22" s="279"/>
      <c r="P22" s="370"/>
      <c r="Q22" s="279"/>
      <c r="R22" s="279"/>
      <c r="S22" s="279"/>
      <c r="T22" s="370">
        <f t="shared" si="5"/>
        <v>0</v>
      </c>
      <c r="W22" s="1"/>
    </row>
    <row r="23" s="4" customFormat="1" ht="19.5" customHeight="1" spans="1:23">
      <c r="A23" s="157">
        <v>2</v>
      </c>
      <c r="B23" s="363" t="s">
        <v>481</v>
      </c>
      <c r="C23" s="364" t="s">
        <v>305</v>
      </c>
      <c r="D23" s="752" t="s">
        <v>482</v>
      </c>
      <c r="E23" s="369">
        <v>23268</v>
      </c>
      <c r="F23" s="358">
        <v>20000</v>
      </c>
      <c r="G23" s="359">
        <v>110886</v>
      </c>
      <c r="H23" s="354">
        <f t="shared" si="7"/>
        <v>154154</v>
      </c>
      <c r="I23" s="279">
        <f>VLOOKUP(B23,[13]湖州!$C:$Z,24,0)</f>
        <v>0</v>
      </c>
      <c r="J23" s="279">
        <f>VLOOKUP(B23,[14]湖州!$C$3:$AF$22,30,0)</f>
        <v>31123</v>
      </c>
      <c r="K23" s="279">
        <f>VLOOKUP(B23,[15]湖州!$C$1:$AL$30,36,0)</f>
        <v>25000</v>
      </c>
      <c r="L23" s="354">
        <f t="shared" si="8"/>
        <v>56123</v>
      </c>
      <c r="M23" s="279">
        <f>VLOOKUP(B23,[16]湖州!$C:$AR,42,0)</f>
        <v>26000</v>
      </c>
      <c r="N23" s="279">
        <f>VLOOKUP(B23,[17]湖州!$C$3:$AX$33,48,0)</f>
        <v>81471</v>
      </c>
      <c r="O23" s="279"/>
      <c r="P23" s="370"/>
      <c r="Q23" s="279"/>
      <c r="R23" s="279"/>
      <c r="S23" s="279"/>
      <c r="T23" s="370"/>
      <c r="W23" s="1"/>
    </row>
    <row r="24" s="4" customFormat="1" ht="19.5" customHeight="1" spans="1:23">
      <c r="A24" s="157">
        <v>3</v>
      </c>
      <c r="B24" s="363" t="s">
        <v>483</v>
      </c>
      <c r="C24" s="356" t="s">
        <v>374</v>
      </c>
      <c r="D24" s="356" t="s">
        <v>467</v>
      </c>
      <c r="E24" s="357">
        <v>4938</v>
      </c>
      <c r="F24" s="358">
        <v>0</v>
      </c>
      <c r="G24" s="359">
        <v>2998</v>
      </c>
      <c r="H24" s="354">
        <f t="shared" si="7"/>
        <v>7936</v>
      </c>
      <c r="I24" s="279">
        <f>VLOOKUP(B24,[13]湖州!$C:$Z,24,0)</f>
        <v>2400</v>
      </c>
      <c r="J24" s="279">
        <f>VLOOKUP(B24,[14]湖州!$C$3:$AF$22,30,0)</f>
        <v>11730</v>
      </c>
      <c r="K24" s="279">
        <f>VLOOKUP(B24,[15]湖州!$C$1:$AL$30,36,0)</f>
        <v>10598</v>
      </c>
      <c r="L24" s="354">
        <f t="shared" si="8"/>
        <v>24728</v>
      </c>
      <c r="M24" s="279">
        <f>VLOOKUP(B24,[16]湖州!$C:$AR,42,0)</f>
        <v>8400</v>
      </c>
      <c r="N24" s="279">
        <f>VLOOKUP(B24,[17]湖州!$C$3:$AX$33,48,0)</f>
        <v>8876</v>
      </c>
      <c r="O24" s="279"/>
      <c r="P24" s="370"/>
      <c r="Q24" s="279"/>
      <c r="R24" s="279"/>
      <c r="S24" s="279"/>
      <c r="T24" s="370"/>
      <c r="W24" s="1"/>
    </row>
    <row r="25" s="4" customFormat="1" ht="19.5" customHeight="1" spans="1:23">
      <c r="A25" s="157">
        <v>4</v>
      </c>
      <c r="B25" s="365" t="s">
        <v>484</v>
      </c>
      <c r="C25" s="356" t="s">
        <v>305</v>
      </c>
      <c r="D25" s="356" t="s">
        <v>485</v>
      </c>
      <c r="E25" s="357"/>
      <c r="F25" s="358"/>
      <c r="G25" s="359"/>
      <c r="H25" s="354">
        <f t="shared" si="7"/>
        <v>0</v>
      </c>
      <c r="I25" s="279">
        <f>VLOOKUP(B25,[13]湖州!$C:$Z,24,0)</f>
        <v>0</v>
      </c>
      <c r="J25" s="279">
        <f>VLOOKUP(B25,[14]湖州!$C$3:$AF$22,30,0)</f>
        <v>0</v>
      </c>
      <c r="K25" s="279">
        <f>VLOOKUP(B25,[15]湖州!$C$1:$AL$30,36,0)</f>
        <v>0</v>
      </c>
      <c r="L25" s="354">
        <f t="shared" si="8"/>
        <v>0</v>
      </c>
      <c r="M25" s="279">
        <f>VLOOKUP(B25,[16]湖州!$C:$AR,42,0)</f>
        <v>0</v>
      </c>
      <c r="N25" s="279">
        <f>VLOOKUP(B25,[17]湖州!$C$3:$AX$33,48,0)</f>
        <v>0</v>
      </c>
      <c r="O25" s="279"/>
      <c r="P25" s="370"/>
      <c r="Q25" s="279"/>
      <c r="R25" s="279"/>
      <c r="S25" s="279"/>
      <c r="T25" s="370"/>
      <c r="W25" s="1"/>
    </row>
    <row r="26" s="4" customFormat="1" ht="19.5" customHeight="1" spans="1:23">
      <c r="A26" s="157">
        <v>5</v>
      </c>
      <c r="B26" s="365" t="s">
        <v>486</v>
      </c>
      <c r="C26" s="356" t="s">
        <v>305</v>
      </c>
      <c r="D26" s="356" t="s">
        <v>467</v>
      </c>
      <c r="E26" s="357"/>
      <c r="F26" s="358"/>
      <c r="G26" s="359"/>
      <c r="H26" s="354">
        <f t="shared" si="7"/>
        <v>0</v>
      </c>
      <c r="I26" s="279">
        <f>VLOOKUP(B26,[13]湖州!$C:$Z,24,0)</f>
        <v>0</v>
      </c>
      <c r="J26" s="279">
        <f>VLOOKUP(B26,[14]湖州!$C$3:$AF$22,30,0)</f>
        <v>0</v>
      </c>
      <c r="K26" s="279">
        <f>VLOOKUP(B26,[15]湖州!$C$1:$AL$30,36,0)</f>
        <v>0</v>
      </c>
      <c r="L26" s="354">
        <f t="shared" si="8"/>
        <v>0</v>
      </c>
      <c r="M26" s="279">
        <f>VLOOKUP(B26,[16]湖州!$C:$AR,42,0)</f>
        <v>0</v>
      </c>
      <c r="N26" s="279">
        <f>VLOOKUP(B26,[17]湖州!$C$3:$AX$33,48,0)</f>
        <v>0</v>
      </c>
      <c r="O26" s="279"/>
      <c r="P26" s="370"/>
      <c r="Q26" s="279"/>
      <c r="R26" s="279"/>
      <c r="S26" s="279"/>
      <c r="T26" s="370"/>
      <c r="W26" s="1"/>
    </row>
    <row r="27" s="4" customFormat="1" ht="19.5" customHeight="1" spans="1:23">
      <c r="A27" s="157">
        <v>6</v>
      </c>
      <c r="B27" s="365" t="s">
        <v>386</v>
      </c>
      <c r="C27" s="356" t="s">
        <v>305</v>
      </c>
      <c r="D27" s="356" t="s">
        <v>467</v>
      </c>
      <c r="E27" s="357"/>
      <c r="F27" s="358">
        <v>1736.04</v>
      </c>
      <c r="G27" s="359"/>
      <c r="H27" s="354">
        <f t="shared" si="7"/>
        <v>1736.04</v>
      </c>
      <c r="I27" s="279">
        <f>VLOOKUP(B27,[13]湖州!$C:$Z,24,0)</f>
        <v>3472.08</v>
      </c>
      <c r="J27" s="279">
        <f>VLOOKUP(B27,[14]湖州!$C$3:$AF$22,30,0)</f>
        <v>0</v>
      </c>
      <c r="K27" s="279">
        <f>VLOOKUP(B27,[15]湖州!$C$1:$AL$30,36,0)</f>
        <v>0</v>
      </c>
      <c r="L27" s="354">
        <f t="shared" si="8"/>
        <v>3472.08</v>
      </c>
      <c r="M27" s="279">
        <f>VLOOKUP(B27,[16]湖州!$C:$AR,42,0)</f>
        <v>0</v>
      </c>
      <c r="N27" s="279">
        <f>VLOOKUP(B27,[17]湖州!$C$3:$AX$33,48,0)</f>
        <v>0</v>
      </c>
      <c r="O27" s="279"/>
      <c r="P27" s="370"/>
      <c r="Q27" s="279"/>
      <c r="R27" s="279"/>
      <c r="S27" s="279"/>
      <c r="T27" s="370"/>
      <c r="W27" s="1"/>
    </row>
    <row r="28" s="4" customFormat="1" ht="19.5" customHeight="1" spans="1:23">
      <c r="A28" s="157">
        <v>7</v>
      </c>
      <c r="B28" s="365" t="s">
        <v>487</v>
      </c>
      <c r="C28" s="356" t="s">
        <v>305</v>
      </c>
      <c r="D28" s="751" t="s">
        <v>480</v>
      </c>
      <c r="E28" s="357"/>
      <c r="F28" s="358"/>
      <c r="G28" s="359"/>
      <c r="H28" s="354">
        <f t="shared" si="7"/>
        <v>0</v>
      </c>
      <c r="I28" s="279"/>
      <c r="J28" s="279">
        <f>VLOOKUP(B28,[14]湖州!$C$3:$AF$22,30,0)</f>
        <v>116732</v>
      </c>
      <c r="K28" s="279">
        <f>VLOOKUP(B28,[15]湖州!$C$1:$AL$30,36,0)</f>
        <v>3088</v>
      </c>
      <c r="L28" s="354">
        <f t="shared" si="8"/>
        <v>119820</v>
      </c>
      <c r="M28" s="279">
        <f>VLOOKUP(B28,[16]湖州!$C:$AR,42,0)</f>
        <v>10000</v>
      </c>
      <c r="N28" s="279">
        <f>VLOOKUP(B28,[17]湖州!$C$3:$AX$33,48,0)</f>
        <v>0</v>
      </c>
      <c r="O28" s="279"/>
      <c r="P28" s="370"/>
      <c r="Q28" s="279"/>
      <c r="R28" s="279"/>
      <c r="S28" s="279"/>
      <c r="T28" s="370"/>
      <c r="W28" s="1"/>
    </row>
    <row r="29" s="4" customFormat="1" ht="19.5" customHeight="1" spans="1:23">
      <c r="A29" s="157">
        <v>8</v>
      </c>
      <c r="B29" s="365" t="s">
        <v>364</v>
      </c>
      <c r="C29" s="356" t="s">
        <v>274</v>
      </c>
      <c r="D29" s="356" t="s">
        <v>274</v>
      </c>
      <c r="E29" s="356"/>
      <c r="F29" s="358"/>
      <c r="G29" s="359"/>
      <c r="H29" s="354">
        <f t="shared" si="7"/>
        <v>0</v>
      </c>
      <c r="I29" s="279"/>
      <c r="J29" s="279"/>
      <c r="K29" s="279">
        <f>VLOOKUP(B29,[15]湖州!$C$1:$AL$30,36,0)</f>
        <v>3344</v>
      </c>
      <c r="L29" s="354">
        <f t="shared" si="8"/>
        <v>3344</v>
      </c>
      <c r="M29" s="279">
        <f>VLOOKUP(B29,[16]湖州!$C:$AR,42,0)</f>
        <v>0</v>
      </c>
      <c r="N29" s="279">
        <f>VLOOKUP(B29,[17]湖州!$C$3:$AX$33,48,0)</f>
        <v>0</v>
      </c>
      <c r="O29" s="279"/>
      <c r="P29" s="370"/>
      <c r="Q29" s="279"/>
      <c r="R29" s="279"/>
      <c r="S29" s="279"/>
      <c r="T29" s="370">
        <f>SUM(Q29:S29)</f>
        <v>0</v>
      </c>
      <c r="W29" s="1"/>
    </row>
    <row r="30" s="4" customFormat="1" ht="19.5" customHeight="1" spans="1:23">
      <c r="A30" s="157">
        <v>9</v>
      </c>
      <c r="B30" s="155"/>
      <c r="C30" s="157"/>
      <c r="D30" s="157"/>
      <c r="E30" s="353"/>
      <c r="F30" s="279"/>
      <c r="G30" s="279"/>
      <c r="H30" s="354">
        <f t="shared" si="7"/>
        <v>0</v>
      </c>
      <c r="I30" s="279"/>
      <c r="J30" s="279"/>
      <c r="K30" s="279"/>
      <c r="L30" s="354">
        <f t="shared" si="8"/>
        <v>0</v>
      </c>
      <c r="M30" s="279">
        <v>0</v>
      </c>
      <c r="N30" s="279">
        <v>0</v>
      </c>
      <c r="O30" s="279"/>
      <c r="P30" s="370"/>
      <c r="Q30" s="279"/>
      <c r="R30" s="279"/>
      <c r="S30" s="279"/>
      <c r="T30" s="370">
        <f>SUM(Q30:S30)</f>
        <v>0</v>
      </c>
      <c r="W30" s="1"/>
    </row>
    <row r="31" s="30" customFormat="1" ht="20.1" customHeight="1" spans="1:23">
      <c r="A31" s="278"/>
      <c r="B31" s="366" t="s">
        <v>11</v>
      </c>
      <c r="C31" s="367"/>
      <c r="D31" s="367"/>
      <c r="E31" s="324">
        <f>SUM(E22:E30)</f>
        <v>31706</v>
      </c>
      <c r="F31" s="276">
        <f t="shared" ref="E31:S31" si="9">SUM(F22:F30)</f>
        <v>31736.04</v>
      </c>
      <c r="G31" s="276">
        <f t="shared" si="9"/>
        <v>126901.06</v>
      </c>
      <c r="H31" s="368">
        <f t="shared" si="9"/>
        <v>190343.1</v>
      </c>
      <c r="I31" s="276">
        <f t="shared" si="9"/>
        <v>5872.08</v>
      </c>
      <c r="J31" s="276">
        <f t="shared" si="9"/>
        <v>159585</v>
      </c>
      <c r="K31" s="276">
        <f t="shared" si="9"/>
        <v>42030</v>
      </c>
      <c r="L31" s="368">
        <f t="shared" si="9"/>
        <v>207487.08</v>
      </c>
      <c r="M31" s="276">
        <f t="shared" si="9"/>
        <v>44400</v>
      </c>
      <c r="N31" s="276">
        <f t="shared" si="9"/>
        <v>90347</v>
      </c>
      <c r="O31" s="276">
        <f t="shared" si="9"/>
        <v>0</v>
      </c>
      <c r="P31" s="276">
        <f t="shared" si="9"/>
        <v>0</v>
      </c>
      <c r="Q31" s="276">
        <f t="shared" si="9"/>
        <v>0</v>
      </c>
      <c r="R31" s="276">
        <f t="shared" si="9"/>
        <v>0</v>
      </c>
      <c r="S31" s="276">
        <f t="shared" si="9"/>
        <v>0</v>
      </c>
      <c r="T31" s="324">
        <f>SUM(T22:T22)</f>
        <v>0</v>
      </c>
      <c r="W31" s="1"/>
    </row>
    <row r="32" s="20" customFormat="1" ht="19.5" customHeight="1" spans="1:23">
      <c r="A32" s="351"/>
      <c r="B32" s="191" t="s">
        <v>372</v>
      </c>
      <c r="C32" s="252"/>
      <c r="D32" s="252"/>
      <c r="E32" s="288"/>
      <c r="F32" s="265"/>
      <c r="G32" s="265"/>
      <c r="H32" s="362"/>
      <c r="I32" s="265"/>
      <c r="J32" s="265"/>
      <c r="K32" s="265"/>
      <c r="L32" s="362"/>
      <c r="M32" s="265"/>
      <c r="N32" s="265"/>
      <c r="O32" s="265"/>
      <c r="P32" s="325"/>
      <c r="Q32" s="265"/>
      <c r="R32" s="265"/>
      <c r="S32" s="265"/>
      <c r="T32" s="325"/>
      <c r="W32"/>
    </row>
    <row r="33" s="4" customFormat="1" ht="19.5" customHeight="1" spans="1:23">
      <c r="A33" s="157">
        <v>1</v>
      </c>
      <c r="B33" s="363" t="s">
        <v>488</v>
      </c>
      <c r="C33" s="356" t="s">
        <v>305</v>
      </c>
      <c r="D33" s="356" t="s">
        <v>467</v>
      </c>
      <c r="E33" s="357"/>
      <c r="F33" s="358"/>
      <c r="G33" s="359"/>
      <c r="H33" s="354">
        <f t="shared" ref="H33:H41" si="10">E33+F33+G33</f>
        <v>0</v>
      </c>
      <c r="I33" s="279">
        <f>VLOOKUP(B33,[13]湖州!$C:$Z,24,0)</f>
        <v>0</v>
      </c>
      <c r="J33" s="279">
        <f>VLOOKUP(B33,[14]湖州!$C$3:$AF$22,30,0)</f>
        <v>0</v>
      </c>
      <c r="K33" s="279">
        <f>VLOOKUP(B33,[15]湖州!$C$1:$AL$30,36,0)</f>
        <v>0</v>
      </c>
      <c r="L33" s="354">
        <f t="shared" ref="L33:L35" si="11">SUM(I33:K33)</f>
        <v>0</v>
      </c>
      <c r="M33" s="279">
        <f>VLOOKUP(B33,[16]湖州!$C:$AR,42,0)</f>
        <v>0</v>
      </c>
      <c r="N33" s="279">
        <f>VLOOKUP(B33,[17]湖州!$C$3:$AX$33,48,0)</f>
        <v>0</v>
      </c>
      <c r="O33" s="279"/>
      <c r="P33" s="370"/>
      <c r="Q33" s="279"/>
      <c r="R33" s="279"/>
      <c r="S33" s="279"/>
      <c r="T33" s="370">
        <f>SUM(Q33:S33)</f>
        <v>0</v>
      </c>
      <c r="W33" s="1"/>
    </row>
    <row r="34" s="4" customFormat="1" ht="19.5" customHeight="1" spans="1:23">
      <c r="A34" s="157">
        <v>2</v>
      </c>
      <c r="B34" s="365" t="s">
        <v>489</v>
      </c>
      <c r="C34" s="356" t="s">
        <v>310</v>
      </c>
      <c r="D34" s="356" t="s">
        <v>467</v>
      </c>
      <c r="E34" s="357">
        <v>790</v>
      </c>
      <c r="F34" s="358"/>
      <c r="G34" s="359">
        <v>9575</v>
      </c>
      <c r="H34" s="354">
        <f t="shared" si="10"/>
        <v>10365</v>
      </c>
      <c r="I34" s="279">
        <f>VLOOKUP(B34,[13]湖州!$C:$Z,24,0)</f>
        <v>0</v>
      </c>
      <c r="J34" s="279">
        <f>VLOOKUP(B34,[14]湖州!$C$3:$AF$22,30,0)</f>
        <v>0</v>
      </c>
      <c r="K34" s="279">
        <f>VLOOKUP(B34,[15]湖州!$C$1:$AL$30,36,0)</f>
        <v>0</v>
      </c>
      <c r="L34" s="354">
        <f t="shared" si="11"/>
        <v>0</v>
      </c>
      <c r="M34" s="279">
        <f>VLOOKUP(B34,[16]湖州!$C:$AR,42,0)</f>
        <v>0</v>
      </c>
      <c r="N34" s="279">
        <f>VLOOKUP(B34,[17]湖州!$C$3:$AX$33,48,0)</f>
        <v>0</v>
      </c>
      <c r="O34" s="279"/>
      <c r="P34" s="370"/>
      <c r="Q34" s="279"/>
      <c r="R34" s="279"/>
      <c r="S34" s="279"/>
      <c r="T34" s="370"/>
      <c r="W34" s="1"/>
    </row>
    <row r="35" s="4" customFormat="1" ht="19.5" customHeight="1" spans="1:23">
      <c r="A35" s="157">
        <v>3</v>
      </c>
      <c r="B35" s="365" t="s">
        <v>490</v>
      </c>
      <c r="C35" s="356" t="s">
        <v>310</v>
      </c>
      <c r="D35" s="356" t="s">
        <v>467</v>
      </c>
      <c r="E35" s="357"/>
      <c r="F35" s="358"/>
      <c r="G35" s="359"/>
      <c r="H35" s="354">
        <f t="shared" si="10"/>
        <v>0</v>
      </c>
      <c r="I35" s="279">
        <f>VLOOKUP(B35,[13]湖州!$C:$Z,24,0)</f>
        <v>0</v>
      </c>
      <c r="J35" s="279">
        <f>VLOOKUP(B35,[14]湖州!$C$3:$AF$22,30,0)</f>
        <v>0</v>
      </c>
      <c r="K35" s="279">
        <f>VLOOKUP(B35,[15]湖州!$C$1:$AL$30,36,0)</f>
        <v>0</v>
      </c>
      <c r="L35" s="354">
        <f t="shared" si="11"/>
        <v>0</v>
      </c>
      <c r="M35" s="279">
        <f>VLOOKUP(B35,[16]湖州!$C:$AR,42,0)</f>
        <v>0</v>
      </c>
      <c r="N35" s="279">
        <f>VLOOKUP(B35,[17]湖州!$C$3:$AX$33,48,0)</f>
        <v>0</v>
      </c>
      <c r="O35" s="279"/>
      <c r="P35" s="370"/>
      <c r="Q35" s="279"/>
      <c r="R35" s="279"/>
      <c r="S35" s="279"/>
      <c r="T35" s="370"/>
      <c r="W35" s="1"/>
    </row>
    <row r="36" s="4" customFormat="1" ht="19.5" customHeight="1" spans="1:23">
      <c r="A36" s="157">
        <v>4</v>
      </c>
      <c r="B36" s="355"/>
      <c r="C36" s="356"/>
      <c r="D36" s="356"/>
      <c r="E36" s="357"/>
      <c r="F36" s="358"/>
      <c r="G36" s="359"/>
      <c r="H36" s="354">
        <f t="shared" si="10"/>
        <v>0</v>
      </c>
      <c r="I36" s="279"/>
      <c r="J36" s="279"/>
      <c r="K36" s="279"/>
      <c r="L36" s="354"/>
      <c r="M36" s="279"/>
      <c r="N36" s="279"/>
      <c r="O36" s="279"/>
      <c r="P36" s="370"/>
      <c r="Q36" s="279"/>
      <c r="R36" s="279"/>
      <c r="S36" s="279"/>
      <c r="T36" s="370"/>
      <c r="W36" s="1"/>
    </row>
    <row r="37" s="4" customFormat="1" ht="19.5" customHeight="1" spans="1:23">
      <c r="A37" s="157">
        <v>5</v>
      </c>
      <c r="B37" s="365"/>
      <c r="C37" s="356"/>
      <c r="D37" s="356"/>
      <c r="E37" s="357"/>
      <c r="F37" s="358"/>
      <c r="G37" s="359"/>
      <c r="H37" s="354">
        <f t="shared" si="10"/>
        <v>0</v>
      </c>
      <c r="I37" s="279"/>
      <c r="J37" s="279"/>
      <c r="K37" s="279"/>
      <c r="L37" s="354"/>
      <c r="M37" s="279"/>
      <c r="N37" s="279"/>
      <c r="O37" s="279"/>
      <c r="P37" s="370"/>
      <c r="Q37" s="279"/>
      <c r="R37" s="279"/>
      <c r="S37" s="279"/>
      <c r="T37" s="370"/>
      <c r="W37" s="1"/>
    </row>
    <row r="38" s="4" customFormat="1" ht="19.5" customHeight="1" spans="1:23">
      <c r="A38" s="157">
        <v>6</v>
      </c>
      <c r="B38" s="365"/>
      <c r="C38" s="356"/>
      <c r="D38" s="356"/>
      <c r="E38" s="357"/>
      <c r="F38" s="358"/>
      <c r="G38" s="359"/>
      <c r="H38" s="354">
        <f t="shared" si="10"/>
        <v>0</v>
      </c>
      <c r="I38" s="279"/>
      <c r="J38" s="279"/>
      <c r="K38" s="279"/>
      <c r="L38" s="354"/>
      <c r="M38" s="279"/>
      <c r="N38" s="279"/>
      <c r="O38" s="279"/>
      <c r="P38" s="370"/>
      <c r="Q38" s="279"/>
      <c r="R38" s="279"/>
      <c r="S38" s="279"/>
      <c r="T38" s="370"/>
      <c r="W38" s="1"/>
    </row>
    <row r="39" s="4" customFormat="1" ht="19.5" customHeight="1" spans="1:23">
      <c r="A39" s="157">
        <v>7</v>
      </c>
      <c r="B39" s="365"/>
      <c r="C39" s="356"/>
      <c r="D39" s="356"/>
      <c r="E39" s="357"/>
      <c r="F39" s="358"/>
      <c r="G39" s="359"/>
      <c r="H39" s="354">
        <f t="shared" si="10"/>
        <v>0</v>
      </c>
      <c r="I39" s="279"/>
      <c r="J39" s="279"/>
      <c r="K39" s="279"/>
      <c r="L39" s="354"/>
      <c r="M39" s="279"/>
      <c r="N39" s="279"/>
      <c r="O39" s="279"/>
      <c r="P39" s="370"/>
      <c r="Q39" s="279"/>
      <c r="R39" s="279"/>
      <c r="S39" s="279"/>
      <c r="T39" s="370"/>
      <c r="W39" s="1"/>
    </row>
    <row r="40" s="4" customFormat="1" ht="19.5" customHeight="1" spans="1:23">
      <c r="A40" s="157">
        <v>8</v>
      </c>
      <c r="C40" s="356"/>
      <c r="D40" s="356"/>
      <c r="E40" s="357"/>
      <c r="F40" s="358"/>
      <c r="G40" s="359"/>
      <c r="H40" s="354">
        <f t="shared" si="10"/>
        <v>0</v>
      </c>
      <c r="I40" s="279"/>
      <c r="J40" s="279"/>
      <c r="K40" s="279"/>
      <c r="L40" s="354"/>
      <c r="M40" s="279"/>
      <c r="N40" s="279"/>
      <c r="O40" s="279"/>
      <c r="P40" s="370"/>
      <c r="Q40" s="279"/>
      <c r="R40" s="279"/>
      <c r="S40" s="279"/>
      <c r="T40" s="370">
        <f>SUM(Q40:S40)</f>
        <v>0</v>
      </c>
      <c r="W40" s="1"/>
    </row>
    <row r="41" s="4" customFormat="1" ht="19.5" customHeight="1" spans="1:23">
      <c r="A41" s="157">
        <v>9</v>
      </c>
      <c r="B41" s="155"/>
      <c r="C41" s="157"/>
      <c r="D41" s="157"/>
      <c r="E41" s="353"/>
      <c r="F41" s="279"/>
      <c r="G41" s="279"/>
      <c r="H41" s="354">
        <f t="shared" si="10"/>
        <v>0</v>
      </c>
      <c r="I41" s="279"/>
      <c r="J41" s="279"/>
      <c r="K41" s="279"/>
      <c r="L41" s="354"/>
      <c r="M41" s="279"/>
      <c r="N41" s="279"/>
      <c r="O41" s="279"/>
      <c r="P41" s="370"/>
      <c r="Q41" s="279"/>
      <c r="R41" s="279"/>
      <c r="S41" s="279"/>
      <c r="T41" s="370">
        <f>SUM(Q41:S41)</f>
        <v>0</v>
      </c>
      <c r="W41" s="1"/>
    </row>
    <row r="42" s="30" customFormat="1" ht="20.1" customHeight="1" spans="1:23">
      <c r="A42" s="278"/>
      <c r="B42" s="366" t="s">
        <v>11</v>
      </c>
      <c r="C42" s="367"/>
      <c r="D42" s="367"/>
      <c r="E42" s="324">
        <f t="shared" ref="E42:S42" si="12">SUM(E33:E41)</f>
        <v>790</v>
      </c>
      <c r="F42" s="276">
        <f t="shared" si="12"/>
        <v>0</v>
      </c>
      <c r="G42" s="276">
        <f t="shared" si="12"/>
        <v>9575</v>
      </c>
      <c r="H42" s="368">
        <f t="shared" si="12"/>
        <v>10365</v>
      </c>
      <c r="I42" s="276">
        <f t="shared" si="12"/>
        <v>0</v>
      </c>
      <c r="J42" s="276">
        <f t="shared" si="12"/>
        <v>0</v>
      </c>
      <c r="K42" s="276">
        <f t="shared" si="12"/>
        <v>0</v>
      </c>
      <c r="L42" s="368">
        <f t="shared" si="12"/>
        <v>0</v>
      </c>
      <c r="M42" s="276">
        <f t="shared" si="12"/>
        <v>0</v>
      </c>
      <c r="N42" s="276">
        <f t="shared" si="12"/>
        <v>0</v>
      </c>
      <c r="O42" s="276">
        <f t="shared" si="12"/>
        <v>0</v>
      </c>
      <c r="P42" s="276">
        <f t="shared" si="12"/>
        <v>0</v>
      </c>
      <c r="Q42" s="276">
        <f t="shared" si="12"/>
        <v>0</v>
      </c>
      <c r="R42" s="276">
        <f t="shared" si="12"/>
        <v>0</v>
      </c>
      <c r="S42" s="276">
        <f t="shared" si="12"/>
        <v>0</v>
      </c>
      <c r="T42" s="324">
        <f>SUM(T33:T33)</f>
        <v>0</v>
      </c>
      <c r="W42" s="1"/>
    </row>
    <row r="43" s="20" customFormat="1" ht="19.5" customHeight="1" spans="1:23">
      <c r="A43" s="304" t="s">
        <v>491</v>
      </c>
      <c r="B43" s="150"/>
      <c r="C43" s="304"/>
      <c r="D43" s="304"/>
      <c r="E43" s="276">
        <f>E8+E19+E31+E42</f>
        <v>474052</v>
      </c>
      <c r="F43" s="276">
        <f t="shared" ref="F43:T43" si="13">F8+F19+F31+F42</f>
        <v>390891.04</v>
      </c>
      <c r="G43" s="276">
        <f t="shared" si="13"/>
        <v>414836.06</v>
      </c>
      <c r="H43" s="368">
        <f t="shared" si="13"/>
        <v>1279779.1</v>
      </c>
      <c r="I43" s="276">
        <f t="shared" si="13"/>
        <v>411808.08</v>
      </c>
      <c r="J43" s="276">
        <f t="shared" si="13"/>
        <v>404990</v>
      </c>
      <c r="K43" s="276">
        <f t="shared" si="13"/>
        <v>273945</v>
      </c>
      <c r="L43" s="368">
        <f t="shared" si="13"/>
        <v>1090743.08</v>
      </c>
      <c r="M43" s="276">
        <f t="shared" si="13"/>
        <v>314396</v>
      </c>
      <c r="N43" s="276">
        <f t="shared" si="13"/>
        <v>301382.6</v>
      </c>
      <c r="O43" s="276">
        <f t="shared" si="13"/>
        <v>0</v>
      </c>
      <c r="P43" s="276">
        <f t="shared" si="13"/>
        <v>0</v>
      </c>
      <c r="Q43" s="276">
        <f t="shared" si="13"/>
        <v>0</v>
      </c>
      <c r="R43" s="276">
        <f t="shared" si="13"/>
        <v>0</v>
      </c>
      <c r="S43" s="276">
        <f t="shared" si="13"/>
        <v>0</v>
      </c>
      <c r="T43" s="276">
        <f t="shared" si="13"/>
        <v>0</v>
      </c>
      <c r="W43"/>
    </row>
    <row r="44" ht="19.5" customHeight="1"/>
    <row r="45" ht="19.5" customHeight="1"/>
    <row r="46" ht="19.5" customHeight="1"/>
    <row r="47" ht="19.5" customHeight="1"/>
  </sheetData>
  <mergeCells count="1">
    <mergeCell ref="A43:B43"/>
  </mergeCells>
  <printOptions horizontalCentered="1"/>
  <pageMargins left="0.751388888888889" right="0.393055555555556" top="1" bottom="1" header="0.5" footer="0.5"/>
  <pageSetup paperSize="9" scale="75" orientation="landscape" horizontalDpi="6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奖金发放表 </vt:lpstr>
      <vt:lpstr>奖金发放表  (修改)</vt:lpstr>
      <vt:lpstr>杭州回款未完成负激励</vt:lpstr>
      <vt:lpstr>杭州回款未完成负激励 (修改)</vt:lpstr>
      <vt:lpstr>厨电</vt:lpstr>
      <vt:lpstr>回款整体汇总</vt:lpstr>
      <vt:lpstr>杭州大区回款</vt:lpstr>
      <vt:lpstr>金华办回款</vt:lpstr>
      <vt:lpstr>湖州办回款</vt:lpstr>
      <vt:lpstr>杭州大区 (2023)</vt:lpstr>
      <vt:lpstr>杭州大区 (2)</vt:lpstr>
      <vt:lpstr>金华办 (2)</vt:lpstr>
      <vt:lpstr>整体汇总 (2)</vt:lpstr>
      <vt:lpstr>金华、杭州、湖州任务</vt:lpstr>
      <vt:lpstr>金华营收</vt:lpstr>
      <vt:lpstr>Sheet2 (2)</vt:lpstr>
      <vt:lpstr>杭州业务考核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两两</cp:lastModifiedBy>
  <dcterms:created xsi:type="dcterms:W3CDTF">2018-06-23T01:52:00Z</dcterms:created>
  <cp:lastPrinted>2021-07-14T11:34:00Z</cp:lastPrinted>
  <dcterms:modified xsi:type="dcterms:W3CDTF">2025-09-20T03:21:15Z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77D55F01BC03409A9605320CB4774C1F_13</vt:lpwstr>
  </property>
</Properties>
</file>