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b91d417392819/"/>
    </mc:Choice>
  </mc:AlternateContent>
  <xr:revisionPtr revIDLastSave="0" documentId="14_{AA9F4ACE-DB55-44C3-96B7-23A5DD9CDD81}" xr6:coauthVersionLast="47" xr6:coauthVersionMax="47" xr10:uidLastSave="{00000000-0000-0000-0000-000000000000}"/>
  <bookViews>
    <workbookView xWindow="-120" yWindow="-120" windowWidth="29040" windowHeight="15720" xr2:uid="{79E1740E-B230-43BB-849B-3F382947A7B1}"/>
  </bookViews>
  <sheets>
    <sheet name="Юнит-экономика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2" i="1"/>
  <c r="H2" i="1"/>
  <c r="D3" i="1"/>
  <c r="E3" i="1"/>
  <c r="G3" i="1"/>
  <c r="H3" i="1"/>
  <c r="K11" i="1" s="1"/>
  <c r="M11" i="1" s="1"/>
  <c r="D4" i="1"/>
  <c r="E4" i="1"/>
  <c r="G4" i="1"/>
  <c r="K4" i="1"/>
  <c r="M4" i="1"/>
  <c r="D5" i="1"/>
  <c r="E5" i="1"/>
  <c r="G5" i="1"/>
  <c r="D6" i="1"/>
  <c r="E6" i="1"/>
  <c r="G6" i="1"/>
  <c r="K6" i="1"/>
  <c r="D7" i="1"/>
  <c r="E7" i="1"/>
  <c r="G7" i="1"/>
  <c r="D13" i="1"/>
  <c r="D14" i="1" s="1"/>
  <c r="D15" i="1"/>
  <c r="D16" i="1"/>
  <c r="K5" i="1" s="1"/>
  <c r="M5" i="1" s="1"/>
  <c r="D18" i="1"/>
  <c r="K8" i="1" s="1"/>
  <c r="M6" i="1" l="1"/>
  <c r="K3" i="1"/>
  <c r="D17" i="1"/>
  <c r="K7" i="1" s="1"/>
  <c r="K10" i="1"/>
  <c r="K12" i="1" s="1"/>
  <c r="K13" i="1" s="1"/>
  <c r="D19" i="1" s="1"/>
  <c r="M8" i="1"/>
  <c r="K2" i="1"/>
  <c r="M2" i="1" s="1"/>
  <c r="M3" i="1" s="1"/>
  <c r="M7" i="1" l="1"/>
  <c r="M10" i="1"/>
  <c r="M12" i="1" s="1"/>
  <c r="M13" i="1" s="1"/>
</calcChain>
</file>

<file path=xl/sharedStrings.xml><?xml version="1.0" encoding="utf-8"?>
<sst xmlns="http://schemas.openxmlformats.org/spreadsheetml/2006/main" count="34" uniqueCount="31">
  <si>
    <t>7. Маржинальность</t>
  </si>
  <si>
    <t>6. Cредний СAC </t>
  </si>
  <si>
    <t>5. LTR</t>
  </si>
  <si>
    <t>Фактичкская средняя цена подписки</t>
  </si>
  <si>
    <t>Базовая цена подписки</t>
  </si>
  <si>
    <t>4. Лайфтайм (месяцы)</t>
  </si>
  <si>
    <t>Маржинальность</t>
  </si>
  <si>
    <t>3. Среднее геометрическое Retention</t>
  </si>
  <si>
    <t>Маржа на юнит</t>
  </si>
  <si>
    <t>2. Retention для каждого месяца</t>
  </si>
  <si>
    <t>Fixed Costs на юнит</t>
  </si>
  <si>
    <t>CAC на юнит</t>
  </si>
  <si>
    <t>1. Количество повторных оплат в каждом месяце - расчитано как разность между общим количеством оплат в месяце и количеством первых оплат (за количество первых оплат взято количество подписок по месяцам, расчитанное в рамках первой части проекта)</t>
  </si>
  <si>
    <t>TO-BE</t>
  </si>
  <si>
    <t>AS-IS</t>
  </si>
  <si>
    <t>Расчитанные метрики:</t>
  </si>
  <si>
    <t>CAC</t>
  </si>
  <si>
    <t>LTR</t>
  </si>
  <si>
    <t>Price юнита (фактическая)</t>
  </si>
  <si>
    <t>Объём скидок</t>
  </si>
  <si>
    <t>Price юнита (базовая)</t>
  </si>
  <si>
    <t>LT</t>
  </si>
  <si>
    <t>Retention</t>
  </si>
  <si>
    <t>Изменение</t>
  </si>
  <si>
    <t>Постоянные расходы</t>
  </si>
  <si>
    <t>САС</t>
  </si>
  <si>
    <t>Затраты на маркетинг</t>
  </si>
  <si>
    <t>Повторные оплаты</t>
  </si>
  <si>
    <t>Первые оплаты</t>
  </si>
  <si>
    <t>Оплат всего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</si>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</sst>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₽&quot;_-;\-* #,##0.00\ &quot;₽&quot;_-;_-* &quot;-&quot;??\ &quot;₽&quot;_-;_-@_-"/>
    <numFmt numFmtId="165" formatCode="0.0%"/>
    <numFmt numFmtId="166" formatCode="#,##0.00\ &quot;₽&quot;"/>
    <numFmt numFmtId="167" formatCode="[$-419]mmmm\ yyyy;@"/>
    <numFmt numFmtId="168" formatCode="#,##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10" fontId="0" fillId="2" borderId="1" xfId="0" applyNumberFormat="1" applyFill="1" applyBorder="1"/>
    <xf numFmtId="0" fontId="0" fillId="0" borderId="0" xfId="0" applyAlignment="1">
      <alignment horizontal="left"/>
    </xf>
    <xf numFmtId="164" fontId="0" fillId="2" borderId="1" xfId="0" applyNumberFormat="1" applyFill="1" applyBorder="1"/>
    <xf numFmtId="164" fontId="0" fillId="0" borderId="0" xfId="0" applyNumberFormat="1"/>
    <xf numFmtId="0" fontId="2" fillId="0" borderId="0" xfId="0" applyFont="1"/>
    <xf numFmtId="2" fontId="0" fillId="2" borderId="1" xfId="0" applyNumberFormat="1" applyFill="1" applyBorder="1"/>
    <xf numFmtId="165" fontId="2" fillId="0" borderId="2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0" fontId="3" fillId="0" borderId="5" xfId="0" applyFont="1" applyBorder="1"/>
    <xf numFmtId="10" fontId="0" fillId="2" borderId="1" xfId="2" applyNumberFormat="1" applyFont="1" applyFill="1" applyBorder="1"/>
    <xf numFmtId="164" fontId="2" fillId="0" borderId="6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8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6" fontId="2" fillId="2" borderId="6" xfId="0" applyNumberFormat="1" applyFont="1" applyFill="1" applyBorder="1"/>
    <xf numFmtId="165" fontId="2" fillId="0" borderId="7" xfId="0" applyNumberFormat="1" applyFont="1" applyBorder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4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3" fillId="3" borderId="8" xfId="0" applyFont="1" applyFill="1" applyBorder="1"/>
    <xf numFmtId="0" fontId="5" fillId="0" borderId="0" xfId="0" applyFont="1" applyAlignment="1">
      <alignment horizontal="left"/>
    </xf>
    <xf numFmtId="164" fontId="0" fillId="0" borderId="0" xfId="1" applyFont="1" applyBorder="1"/>
    <xf numFmtId="10" fontId="0" fillId="0" borderId="0" xfId="2" applyNumberFormat="1" applyFont="1" applyBorder="1"/>
    <xf numFmtId="1" fontId="0" fillId="0" borderId="0" xfId="0" applyNumberFormat="1"/>
    <xf numFmtId="164" fontId="2" fillId="0" borderId="6" xfId="0" applyNumberFormat="1" applyFont="1" applyBorder="1"/>
    <xf numFmtId="164" fontId="0" fillId="0" borderId="9" xfId="1" applyFont="1" applyBorder="1"/>
    <xf numFmtId="164" fontId="0" fillId="0" borderId="4" xfId="0" applyNumberFormat="1" applyBorder="1"/>
    <xf numFmtId="164" fontId="0" fillId="0" borderId="4" xfId="1" applyFont="1" applyBorder="1"/>
    <xf numFmtId="10" fontId="0" fillId="0" borderId="4" xfId="2" applyNumberFormat="1" applyFont="1" applyBorder="1"/>
    <xf numFmtId="1" fontId="0" fillId="0" borderId="4" xfId="0" applyNumberFormat="1" applyBorder="1"/>
    <xf numFmtId="0" fontId="0" fillId="0" borderId="4" xfId="0" applyBorder="1"/>
    <xf numFmtId="167" fontId="0" fillId="0" borderId="10" xfId="0" applyNumberFormat="1" applyBorder="1" applyAlignment="1">
      <alignment horizontal="left"/>
    </xf>
    <xf numFmtId="9" fontId="2" fillId="0" borderId="7" xfId="2" applyFont="1" applyBorder="1" applyAlignment="1">
      <alignment horizontal="right" vertical="center"/>
    </xf>
    <xf numFmtId="164" fontId="0" fillId="0" borderId="11" xfId="1" applyFont="1" applyBorder="1"/>
    <xf numFmtId="167" fontId="0" fillId="0" borderId="12" xfId="0" applyNumberFormat="1" applyBorder="1" applyAlignment="1">
      <alignment horizontal="left"/>
    </xf>
    <xf numFmtId="165" fontId="2" fillId="2" borderId="6" xfId="0" applyNumberFormat="1" applyFont="1" applyFill="1" applyBorder="1"/>
    <xf numFmtId="165" fontId="2" fillId="0" borderId="7" xfId="2" applyNumberFormat="1" applyFont="1" applyBorder="1" applyAlignment="1">
      <alignment horizontal="right" vertical="center"/>
    </xf>
    <xf numFmtId="165" fontId="2" fillId="2" borderId="0" xfId="2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/>
    <xf numFmtId="168" fontId="2" fillId="0" borderId="7" xfId="2" applyNumberFormat="1" applyFont="1" applyBorder="1" applyAlignment="1">
      <alignment horizontal="right" vertical="center"/>
    </xf>
    <xf numFmtId="2" fontId="2" fillId="0" borderId="6" xfId="0" applyNumberFormat="1" applyFont="1" applyBorder="1"/>
    <xf numFmtId="2" fontId="2" fillId="0" borderId="7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0" fontId="3" fillId="0" borderId="13" xfId="0" applyFont="1" applyBorder="1"/>
    <xf numFmtId="164" fontId="0" fillId="0" borderId="14" xfId="1" applyFont="1" applyBorder="1"/>
    <xf numFmtId="164" fontId="0" fillId="0" borderId="15" xfId="0" applyNumberFormat="1" applyBorder="1"/>
    <xf numFmtId="164" fontId="0" fillId="0" borderId="15" xfId="1" applyFont="1" applyBorder="1"/>
    <xf numFmtId="10" fontId="0" fillId="0" borderId="15" xfId="2" applyNumberFormat="1" applyFont="1" applyBorder="1"/>
    <xf numFmtId="1" fontId="0" fillId="0" borderId="15" xfId="0" applyNumberFormat="1" applyBorder="1"/>
    <xf numFmtId="0" fontId="0" fillId="0" borderId="15" xfId="0" applyBorder="1"/>
    <xf numFmtId="167" fontId="0" fillId="0" borderId="16" xfId="0" applyNumberFormat="1" applyBorder="1" applyAlignment="1">
      <alignment horizontal="left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" xfId="0" applyFont="1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Структура юнит-экономики: на</a:t>
            </a:r>
            <a:r>
              <a:rPr lang="ru-RU" sz="1600" b="1" baseline="0">
                <a:solidFill>
                  <a:sysClr val="windowText" lastClr="000000"/>
                </a:solidFill>
              </a:rPr>
              <a:t> текущий момент и целевая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17025198392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198030094134"/>
          <c:y val="0.17171296296296298"/>
          <c:w val="0.75426714585526489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'Юнит-экономика'!$J$10</c:f>
              <c:strCache>
                <c:ptCount val="1"/>
                <c:pt idx="0">
                  <c:v>CAC на юнит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('Юнит-экономика'!$K$10,'Юнит-экономика'!$M$10)</c:f>
              <c:numCache>
                <c:formatCode>_-* #,##0.00\ "₽"_-;\-* #,##0.00\ "₽"_-;_-* "-"??\ "₽"_-;_-@_-</c:formatCode>
                <c:ptCount val="2"/>
                <c:pt idx="0">
                  <c:v>437.45577549963838</c:v>
                </c:pt>
                <c:pt idx="1">
                  <c:v>137.09587408754763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44B1-ACC3-066A61D02E9F}"/>
            </c:ext>
          </c:extLst>
        </c:ser>
        <c:ser>
          <c:idx val="1"/>
          <c:order val="1"/>
          <c:tx>
            <c:strRef>
              <c:f>'Юнит-экономика'!$J$11</c:f>
              <c:strCache>
                <c:ptCount val="1"/>
                <c:pt idx="0">
                  <c:v>Fixed Costs на юнит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('Юнит-экономика'!$K$11,'Юнит-экономика'!$M$11)</c:f>
              <c:numCache>
                <c:formatCode>#,##0.00\ "₽"</c:formatCode>
                <c:ptCount val="2"/>
                <c:pt idx="0" formatCode="_-* #,##0.00\ &quot;₽&quot;_-;\-* #,##0.00\ &quot;₽&quot;_-;_-* &quot;-&quot;??\ &quot;₽&quot;_-;_-@_-">
                  <c:v>177.43090001292856</c:v>
                </c:pt>
                <c:pt idx="1">
                  <c:v>141.94472001034285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9-44B1-ACC3-066A61D02E9F}"/>
            </c:ext>
          </c:extLst>
        </c:ser>
        <c:ser>
          <c:idx val="2"/>
          <c:order val="2"/>
          <c:tx>
            <c:strRef>
              <c:f>'Юнит-экономика'!$J$12</c:f>
              <c:strCache>
                <c:ptCount val="1"/>
                <c:pt idx="0">
                  <c:v>Маржа на юнит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('Юнит-экономика'!$K$12,'Юнит-экономика'!$M$12)</c:f>
              <c:numCache>
                <c:formatCode>_-* #,##0.00\ "₽"_-;\-* #,##0.00\ "₽"_-;_-* "-"??\ "₽"_-;_-@_-</c:formatCode>
                <c:ptCount val="2"/>
                <c:pt idx="0">
                  <c:v>-297.53015418165603</c:v>
                </c:pt>
                <c:pt idx="1">
                  <c:v>92.979281328604571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9-44B1-ACC3-066A61D02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944847"/>
        <c:axId val="1906931887"/>
      </c:barChart>
      <c:lineChart>
        <c:grouping val="standard"/>
        <c:varyColors val="0"/>
        <c:ser>
          <c:idx val="3"/>
          <c:order val="3"/>
          <c:tx>
            <c:strRef>
              <c:f>'Юнит-экономика'!$J$13</c:f>
              <c:strCache>
                <c:ptCount val="1"/>
                <c:pt idx="0">
                  <c:v>Маржинальность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('Юнит-экономика'!$K$13,'Юнит-экономика'!$M$13)</c:f>
              <c:numCache>
                <c:formatCode>0.0%</c:formatCode>
                <c:ptCount val="2"/>
                <c:pt idx="0">
                  <c:v>-0.93752651728690428</c:v>
                </c:pt>
                <c:pt idx="1">
                  <c:v>0.2499309511945034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9-44B1-ACC3-066A61D02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931407"/>
        <c:axId val="1906927087"/>
      </c:lineChart>
      <c:catAx>
        <c:axId val="1906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887"/>
        <c:crosses val="autoZero"/>
        <c:auto val="1"/>
        <c:lblAlgn val="ctr"/>
        <c:lblOffset val="100"/>
        <c:noMultiLvlLbl val="0"/>
      </c:catAx>
      <c:valAx>
        <c:axId val="190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847"/>
        <c:crosses val="autoZero"/>
        <c:crossBetween val="between"/>
      </c:valAx>
      <c:valAx>
        <c:axId val="190692708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407"/>
        <c:crosses val="max"/>
        <c:crossBetween val="between"/>
      </c:valAx>
      <c:catAx>
        <c:axId val="190693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92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7777777777762E-2"/>
          <c:y val="0.82291557305336838"/>
          <c:w val="0.9543888888888888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648469</xdr:colOff>
      <xdr:row>13</xdr:row>
      <xdr:rowOff>201469</xdr:rowOff>
    </xdr:from>
    <xdr:to>
      <xdr:col>12</xdr:col>
      <xdr:colOff>19243</xdr:colOff>
      <xdr:row>28</xdr:row>
      <xdr:rowOff>10200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05E2CB-E664-42AA-B494-49CB1265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инансы"/>
    </sheetNames>
    <sheetDataSet>
      <sheetData sheetId="0">
        <row r="2">
          <cell r="C2">
            <v>350</v>
          </cell>
        </row>
        <row r="9">
          <cell r="E9">
            <v>317.35652133091088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56-54DA-4525-BA08-C45FF9EDCE15}">
  <dimension ref="A1:N20"/>
  <sheetViews>
    <sheetView tabSelected="1" zoomScale="99" workbookViewId="0">
      <selection activeCell="J11" sqref="J11"/>
    </sheetView>
  </sheetViews>
  <sheetFormatPr defaultColWidth="11.42578125" defaultRowHeight="15" x14ac:dyDescent="0.25"/>
  <cols>
    <col min="1" max="1" width="12.28515625" customWidth="1"/>
    <col min="2" max="2" width="11.5703125" customWidth="1"/>
    <col min="3" max="3" width="17" customWidth="1"/>
    <col min="4" max="4" width="18.42578125" customWidth="1"/>
    <col min="5" max="5" width="9.85546875" bestFit="1" customWidth="1"/>
    <col min="6" max="6" width="21" customWidth="1"/>
    <col min="7" max="7" width="11.42578125" customWidth="1"/>
    <col min="8" max="8" width="20.7109375" customWidth="1"/>
    <col min="9" max="9" width="6.85546875" customWidth="1"/>
    <col min="10" max="10" width="25.28515625" bestFit="1" customWidth="1"/>
    <col min="11" max="11" width="11.5703125" customWidth="1"/>
    <col min="12" max="12" width="11.7109375" bestFit="1" customWidth="1"/>
    <col min="13" max="13" width="12" customWidth="1"/>
  </cols>
  <sheetData>
    <row r="1" spans="1:14" ht="15.75" thickBot="1" x14ac:dyDescent="0.3">
      <c r="A1" s="67" t="s">
        <v>30</v>
      </c>
      <c r="B1" s="66" t="s">
        <v>29</v>
      </c>
      <c r="C1" s="66" t="s">
        <v>28</v>
      </c>
      <c r="D1" s="66" t="s">
        <v>27</v>
      </c>
      <c r="E1" s="66" t="s">
        <v>22</v>
      </c>
      <c r="F1" s="66" t="s">
        <v>26</v>
      </c>
      <c r="G1" s="66" t="s">
        <v>25</v>
      </c>
      <c r="H1" s="65" t="s">
        <v>24</v>
      </c>
      <c r="J1" s="64"/>
      <c r="K1" s="63" t="s">
        <v>14</v>
      </c>
      <c r="L1" s="62" t="s">
        <v>23</v>
      </c>
      <c r="M1" s="61" t="s">
        <v>13</v>
      </c>
      <c r="N1" s="6"/>
    </row>
    <row r="2" spans="1:14" x14ac:dyDescent="0.25">
      <c r="A2" s="60">
        <v>44256</v>
      </c>
      <c r="B2" s="58">
        <v>201</v>
      </c>
      <c r="C2" s="59">
        <v>201</v>
      </c>
      <c r="D2" s="58">
        <f>B2-C2</f>
        <v>0</v>
      </c>
      <c r="E2" s="57"/>
      <c r="F2" s="56">
        <v>205731</v>
      </c>
      <c r="G2" s="55">
        <f>F2/C2</f>
        <v>1023.5373134328358</v>
      </c>
      <c r="H2" s="54">
        <f>8*150000</f>
        <v>1200000</v>
      </c>
      <c r="J2" s="53" t="s">
        <v>22</v>
      </c>
      <c r="K2" s="52">
        <f>D13</f>
        <v>0.80596520485670597</v>
      </c>
      <c r="L2" s="20">
        <v>0.115</v>
      </c>
      <c r="M2" s="44">
        <f>K2*(1+L2)</f>
        <v>0.8986512034152272</v>
      </c>
      <c r="N2" s="6"/>
    </row>
    <row r="3" spans="1:14" x14ac:dyDescent="0.25">
      <c r="A3" s="43">
        <v>44287</v>
      </c>
      <c r="B3" s="32">
        <v>5289</v>
      </c>
      <c r="C3">
        <v>5122</v>
      </c>
      <c r="D3" s="32">
        <f>B3-C3</f>
        <v>167</v>
      </c>
      <c r="E3" s="31">
        <f>(B3-C3)/B2</f>
        <v>0.8308457711442786</v>
      </c>
      <c r="F3" s="30">
        <v>10219571.900826447</v>
      </c>
      <c r="G3" s="5">
        <f>F3/C3</f>
        <v>1995.2307498684979</v>
      </c>
      <c r="H3" s="42">
        <f>8*150000</f>
        <v>1200000</v>
      </c>
      <c r="J3" s="16" t="s">
        <v>21</v>
      </c>
      <c r="K3" s="51">
        <f>D14</f>
        <v>5.1537148234753642</v>
      </c>
      <c r="L3" s="50"/>
      <c r="M3" s="49">
        <f>1/(1-M2)</f>
        <v>9.8669153823010998</v>
      </c>
      <c r="N3" s="6"/>
    </row>
    <row r="4" spans="1:14" x14ac:dyDescent="0.25">
      <c r="A4" s="43">
        <v>44317</v>
      </c>
      <c r="B4" s="32">
        <v>8990.1691890653128</v>
      </c>
      <c r="C4">
        <v>4396</v>
      </c>
      <c r="D4" s="32">
        <f>B4-C4</f>
        <v>4594.1691890653128</v>
      </c>
      <c r="E4" s="31">
        <f>(B4-C4)/B3</f>
        <v>0.86862718643700376</v>
      </c>
      <c r="F4" s="30">
        <v>8554785.1239669416</v>
      </c>
      <c r="G4" s="5">
        <f>F4/C4</f>
        <v>1946.0384722399776</v>
      </c>
      <c r="H4" s="42">
        <v>1300000</v>
      </c>
      <c r="J4" s="16" t="s">
        <v>20</v>
      </c>
      <c r="K4" s="21">
        <f>D15</f>
        <v>350</v>
      </c>
      <c r="L4" s="48">
        <v>50</v>
      </c>
      <c r="M4" s="47">
        <f>K4+L4</f>
        <v>400</v>
      </c>
      <c r="N4" s="6"/>
    </row>
    <row r="5" spans="1:14" x14ac:dyDescent="0.25">
      <c r="A5" s="43">
        <v>44348</v>
      </c>
      <c r="B5" s="32">
        <v>10322.717485852865</v>
      </c>
      <c r="C5">
        <v>3255</v>
      </c>
      <c r="D5" s="32">
        <f>B5-C5</f>
        <v>7067.7174858528651</v>
      </c>
      <c r="E5" s="31">
        <f>(B5-C5)/B4</f>
        <v>0.7861606758690689</v>
      </c>
      <c r="F5" s="30">
        <v>8365576.8595041325</v>
      </c>
      <c r="G5" s="5">
        <f>F5/C5</f>
        <v>2570.0696957001942</v>
      </c>
      <c r="H5" s="42">
        <v>1300000</v>
      </c>
      <c r="J5" s="16" t="s">
        <v>19</v>
      </c>
      <c r="K5" s="46">
        <f>1-(D16/D15)</f>
        <v>9.3267081911683203E-2</v>
      </c>
      <c r="L5" s="45">
        <v>-0.25</v>
      </c>
      <c r="M5" s="44">
        <f>K5*(1+L5)</f>
        <v>6.9950311433762402E-2</v>
      </c>
      <c r="N5" s="6"/>
    </row>
    <row r="6" spans="1:14" x14ac:dyDescent="0.25">
      <c r="A6" s="43">
        <v>44378</v>
      </c>
      <c r="B6" s="32">
        <v>9998.4940518284257</v>
      </c>
      <c r="C6">
        <v>1916</v>
      </c>
      <c r="D6" s="32">
        <f>B6-C6</f>
        <v>8082.4940518284257</v>
      </c>
      <c r="E6" s="31">
        <f>(B6-C6)/B5</f>
        <v>0.78298123172559619</v>
      </c>
      <c r="F6" s="30">
        <v>5982209.9173553716</v>
      </c>
      <c r="G6" s="5">
        <f>F6/C6</f>
        <v>3122.2389965320313</v>
      </c>
      <c r="H6" s="42">
        <v>1300000</v>
      </c>
      <c r="J6" s="16" t="s">
        <v>18</v>
      </c>
      <c r="K6" s="24">
        <f>D16</f>
        <v>317.35652133091088</v>
      </c>
      <c r="L6" s="41"/>
      <c r="M6" s="33">
        <f>M4*(1-M5)</f>
        <v>372.01987542649505</v>
      </c>
      <c r="N6" s="6"/>
    </row>
    <row r="7" spans="1:14" ht="15.75" thickBot="1" x14ac:dyDescent="0.3">
      <c r="A7" s="40">
        <v>44409</v>
      </c>
      <c r="B7" s="38">
        <v>8032.1956088647448</v>
      </c>
      <c r="C7" s="39">
        <v>378</v>
      </c>
      <c r="D7" s="38">
        <f>B7-C7</f>
        <v>7654.1956088647448</v>
      </c>
      <c r="E7" s="37">
        <f>(B7-C7)/B6</f>
        <v>0.76553484646670578</v>
      </c>
      <c r="F7" s="36">
        <v>1094171.9008264462</v>
      </c>
      <c r="G7" s="35">
        <f>F7/C7</f>
        <v>2894.6346582710216</v>
      </c>
      <c r="H7" s="34">
        <v>1300000</v>
      </c>
      <c r="J7" s="16" t="s">
        <v>17</v>
      </c>
      <c r="K7" s="24">
        <f>D17</f>
        <v>1635.5650083096909</v>
      </c>
      <c r="L7" s="23"/>
      <c r="M7" s="33">
        <f>M3*M6</f>
        <v>3670.6886313674231</v>
      </c>
      <c r="N7" s="6"/>
    </row>
    <row r="8" spans="1:14" x14ac:dyDescent="0.25">
      <c r="B8" s="32"/>
      <c r="D8" s="32"/>
      <c r="E8" s="31"/>
      <c r="F8" s="30"/>
      <c r="G8" s="5"/>
      <c r="H8" s="30"/>
      <c r="J8" s="16" t="s">
        <v>16</v>
      </c>
      <c r="K8" s="21">
        <f>D18</f>
        <v>2254.5223148073974</v>
      </c>
      <c r="L8" s="20">
        <v>-0.4</v>
      </c>
      <c r="M8" s="19">
        <f>K8*(1+L8)</f>
        <v>1352.7133888844385</v>
      </c>
      <c r="N8" s="6"/>
    </row>
    <row r="9" spans="1:14" x14ac:dyDescent="0.25">
      <c r="A9" s="29" t="s">
        <v>15</v>
      </c>
      <c r="B9" s="29"/>
      <c r="C9" s="29"/>
      <c r="J9" s="28"/>
      <c r="K9" s="27" t="s">
        <v>14</v>
      </c>
      <c r="L9" s="26"/>
      <c r="M9" s="25" t="s">
        <v>13</v>
      </c>
      <c r="N9" s="6"/>
    </row>
    <row r="10" spans="1:14" ht="15" customHeight="1" x14ac:dyDescent="0.25">
      <c r="A10" s="18" t="s">
        <v>12</v>
      </c>
      <c r="B10" s="18"/>
      <c r="C10" s="18"/>
      <c r="D10" s="18"/>
      <c r="E10" s="18"/>
      <c r="F10" s="18"/>
      <c r="G10" s="18"/>
      <c r="H10" s="18"/>
      <c r="J10" s="16" t="s">
        <v>11</v>
      </c>
      <c r="K10" s="24">
        <f>K8/K3</f>
        <v>437.45577549963838</v>
      </c>
      <c r="L10" s="23"/>
      <c r="M10" s="22">
        <f>M8/M3</f>
        <v>137.09587408754763</v>
      </c>
      <c r="N10" s="6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J11" s="16" t="s">
        <v>10</v>
      </c>
      <c r="K11" s="21">
        <f>SUM(H2:H7)/SUM(B2:B7)</f>
        <v>177.43090001292856</v>
      </c>
      <c r="L11" s="20">
        <v>-0.2</v>
      </c>
      <c r="M11" s="19">
        <f>K11*(1+L11)</f>
        <v>141.94472001034285</v>
      </c>
      <c r="N11" s="6"/>
    </row>
    <row r="12" spans="1:14" ht="15.75" thickBot="1" x14ac:dyDescent="0.3">
      <c r="A12" s="18" t="s">
        <v>9</v>
      </c>
      <c r="B12" s="18"/>
      <c r="C12" s="18"/>
      <c r="D12" s="17"/>
      <c r="E12" s="17"/>
      <c r="F12" s="17"/>
      <c r="G12" s="17"/>
      <c r="H12" s="17"/>
      <c r="J12" s="16" t="s">
        <v>8</v>
      </c>
      <c r="K12" s="15">
        <f>K6-K10-K11</f>
        <v>-297.53015418165603</v>
      </c>
      <c r="L12" s="14"/>
      <c r="M12" s="13">
        <f>M6-M10-M11</f>
        <v>92.979281328604571</v>
      </c>
      <c r="N12" s="6"/>
    </row>
    <row r="13" spans="1:14" ht="15.75" thickBot="1" x14ac:dyDescent="0.3">
      <c r="A13" s="3" t="s">
        <v>7</v>
      </c>
      <c r="B13" s="3"/>
      <c r="C13" s="3"/>
      <c r="D13" s="12">
        <f>GEOMEAN(E3:E7)</f>
        <v>0.80596520485670597</v>
      </c>
      <c r="J13" s="11" t="s">
        <v>6</v>
      </c>
      <c r="K13" s="10">
        <f>K12/K6</f>
        <v>-0.93752651728690428</v>
      </c>
      <c r="L13" s="9"/>
      <c r="M13" s="8">
        <f>M12/M6</f>
        <v>0.2499309511945034</v>
      </c>
      <c r="N13" s="6"/>
    </row>
    <row r="14" spans="1:14" ht="15.75" thickBot="1" x14ac:dyDescent="0.3">
      <c r="A14" s="3" t="s">
        <v>5</v>
      </c>
      <c r="B14" s="3"/>
      <c r="C14" s="3"/>
      <c r="D14" s="7">
        <f>1/(1-D13)</f>
        <v>5.1537148234753642</v>
      </c>
      <c r="J14" s="6"/>
      <c r="K14" s="6"/>
      <c r="L14" s="6"/>
      <c r="M14" s="6"/>
      <c r="N14" s="6"/>
    </row>
    <row r="15" spans="1:14" x14ac:dyDescent="0.25">
      <c r="A15" s="3" t="s">
        <v>4</v>
      </c>
      <c r="B15" s="3"/>
      <c r="C15" s="3"/>
      <c r="D15" s="5">
        <f>[1]Финансы!C2</f>
        <v>350</v>
      </c>
    </row>
    <row r="16" spans="1:14" ht="15.75" thickBot="1" x14ac:dyDescent="0.3">
      <c r="A16" s="3" t="s">
        <v>3</v>
      </c>
      <c r="B16" s="3"/>
      <c r="C16" s="3"/>
      <c r="D16" s="5">
        <f>[1]Финансы!E9</f>
        <v>317.35652133091088</v>
      </c>
    </row>
    <row r="17" spans="1:6" ht="15.75" thickBot="1" x14ac:dyDescent="0.3">
      <c r="A17" t="s">
        <v>2</v>
      </c>
      <c r="D17" s="4">
        <f>D14*D16</f>
        <v>1635.5650083096909</v>
      </c>
    </row>
    <row r="18" spans="1:6" ht="15.75" thickBot="1" x14ac:dyDescent="0.3">
      <c r="A18" s="3" t="s">
        <v>1</v>
      </c>
      <c r="B18" s="3"/>
      <c r="D18" s="4">
        <f>SUM(F2:F7)/SUM(C2:C7)</f>
        <v>2254.5223148073974</v>
      </c>
    </row>
    <row r="19" spans="1:6" ht="15.75" thickBot="1" x14ac:dyDescent="0.3">
      <c r="A19" s="3" t="s">
        <v>0</v>
      </c>
      <c r="B19" s="3"/>
      <c r="D19" s="2">
        <f>K13</f>
        <v>-0.93752651728690428</v>
      </c>
    </row>
    <row r="20" spans="1:6" x14ac:dyDescent="0.25">
      <c r="F20" s="1"/>
    </row>
  </sheetData>
  <mergeCells count="9">
    <mergeCell ref="A19:B19"/>
    <mergeCell ref="A10:H11"/>
    <mergeCell ref="A12:C12"/>
    <mergeCell ref="A9:C9"/>
    <mergeCell ref="A13:C13"/>
    <mergeCell ref="A14:C14"/>
    <mergeCell ref="A15:C15"/>
    <mergeCell ref="A16:C16"/>
    <mergeCell ref="A18:B18"/>
  </mergeCells>
  <conditionalFormatting sqref="L2 L4">
    <cfRule type="colorScale" priority="1">
      <colorScale>
        <cfvo type="num" val="-0.5"/>
        <cfvo type="num" val="0"/>
        <cfvo type="num" val="0.5"/>
        <color rgb="FFF8696B"/>
        <color rgb="FFFCFCFF"/>
        <color rgb="FF63BE7B"/>
      </colorScale>
    </cfRule>
  </conditionalFormatting>
  <conditionalFormatting sqref="L8 L5 L11">
    <cfRule type="colorScale" priority="2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Юнит-экономика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Billiy Harrington</cp:lastModifiedBy>
  <dcterms:created xsi:type="dcterms:W3CDTF">2023-08-14T08:14:43Z</dcterms:created>
  <dcterms:modified xsi:type="dcterms:W3CDTF">2023-08-14T08:34:56Z</dcterms:modified>
</cp:coreProperties>
</file>