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sign Specifications" sheetId="1" r:id="rId3"/>
    <sheet state="visible" name="Satisfaction Values" sheetId="2" r:id="rId4"/>
    <sheet state="visible" name="Catchment Area" sheetId="3" r:id="rId5"/>
    <sheet state="visible" name="Filters" sheetId="4" r:id="rId6"/>
    <sheet state="visible" name="Pumps" sheetId="5" r:id="rId7"/>
    <sheet state="visible" name="On Demand Flow Rate" sheetId="6" r:id="rId8"/>
    <sheet state="visible" name="Disinfection" sheetId="7" r:id="rId9"/>
    <sheet state="visible" name="Power" sheetId="8" r:id="rId10"/>
    <sheet state="visible" name="GHG Emissions" sheetId="9" r:id="rId11"/>
    <sheet state="visible" name="Risk Matrices" sheetId="10" r:id="rId12"/>
  </sheets>
  <definedNames>
    <definedName localSheetId="5" name="solver_adj">'On Demand Flow Rate'!$B$2:$B$3</definedName>
    <definedName localSheetId="5" name="solver_opt">'On Demand Flow Rate'!$E$21</definedName>
  </definedNames>
  <calcPr/>
</workbook>
</file>

<file path=xl/sharedStrings.xml><?xml version="1.0" encoding="utf-8"?>
<sst xmlns="http://schemas.openxmlformats.org/spreadsheetml/2006/main" count="2068" uniqueCount="1098">
  <si>
    <t>Design Consumption</t>
  </si>
  <si>
    <t>L/Day</t>
  </si>
  <si>
    <t>Subsystem</t>
  </si>
  <si>
    <t>Component</t>
  </si>
  <si>
    <t>Input</t>
  </si>
  <si>
    <t>Rainwater Collection</t>
  </si>
  <si>
    <t>Roof Catchment</t>
  </si>
  <si>
    <t>None</t>
  </si>
  <si>
    <t>Half Roof</t>
  </si>
  <si>
    <t>y</t>
  </si>
  <si>
    <t>Whole Roof</t>
  </si>
  <si>
    <t>Additional Catchment</t>
  </si>
  <si>
    <t>y/n</t>
  </si>
  <si>
    <t>Area (m^2)</t>
  </si>
  <si>
    <t>Location</t>
  </si>
  <si>
    <t>x (m)</t>
  </si>
  <si>
    <t>y (m)</t>
  </si>
  <si>
    <t>Collection Tank</t>
  </si>
  <si>
    <t>L</t>
  </si>
  <si>
    <t>Storage</t>
  </si>
  <si>
    <t>Storage tank volume</t>
  </si>
  <si>
    <t>m^3</t>
  </si>
  <si>
    <t>Tank Location</t>
  </si>
  <si>
    <t>Height(x,y)</t>
  </si>
  <si>
    <t>Storage tank tower</t>
  </si>
  <si>
    <t>n</t>
  </si>
  <si>
    <t>ADDS TO HEIGHT AND COST</t>
  </si>
  <si>
    <t>h (m)</t>
  </si>
  <si>
    <t>Pump</t>
  </si>
  <si>
    <t>Pump A</t>
  </si>
  <si>
    <t>Pump B</t>
  </si>
  <si>
    <t>Pump C</t>
  </si>
  <si>
    <t>Filtration</t>
  </si>
  <si>
    <t>Filter Location</t>
  </si>
  <si>
    <t>Pump Line</t>
  </si>
  <si>
    <t>Demand Line</t>
  </si>
  <si>
    <t>Filtration Components</t>
  </si>
  <si>
    <t>1um</t>
  </si>
  <si>
    <t>5um</t>
  </si>
  <si>
    <t>200um</t>
  </si>
  <si>
    <t>Disinfection</t>
  </si>
  <si>
    <t>UV</t>
  </si>
  <si>
    <t>36W</t>
  </si>
  <si>
    <t>50W</t>
  </si>
  <si>
    <t>Chemical</t>
  </si>
  <si>
    <t>Chlorine</t>
  </si>
  <si>
    <t>Ozone</t>
  </si>
  <si>
    <t>Power System</t>
  </si>
  <si>
    <t>Power Strategy</t>
  </si>
  <si>
    <t>Solar</t>
  </si>
  <si>
    <t>Diesel Generator</t>
  </si>
  <si>
    <t>Number of Batteries</t>
  </si>
  <si>
    <t>#</t>
  </si>
  <si>
    <t>Solar Power System</t>
  </si>
  <si>
    <t>Model</t>
  </si>
  <si>
    <t>HES-260</t>
  </si>
  <si>
    <t>SW-80</t>
  </si>
  <si>
    <t>HES-305P</t>
  </si>
  <si>
    <t>Quantity of Panels</t>
  </si>
  <si>
    <t>Inverter</t>
  </si>
  <si>
    <t>2.8kW DC-AC Inverter</t>
  </si>
  <si>
    <t>4000W 2 cyl. Diesel</t>
  </si>
  <si>
    <t>Attribute</t>
  </si>
  <si>
    <t>Value</t>
  </si>
  <si>
    <t>Units</t>
  </si>
  <si>
    <t>Satisfaction</t>
  </si>
  <si>
    <t>Weight</t>
  </si>
  <si>
    <t>Min.Val</t>
  </si>
  <si>
    <t>Max Val</t>
  </si>
  <si>
    <t>Cost (5 years)</t>
  </si>
  <si>
    <t>Maintenance calculations</t>
  </si>
  <si>
    <t># of maintance / 5 years</t>
  </si>
  <si>
    <t># of maintance / year</t>
  </si>
  <si>
    <t>Overall Maintenence</t>
  </si>
  <si>
    <t>Overall Reliability (2014)</t>
  </si>
  <si>
    <t>Overall Reliability (2015)</t>
  </si>
  <si>
    <t>Average reliability</t>
  </si>
  <si>
    <t>Consumption</t>
  </si>
  <si>
    <t>L/day</t>
  </si>
  <si>
    <t>Catchment (area, 2 tanks, tower)</t>
  </si>
  <si>
    <t>Pump (always 0)</t>
  </si>
  <si>
    <t>Relative Cost</t>
  </si>
  <si>
    <t>% relative to shipping water</t>
  </si>
  <si>
    <t>Filters</t>
  </si>
  <si>
    <t>Health and environmental risk exposure</t>
  </si>
  <si>
    <t>N/A</t>
  </si>
  <si>
    <t>Power system greenhouse gas emissions</t>
  </si>
  <si>
    <t>Pumps</t>
  </si>
  <si>
    <t>Total</t>
  </si>
  <si>
    <t>Maintenance occurences</t>
  </si>
  <si>
    <t>#/year</t>
  </si>
  <si>
    <t>Power</t>
  </si>
  <si>
    <t>On demand flow rate</t>
  </si>
  <si>
    <t>L/min</t>
  </si>
  <si>
    <t>Cost For Days System Does Not Supply</t>
  </si>
  <si>
    <t>Reliability</t>
  </si>
  <si>
    <t>days/year</t>
  </si>
  <si>
    <t>TOTAL</t>
  </si>
  <si>
    <t>Shipinng water for 5 yrs</t>
  </si>
  <si>
    <t>Parameters</t>
  </si>
  <si>
    <t>Catchment_roof</t>
  </si>
  <si>
    <t>m^2</t>
  </si>
  <si>
    <t>Storage Tank</t>
  </si>
  <si>
    <t>Cost</t>
  </si>
  <si>
    <t>Total water collected (for pumps)</t>
  </si>
  <si>
    <t>Catchment_extra</t>
  </si>
  <si>
    <t>Cost_extra ($/m^2)</t>
  </si>
  <si>
    <t>Cost/m^3</t>
  </si>
  <si>
    <t>Catchment area</t>
  </si>
  <si>
    <t>Catchment Area</t>
  </si>
  <si>
    <t>Catchment Tank</t>
  </si>
  <si>
    <t>Storage Tank Volume</t>
  </si>
  <si>
    <t>1% Satisfaction</t>
  </si>
  <si>
    <t>Catchment Tank Costs</t>
  </si>
  <si>
    <t>Average</t>
  </si>
  <si>
    <t>Catchment Tank Volume</t>
  </si>
  <si>
    <t>50% Satisfaction</t>
  </si>
  <si>
    <t>Volume</t>
  </si>
  <si>
    <t>$</t>
  </si>
  <si>
    <t>Storage Tower</t>
  </si>
  <si>
    <t>Cmin</t>
  </si>
  <si>
    <t>100% Satisfaction</t>
  </si>
  <si>
    <t>Cmax</t>
  </si>
  <si>
    <t>Vinitial</t>
  </si>
  <si>
    <t>Time</t>
  </si>
  <si>
    <t>day</t>
  </si>
  <si>
    <t>Reliability -2014</t>
  </si>
  <si>
    <t>Reliability -2015</t>
  </si>
  <si>
    <t>Station 1-2014 Data</t>
  </si>
  <si>
    <t>Station 1-2015 Data</t>
  </si>
  <si>
    <t>Date</t>
  </si>
  <si>
    <t>Daily Rainfall (mm)</t>
  </si>
  <si>
    <t>Qin(L/day)</t>
  </si>
  <si>
    <t>Qout (L/day)</t>
  </si>
  <si>
    <t>Volume in Storage (L)</t>
  </si>
  <si>
    <t>1/1/2014</t>
  </si>
  <si>
    <t>1/1/2015</t>
  </si>
  <si>
    <t>1/2/2014</t>
  </si>
  <si>
    <t>1/2/2015</t>
  </si>
  <si>
    <t>1/3/2014</t>
  </si>
  <si>
    <t>1/3/2015</t>
  </si>
  <si>
    <t>1/4/2014</t>
  </si>
  <si>
    <t>1/4/2015</t>
  </si>
  <si>
    <t>1/5/2014</t>
  </si>
  <si>
    <t>1/5/2015</t>
  </si>
  <si>
    <t>1/6/2014</t>
  </si>
  <si>
    <t>1/6/2015</t>
  </si>
  <si>
    <t>1/7/2014</t>
  </si>
  <si>
    <t>1/7/2015</t>
  </si>
  <si>
    <t>1/8/2014</t>
  </si>
  <si>
    <t>1/8/2015</t>
  </si>
  <si>
    <t>1/9/2014</t>
  </si>
  <si>
    <t>1/9/2015</t>
  </si>
  <si>
    <t>1/10/2014</t>
  </si>
  <si>
    <t>1/10/2015</t>
  </si>
  <si>
    <t>1/11/2014</t>
  </si>
  <si>
    <t>1/11/2015</t>
  </si>
  <si>
    <t>1/12/2014</t>
  </si>
  <si>
    <t>1/12/2015</t>
  </si>
  <si>
    <t>1/13/2014</t>
  </si>
  <si>
    <t>1/13/2015</t>
  </si>
  <si>
    <t>1/14/2014</t>
  </si>
  <si>
    <t>1/14/2015</t>
  </si>
  <si>
    <t>1/15/2014</t>
  </si>
  <si>
    <t>1/15/2015</t>
  </si>
  <si>
    <t>1/16/2014</t>
  </si>
  <si>
    <t>1/16/2015</t>
  </si>
  <si>
    <t>1/17/2014</t>
  </si>
  <si>
    <t>1/17/2015</t>
  </si>
  <si>
    <t>1/18/2014</t>
  </si>
  <si>
    <t>1/18/2015</t>
  </si>
  <si>
    <t>1/19/2014</t>
  </si>
  <si>
    <t>1/19/2015</t>
  </si>
  <si>
    <t>1/20/2014</t>
  </si>
  <si>
    <t>1/20/2015</t>
  </si>
  <si>
    <t>1/21/2014</t>
  </si>
  <si>
    <t>1/21/2015</t>
  </si>
  <si>
    <t>1/22/2014</t>
  </si>
  <si>
    <t>1/22/2015</t>
  </si>
  <si>
    <t>1/23/2014</t>
  </si>
  <si>
    <t>1/23/2015</t>
  </si>
  <si>
    <t>1/24/2014</t>
  </si>
  <si>
    <t>1/24/2015</t>
  </si>
  <si>
    <t>1/25/2014</t>
  </si>
  <si>
    <t>1/25/2015</t>
  </si>
  <si>
    <t>1/26/2014</t>
  </si>
  <si>
    <t>1/26/2015</t>
  </si>
  <si>
    <t>1/27/2014</t>
  </si>
  <si>
    <t>1/27/2015</t>
  </si>
  <si>
    <t>1/28/2014</t>
  </si>
  <si>
    <t>1/28/2015</t>
  </si>
  <si>
    <t>1/29/2014</t>
  </si>
  <si>
    <t>1/29/2015</t>
  </si>
  <si>
    <t>1/30/2014</t>
  </si>
  <si>
    <t>1/30/2015</t>
  </si>
  <si>
    <t>1/31/2014</t>
  </si>
  <si>
    <t>1/31/2015</t>
  </si>
  <si>
    <t>2/1/2014</t>
  </si>
  <si>
    <t>2/1/2015</t>
  </si>
  <si>
    <t>2/2/2014</t>
  </si>
  <si>
    <t>2/2/2015</t>
  </si>
  <si>
    <t>2/3/2014</t>
  </si>
  <si>
    <t>2/3/2015</t>
  </si>
  <si>
    <t>2/4/2014</t>
  </si>
  <si>
    <t>2/4/2015</t>
  </si>
  <si>
    <t>2/5/2014</t>
  </si>
  <si>
    <t>2/5/2015</t>
  </si>
  <si>
    <t>2/6/2014</t>
  </si>
  <si>
    <t>2/6/2015</t>
  </si>
  <si>
    <t>2/7/2014</t>
  </si>
  <si>
    <t>2/7/2015</t>
  </si>
  <si>
    <t>2/8/2014</t>
  </si>
  <si>
    <t>2/8/2015</t>
  </si>
  <si>
    <t>2/9/2014</t>
  </si>
  <si>
    <t>2/9/2015</t>
  </si>
  <si>
    <t>2/10/2014</t>
  </si>
  <si>
    <t>2/10/2015</t>
  </si>
  <si>
    <t>2/11/2014</t>
  </si>
  <si>
    <t>2/11/2015</t>
  </si>
  <si>
    <t>2/12/2014</t>
  </si>
  <si>
    <t>2/12/2015</t>
  </si>
  <si>
    <t>2/13/2014</t>
  </si>
  <si>
    <t>2/13/2015</t>
  </si>
  <si>
    <t>2/14/2014</t>
  </si>
  <si>
    <t>2/14/2015</t>
  </si>
  <si>
    <t>2/15/2014</t>
  </si>
  <si>
    <t>2/15/2015</t>
  </si>
  <si>
    <t>2/16/2014</t>
  </si>
  <si>
    <t>2/16/2015</t>
  </si>
  <si>
    <t>2/17/2014</t>
  </si>
  <si>
    <t>2/17/2015</t>
  </si>
  <si>
    <t>2/18/2014</t>
  </si>
  <si>
    <t>2/18/2015</t>
  </si>
  <si>
    <t>2/19/2014</t>
  </si>
  <si>
    <t>2/19/2015</t>
  </si>
  <si>
    <t>2/20/2014</t>
  </si>
  <si>
    <t>2/20/2015</t>
  </si>
  <si>
    <t>2/21/2014</t>
  </si>
  <si>
    <t>2/21/2015</t>
  </si>
  <si>
    <t>2/22/2014</t>
  </si>
  <si>
    <t>2/22/2015</t>
  </si>
  <si>
    <t>2/23/2014</t>
  </si>
  <si>
    <t>2/23/2015</t>
  </si>
  <si>
    <t>2/24/2014</t>
  </si>
  <si>
    <t>2/24/2015</t>
  </si>
  <si>
    <t>2/25/2014</t>
  </si>
  <si>
    <t>2/25/2015</t>
  </si>
  <si>
    <t>2/26/2014</t>
  </si>
  <si>
    <t>2/26/2015</t>
  </si>
  <si>
    <t>2/27/2014</t>
  </si>
  <si>
    <t>2/27/2015</t>
  </si>
  <si>
    <t>2/28/2014</t>
  </si>
  <si>
    <t>2/28/2015</t>
  </si>
  <si>
    <t>3/1/2014</t>
  </si>
  <si>
    <t>3/1/2015</t>
  </si>
  <si>
    <t>3/2/2014</t>
  </si>
  <si>
    <t>3/2/2015</t>
  </si>
  <si>
    <t>3/3/2014</t>
  </si>
  <si>
    <t>3/3/2015</t>
  </si>
  <si>
    <t>3/4/2014</t>
  </si>
  <si>
    <t>3/4/2015</t>
  </si>
  <si>
    <t>3/5/2014</t>
  </si>
  <si>
    <t>3/5/2015</t>
  </si>
  <si>
    <t>3/6/2014</t>
  </si>
  <si>
    <t>3/6/2015</t>
  </si>
  <si>
    <t>3/7/2014</t>
  </si>
  <si>
    <t>3/7/2015</t>
  </si>
  <si>
    <t>3/8/2014</t>
  </si>
  <si>
    <t>3/8/2015</t>
  </si>
  <si>
    <t>3/9/2014</t>
  </si>
  <si>
    <t>3/9/2015</t>
  </si>
  <si>
    <t>3/10/2014</t>
  </si>
  <si>
    <t>3/10/2015</t>
  </si>
  <si>
    <t>3/11/2014</t>
  </si>
  <si>
    <t>3/11/2015</t>
  </si>
  <si>
    <t>3/12/2014</t>
  </si>
  <si>
    <t>3/12/2015</t>
  </si>
  <si>
    <t>3/13/2014</t>
  </si>
  <si>
    <t>3/13/2015</t>
  </si>
  <si>
    <t>3/14/2014</t>
  </si>
  <si>
    <t>3/14/2015</t>
  </si>
  <si>
    <t>3/15/2014</t>
  </si>
  <si>
    <t>3/15/2015</t>
  </si>
  <si>
    <t>3/16/2014</t>
  </si>
  <si>
    <t>3/16/2015</t>
  </si>
  <si>
    <t>3/17/2014</t>
  </si>
  <si>
    <t>3/17/2015</t>
  </si>
  <si>
    <t>3/18/2014</t>
  </si>
  <si>
    <t>3/18/2015</t>
  </si>
  <si>
    <t>3/19/2014</t>
  </si>
  <si>
    <t>3/19/2015</t>
  </si>
  <si>
    <t>3/20/2014</t>
  </si>
  <si>
    <t>3/20/2015</t>
  </si>
  <si>
    <t>3/21/2014</t>
  </si>
  <si>
    <t>3/21/2015</t>
  </si>
  <si>
    <t>3/22/2014</t>
  </si>
  <si>
    <t>3/22/2015</t>
  </si>
  <si>
    <t>3/23/2014</t>
  </si>
  <si>
    <t>3/23/2015</t>
  </si>
  <si>
    <t>3/24/2014</t>
  </si>
  <si>
    <t>3/24/2015</t>
  </si>
  <si>
    <t>3/25/2014</t>
  </si>
  <si>
    <t>3/25/2015</t>
  </si>
  <si>
    <t>3/26/2014</t>
  </si>
  <si>
    <t>3/26/2015</t>
  </si>
  <si>
    <t>3/27/2014</t>
  </si>
  <si>
    <t>3/27/2015</t>
  </si>
  <si>
    <t>3/28/2014</t>
  </si>
  <si>
    <t>3/28/2015</t>
  </si>
  <si>
    <t>3/29/2014</t>
  </si>
  <si>
    <t>3/29/2015</t>
  </si>
  <si>
    <t>3/30/2014</t>
  </si>
  <si>
    <t>3/30/2015</t>
  </si>
  <si>
    <t>3/31/2014</t>
  </si>
  <si>
    <t>3/31/2015</t>
  </si>
  <si>
    <t>4/1/2014</t>
  </si>
  <si>
    <t>4/1/2015</t>
  </si>
  <si>
    <t>4/2/2014</t>
  </si>
  <si>
    <t>4/2/2015</t>
  </si>
  <si>
    <t>4/3/2014</t>
  </si>
  <si>
    <t>4/3/2015</t>
  </si>
  <si>
    <t>4/4/2014</t>
  </si>
  <si>
    <t>4/4/2015</t>
  </si>
  <si>
    <t>4/5/2014</t>
  </si>
  <si>
    <t>4/5/2015</t>
  </si>
  <si>
    <t>4/6/2014</t>
  </si>
  <si>
    <t>4/6/2015</t>
  </si>
  <si>
    <t>4/7/2014</t>
  </si>
  <si>
    <t>4/7/2015</t>
  </si>
  <si>
    <t>4/8/2014</t>
  </si>
  <si>
    <t>4/8/2015</t>
  </si>
  <si>
    <t>4/9/2014</t>
  </si>
  <si>
    <t>4/9/2015</t>
  </si>
  <si>
    <t>4/10/2014</t>
  </si>
  <si>
    <t>4/10/2015</t>
  </si>
  <si>
    <t>4/11/2014</t>
  </si>
  <si>
    <t>4/11/2015</t>
  </si>
  <si>
    <t>4/12/2014</t>
  </si>
  <si>
    <t>4/12/2015</t>
  </si>
  <si>
    <t>4/13/2014</t>
  </si>
  <si>
    <t>4/13/2015</t>
  </si>
  <si>
    <t>4/14/2014</t>
  </si>
  <si>
    <t>4/14/2015</t>
  </si>
  <si>
    <t>4/15/2014</t>
  </si>
  <si>
    <t>4/15/2015</t>
  </si>
  <si>
    <t>4/16/2014</t>
  </si>
  <si>
    <t>4/16/2015</t>
  </si>
  <si>
    <t>4/17/2014</t>
  </si>
  <si>
    <t>4/17/2015</t>
  </si>
  <si>
    <t>4/18/2014</t>
  </si>
  <si>
    <t>4/18/2015</t>
  </si>
  <si>
    <t>4/19/2014</t>
  </si>
  <si>
    <t>4/19/2015</t>
  </si>
  <si>
    <t>4/20/2014</t>
  </si>
  <si>
    <t>4/20/2015</t>
  </si>
  <si>
    <t>4/21/2014</t>
  </si>
  <si>
    <t>4/21/2015</t>
  </si>
  <si>
    <t>4/22/2014</t>
  </si>
  <si>
    <t>4/22/2015</t>
  </si>
  <si>
    <t>4/23/2014</t>
  </si>
  <si>
    <t>4/23/2015</t>
  </si>
  <si>
    <t>4/24/2014</t>
  </si>
  <si>
    <t>4/24/2015</t>
  </si>
  <si>
    <t>4/25/2014</t>
  </si>
  <si>
    <t>4/25/2015</t>
  </si>
  <si>
    <t>4/26/2014</t>
  </si>
  <si>
    <t>4/26/2015</t>
  </si>
  <si>
    <t>4/27/2014</t>
  </si>
  <si>
    <t>4/27/2015</t>
  </si>
  <si>
    <t>4/28/2014</t>
  </si>
  <si>
    <t>4/28/2015</t>
  </si>
  <si>
    <t>4/29/2014</t>
  </si>
  <si>
    <t>4/29/2015</t>
  </si>
  <si>
    <t>4/30/2014</t>
  </si>
  <si>
    <t>4/30/2015</t>
  </si>
  <si>
    <t>5/1/2014</t>
  </si>
  <si>
    <t>5/1/2015</t>
  </si>
  <si>
    <t>5/2/2014</t>
  </si>
  <si>
    <t>5/2/2015</t>
  </si>
  <si>
    <t>5/3/2014</t>
  </si>
  <si>
    <t>5/3/2015</t>
  </si>
  <si>
    <t>5/4/2014</t>
  </si>
  <si>
    <t>5/4/2015</t>
  </si>
  <si>
    <t>5/5/2014</t>
  </si>
  <si>
    <t>5/5/2015</t>
  </si>
  <si>
    <t>5/6/2014</t>
  </si>
  <si>
    <t>5/6/2015</t>
  </si>
  <si>
    <t>5/7/2014</t>
  </si>
  <si>
    <t>5/7/2015</t>
  </si>
  <si>
    <t>5/8/2014</t>
  </si>
  <si>
    <t>5/8/2015</t>
  </si>
  <si>
    <t>5/9/2014</t>
  </si>
  <si>
    <t>5/9/2015</t>
  </si>
  <si>
    <t>5/10/2014</t>
  </si>
  <si>
    <t>5/10/2015</t>
  </si>
  <si>
    <t>5/11/2014</t>
  </si>
  <si>
    <t>5/11/2015</t>
  </si>
  <si>
    <t>5/12/2014</t>
  </si>
  <si>
    <t>5/12/2015</t>
  </si>
  <si>
    <t>5/13/2014</t>
  </si>
  <si>
    <t>5/13/2015</t>
  </si>
  <si>
    <t>5/14/2014</t>
  </si>
  <si>
    <t>5/14/2015</t>
  </si>
  <si>
    <t>5/15/2014</t>
  </si>
  <si>
    <t>5/15/2015</t>
  </si>
  <si>
    <t>5/16/2014</t>
  </si>
  <si>
    <t>5/16/2015</t>
  </si>
  <si>
    <t>5/17/2014</t>
  </si>
  <si>
    <t>5/17/2015</t>
  </si>
  <si>
    <t>5/18/2014</t>
  </si>
  <si>
    <t>5/18/2015</t>
  </si>
  <si>
    <t>5/19/2014</t>
  </si>
  <si>
    <t>5/19/2015</t>
  </si>
  <si>
    <t>5/20/2014</t>
  </si>
  <si>
    <t>5/20/2015</t>
  </si>
  <si>
    <t>5/21/2014</t>
  </si>
  <si>
    <t>5/21/2015</t>
  </si>
  <si>
    <t>5/22/2014</t>
  </si>
  <si>
    <t>5/22/2015</t>
  </si>
  <si>
    <t>5/23/2014</t>
  </si>
  <si>
    <t>5/23/2015</t>
  </si>
  <si>
    <t>5/24/2014</t>
  </si>
  <si>
    <t>5/24/2015</t>
  </si>
  <si>
    <t>5/25/2014</t>
  </si>
  <si>
    <t>5/25/2015</t>
  </si>
  <si>
    <t>5/26/2014</t>
  </si>
  <si>
    <t>5/26/2015</t>
  </si>
  <si>
    <t>5/27/2014</t>
  </si>
  <si>
    <t>5/27/2015</t>
  </si>
  <si>
    <t>5/28/2014</t>
  </si>
  <si>
    <t>5/28/2015</t>
  </si>
  <si>
    <t>5/29/2014</t>
  </si>
  <si>
    <t>5/29/2015</t>
  </si>
  <si>
    <t>5/30/2014</t>
  </si>
  <si>
    <t>5/30/2015</t>
  </si>
  <si>
    <t>5/31/2014</t>
  </si>
  <si>
    <t>5/31/2015</t>
  </si>
  <si>
    <t>6/1/2014</t>
  </si>
  <si>
    <t>6/1/2015</t>
  </si>
  <si>
    <t>6/2/2014</t>
  </si>
  <si>
    <t>6/2/2015</t>
  </si>
  <si>
    <t>6/3/2014</t>
  </si>
  <si>
    <t>6/3/2015</t>
  </si>
  <si>
    <t>6/4/2014</t>
  </si>
  <si>
    <t>6/4/2015</t>
  </si>
  <si>
    <t>6/5/2014</t>
  </si>
  <si>
    <t>6/5/2015</t>
  </si>
  <si>
    <t>6/6/2014</t>
  </si>
  <si>
    <t>6/6/2015</t>
  </si>
  <si>
    <t>6/7/2014</t>
  </si>
  <si>
    <t>6/7/2015</t>
  </si>
  <si>
    <t>6/8/2014</t>
  </si>
  <si>
    <t>6/8/2015</t>
  </si>
  <si>
    <t>6/9/2014</t>
  </si>
  <si>
    <t>6/9/2015</t>
  </si>
  <si>
    <t>6/10/2014</t>
  </si>
  <si>
    <t>6/10/2015</t>
  </si>
  <si>
    <t>6/11/2014</t>
  </si>
  <si>
    <t>6/11/2015</t>
  </si>
  <si>
    <t>6/12/2014</t>
  </si>
  <si>
    <t>6/12/2015</t>
  </si>
  <si>
    <t>6/13/2014</t>
  </si>
  <si>
    <t>6/13/2015</t>
  </si>
  <si>
    <t>6/14/2014</t>
  </si>
  <si>
    <t>6/14/2015</t>
  </si>
  <si>
    <t>6/15/2014</t>
  </si>
  <si>
    <t>6/15/2015</t>
  </si>
  <si>
    <t>6/16/2014</t>
  </si>
  <si>
    <t>6/16/2015</t>
  </si>
  <si>
    <t>6/17/2014</t>
  </si>
  <si>
    <t>6/17/2015</t>
  </si>
  <si>
    <t>6/18/2014</t>
  </si>
  <si>
    <t>6/18/2015</t>
  </si>
  <si>
    <t>6/19/2014</t>
  </si>
  <si>
    <t>6/19/2015</t>
  </si>
  <si>
    <t>6/20/2014</t>
  </si>
  <si>
    <t>6/20/2015</t>
  </si>
  <si>
    <t>6/21/2014</t>
  </si>
  <si>
    <t>6/21/2015</t>
  </si>
  <si>
    <t>6/22/2014</t>
  </si>
  <si>
    <t>6/22/2015</t>
  </si>
  <si>
    <t>6/23/2014</t>
  </si>
  <si>
    <t>6/23/2015</t>
  </si>
  <si>
    <t>6/24/2014</t>
  </si>
  <si>
    <t>6/24/2015</t>
  </si>
  <si>
    <t>6/25/2014</t>
  </si>
  <si>
    <t>6/25/2015</t>
  </si>
  <si>
    <t>6/26/2014</t>
  </si>
  <si>
    <t>6/26/2015</t>
  </si>
  <si>
    <t>6/27/2014</t>
  </si>
  <si>
    <t>6/27/2015</t>
  </si>
  <si>
    <t>6/28/2014</t>
  </si>
  <si>
    <t>6/28/2015</t>
  </si>
  <si>
    <t>6/29/2014</t>
  </si>
  <si>
    <t>6/29/2015</t>
  </si>
  <si>
    <t>6/30/2014</t>
  </si>
  <si>
    <t>6/30/2015</t>
  </si>
  <si>
    <t>7/1/2014</t>
  </si>
  <si>
    <t>7/1/2015</t>
  </si>
  <si>
    <t>7/2/2014</t>
  </si>
  <si>
    <t>7/2/2015</t>
  </si>
  <si>
    <t>7/3/2014</t>
  </si>
  <si>
    <t>7/3/2015</t>
  </si>
  <si>
    <t>7/4/2014</t>
  </si>
  <si>
    <t>7/4/2015</t>
  </si>
  <si>
    <t>7/5/2014</t>
  </si>
  <si>
    <t>7/5/2015</t>
  </si>
  <si>
    <t>7/6/2014</t>
  </si>
  <si>
    <t>7/6/2015</t>
  </si>
  <si>
    <t>7/7/2014</t>
  </si>
  <si>
    <t>7/7/2015</t>
  </si>
  <si>
    <t>7/8/2014</t>
  </si>
  <si>
    <t>7/8/2015</t>
  </si>
  <si>
    <t>7/9/2014</t>
  </si>
  <si>
    <t>7/9/2015</t>
  </si>
  <si>
    <t>7/10/2014</t>
  </si>
  <si>
    <t>7/10/2015</t>
  </si>
  <si>
    <t>7/11/2014</t>
  </si>
  <si>
    <t>7/11/2015</t>
  </si>
  <si>
    <t>7/12/2014</t>
  </si>
  <si>
    <t>7/12/2015</t>
  </si>
  <si>
    <t>7/13/2014</t>
  </si>
  <si>
    <t>7/13/2015</t>
  </si>
  <si>
    <t>7/14/2014</t>
  </si>
  <si>
    <t>7/14/2015</t>
  </si>
  <si>
    <t>7/15/2014</t>
  </si>
  <si>
    <t>7/15/2015</t>
  </si>
  <si>
    <t>7/16/2014</t>
  </si>
  <si>
    <t>7/16/2015</t>
  </si>
  <si>
    <t>7/17/2014</t>
  </si>
  <si>
    <t>7/17/2015</t>
  </si>
  <si>
    <t>7/18/2014</t>
  </si>
  <si>
    <t>7/18/2015</t>
  </si>
  <si>
    <t>7/19/2014</t>
  </si>
  <si>
    <t>7/19/2015</t>
  </si>
  <si>
    <t>7/20/2014</t>
  </si>
  <si>
    <t>7/20/2015</t>
  </si>
  <si>
    <t>7/21/2014</t>
  </si>
  <si>
    <t>7/21/2015</t>
  </si>
  <si>
    <t>7/22/2014</t>
  </si>
  <si>
    <t>7/22/2015</t>
  </si>
  <si>
    <t>7/23/2014</t>
  </si>
  <si>
    <t>7/23/2015</t>
  </si>
  <si>
    <t>7/24/2014</t>
  </si>
  <si>
    <t>7/24/2015</t>
  </si>
  <si>
    <t>7/25/2014</t>
  </si>
  <si>
    <t>7/25/2015</t>
  </si>
  <si>
    <t>7/26/2014</t>
  </si>
  <si>
    <t>7/26/2015</t>
  </si>
  <si>
    <t>7/27/2014</t>
  </si>
  <si>
    <t>7/27/2015</t>
  </si>
  <si>
    <t>7/28/2014</t>
  </si>
  <si>
    <t>7/28/2015</t>
  </si>
  <si>
    <t>7/29/2014</t>
  </si>
  <si>
    <t>7/29/2015</t>
  </si>
  <si>
    <t>7/30/2014</t>
  </si>
  <si>
    <t>7/30/2015</t>
  </si>
  <si>
    <t>7/31/2014</t>
  </si>
  <si>
    <t>7/31/2015</t>
  </si>
  <si>
    <t>8/1/2014</t>
  </si>
  <si>
    <t>8/1/2015</t>
  </si>
  <si>
    <t>8/2/2014</t>
  </si>
  <si>
    <t>8/2/2015</t>
  </si>
  <si>
    <t>8/3/2014</t>
  </si>
  <si>
    <t>8/3/2015</t>
  </si>
  <si>
    <t>8/4/2014</t>
  </si>
  <si>
    <t>8/4/2015</t>
  </si>
  <si>
    <t>8/5/2014</t>
  </si>
  <si>
    <t>8/5/2015</t>
  </si>
  <si>
    <t>8/6/2014</t>
  </si>
  <si>
    <t>8/6/2015</t>
  </si>
  <si>
    <t>8/7/2014</t>
  </si>
  <si>
    <t>8/7/2015</t>
  </si>
  <si>
    <t>8/8/2014</t>
  </si>
  <si>
    <t>8/8/2015</t>
  </si>
  <si>
    <t>8/9/2014</t>
  </si>
  <si>
    <t>8/9/2015</t>
  </si>
  <si>
    <t>8/10/2014</t>
  </si>
  <si>
    <t>8/10/2015</t>
  </si>
  <si>
    <t>8/11/2014</t>
  </si>
  <si>
    <t>8/11/2015</t>
  </si>
  <si>
    <t>8/12/2014</t>
  </si>
  <si>
    <t>8/12/2015</t>
  </si>
  <si>
    <t>8/13/2014</t>
  </si>
  <si>
    <t>8/13/2015</t>
  </si>
  <si>
    <t>8/14/2014</t>
  </si>
  <si>
    <t>8/14/2015</t>
  </si>
  <si>
    <t>8/15/2014</t>
  </si>
  <si>
    <t>8/15/2015</t>
  </si>
  <si>
    <t>8/16/2014</t>
  </si>
  <si>
    <t>8/16/2015</t>
  </si>
  <si>
    <t>8/17/2014</t>
  </si>
  <si>
    <t>8/17/2015</t>
  </si>
  <si>
    <t>8/18/2014</t>
  </si>
  <si>
    <t>8/18/2015</t>
  </si>
  <si>
    <t>8/19/2014</t>
  </si>
  <si>
    <t>8/19/2015</t>
  </si>
  <si>
    <t>8/20/2014</t>
  </si>
  <si>
    <t>8/20/2015</t>
  </si>
  <si>
    <t>8/21/2014</t>
  </si>
  <si>
    <t>8/21/2015</t>
  </si>
  <si>
    <t>8/22/2014</t>
  </si>
  <si>
    <t>8/22/2015</t>
  </si>
  <si>
    <t>8/23/2014</t>
  </si>
  <si>
    <t>8/23/2015</t>
  </si>
  <si>
    <t>8/24/2014</t>
  </si>
  <si>
    <t>8/24/2015</t>
  </si>
  <si>
    <t>8/25/2014</t>
  </si>
  <si>
    <t>8/25/2015</t>
  </si>
  <si>
    <t>8/26/2014</t>
  </si>
  <si>
    <t>8/26/2015</t>
  </si>
  <si>
    <t>8/27/2014</t>
  </si>
  <si>
    <t>8/27/2015</t>
  </si>
  <si>
    <t>8/28/2014</t>
  </si>
  <si>
    <t>8/28/2015</t>
  </si>
  <si>
    <t>8/29/2014</t>
  </si>
  <si>
    <t>8/29/2015</t>
  </si>
  <si>
    <t>8/30/2014</t>
  </si>
  <si>
    <t>8/30/2015</t>
  </si>
  <si>
    <t>8/31/2014</t>
  </si>
  <si>
    <t>8/31/2015</t>
  </si>
  <si>
    <t>9/1/2014</t>
  </si>
  <si>
    <t>9/1/2015</t>
  </si>
  <si>
    <t>9/2/2014</t>
  </si>
  <si>
    <t>9/2/2015</t>
  </si>
  <si>
    <t>9/3/2014</t>
  </si>
  <si>
    <t>9/3/2015</t>
  </si>
  <si>
    <t>9/4/2014</t>
  </si>
  <si>
    <t>9/4/2015</t>
  </si>
  <si>
    <t>9/5/2014</t>
  </si>
  <si>
    <t>9/5/2015</t>
  </si>
  <si>
    <t>9/6/2014</t>
  </si>
  <si>
    <t>9/6/2015</t>
  </si>
  <si>
    <t>9/7/2014</t>
  </si>
  <si>
    <t>9/7/2015</t>
  </si>
  <si>
    <t>9/8/2014</t>
  </si>
  <si>
    <t>9/8/2015</t>
  </si>
  <si>
    <t>9/9/2014</t>
  </si>
  <si>
    <t>9/9/2015</t>
  </si>
  <si>
    <t>9/10/2014</t>
  </si>
  <si>
    <t>9/10/2015</t>
  </si>
  <si>
    <t>9/11/2014</t>
  </si>
  <si>
    <t>9/11/2015</t>
  </si>
  <si>
    <t>9/12/2014</t>
  </si>
  <si>
    <t>9/12/2015</t>
  </si>
  <si>
    <t>9/13/2014</t>
  </si>
  <si>
    <t>9/13/2015</t>
  </si>
  <si>
    <t>9/14/2014</t>
  </si>
  <si>
    <t>9/14/2015</t>
  </si>
  <si>
    <t>9/15/2014</t>
  </si>
  <si>
    <t>9/15/2015</t>
  </si>
  <si>
    <t>9/16/2014</t>
  </si>
  <si>
    <t>9/16/2015</t>
  </si>
  <si>
    <t>9/17/2014</t>
  </si>
  <si>
    <t>9/17/2015</t>
  </si>
  <si>
    <t>9/18/2014</t>
  </si>
  <si>
    <t>9/18/2015</t>
  </si>
  <si>
    <t>9/19/2014</t>
  </si>
  <si>
    <t>9/19/2015</t>
  </si>
  <si>
    <t>9/20/2014</t>
  </si>
  <si>
    <t>9/20/2015</t>
  </si>
  <si>
    <t>9/21/2014</t>
  </si>
  <si>
    <t>9/21/2015</t>
  </si>
  <si>
    <t>9/22/2014</t>
  </si>
  <si>
    <t>9/22/2015</t>
  </si>
  <si>
    <t>9/23/2014</t>
  </si>
  <si>
    <t>9/23/2015</t>
  </si>
  <si>
    <t>9/24/2014</t>
  </si>
  <si>
    <t>9/24/2015</t>
  </si>
  <si>
    <t>9/25/2014</t>
  </si>
  <si>
    <t>9/25/2015</t>
  </si>
  <si>
    <t>9/26/2014</t>
  </si>
  <si>
    <t>9/26/2015</t>
  </si>
  <si>
    <t>9/27/2014</t>
  </si>
  <si>
    <t>9/27/2015</t>
  </si>
  <si>
    <t>9/28/2014</t>
  </si>
  <si>
    <t>9/28/2015</t>
  </si>
  <si>
    <t>9/29/2014</t>
  </si>
  <si>
    <t>9/29/2015</t>
  </si>
  <si>
    <t>9/30/2014</t>
  </si>
  <si>
    <t>9/30/2015</t>
  </si>
  <si>
    <t>10/1/2014</t>
  </si>
  <si>
    <t>10/1/2015</t>
  </si>
  <si>
    <t>10/2/2014</t>
  </si>
  <si>
    <t>10/2/2015</t>
  </si>
  <si>
    <t>10/3/2014</t>
  </si>
  <si>
    <t>10/3/2015</t>
  </si>
  <si>
    <t>10/4/2014</t>
  </si>
  <si>
    <t>10/4/2015</t>
  </si>
  <si>
    <t>10/5/2014</t>
  </si>
  <si>
    <t>10/5/2015</t>
  </si>
  <si>
    <t>10/6/2014</t>
  </si>
  <si>
    <t>10/6/2015</t>
  </si>
  <si>
    <t>10/7/2014</t>
  </si>
  <si>
    <t>10/7/2015</t>
  </si>
  <si>
    <t>10/8/2014</t>
  </si>
  <si>
    <t>10/8/2015</t>
  </si>
  <si>
    <t>10/9/2014</t>
  </si>
  <si>
    <t>10/9/2015</t>
  </si>
  <si>
    <t>10/10/2014</t>
  </si>
  <si>
    <t>10/10/2015</t>
  </si>
  <si>
    <t>10/11/2014</t>
  </si>
  <si>
    <t>10/11/2015</t>
  </si>
  <si>
    <t>10/12/2014</t>
  </si>
  <si>
    <t>10/12/2015</t>
  </si>
  <si>
    <t>10/13/2014</t>
  </si>
  <si>
    <t>10/13/2015</t>
  </si>
  <si>
    <t>10/14/2014</t>
  </si>
  <si>
    <t>10/14/2015</t>
  </si>
  <si>
    <t>10/15/2014</t>
  </si>
  <si>
    <t>10/15/2015</t>
  </si>
  <si>
    <t>10/16/2014</t>
  </si>
  <si>
    <t>10/16/2015</t>
  </si>
  <si>
    <t>10/17/2014</t>
  </si>
  <si>
    <t>10/17/2015</t>
  </si>
  <si>
    <t>10/18/2014</t>
  </si>
  <si>
    <t>10/18/2015</t>
  </si>
  <si>
    <t>10/19/2014</t>
  </si>
  <si>
    <t>10/19/2015</t>
  </si>
  <si>
    <t>10/20/2014</t>
  </si>
  <si>
    <t>10/20/2015</t>
  </si>
  <si>
    <t>10/21/2014</t>
  </si>
  <si>
    <t>10/21/2015</t>
  </si>
  <si>
    <t>10/22/2014</t>
  </si>
  <si>
    <t>10/22/2015</t>
  </si>
  <si>
    <t>10/23/2014</t>
  </si>
  <si>
    <t>10/23/2015</t>
  </si>
  <si>
    <t>10/24/2014</t>
  </si>
  <si>
    <t>10/24/2015</t>
  </si>
  <si>
    <t>10/25/2014</t>
  </si>
  <si>
    <t>10/25/2015</t>
  </si>
  <si>
    <t>10/26/2014</t>
  </si>
  <si>
    <t>10/26/2015</t>
  </si>
  <si>
    <t>10/27/2014</t>
  </si>
  <si>
    <t>10/27/2015</t>
  </si>
  <si>
    <t>10/28/2014</t>
  </si>
  <si>
    <t>10/28/2015</t>
  </si>
  <si>
    <t>10/29/2014</t>
  </si>
  <si>
    <t>10/29/2015</t>
  </si>
  <si>
    <t>10/30/2014</t>
  </si>
  <si>
    <t>10/30/2015</t>
  </si>
  <si>
    <t>10/31/2014</t>
  </si>
  <si>
    <t>10/31/2015</t>
  </si>
  <si>
    <t>11/1/2014</t>
  </si>
  <si>
    <t>11/1/2015</t>
  </si>
  <si>
    <t>11/2/2014</t>
  </si>
  <si>
    <t>11/2/2015</t>
  </si>
  <si>
    <t>11/3/2014</t>
  </si>
  <si>
    <t>11/3/2015</t>
  </si>
  <si>
    <t>11/4/2014</t>
  </si>
  <si>
    <t>11/4/2015</t>
  </si>
  <si>
    <t>11/5/2014</t>
  </si>
  <si>
    <t>11/5/2015</t>
  </si>
  <si>
    <t>11/6/2014</t>
  </si>
  <si>
    <t>11/6/2015</t>
  </si>
  <si>
    <t>11/7/2014</t>
  </si>
  <si>
    <t>11/7/2015</t>
  </si>
  <si>
    <t>11/8/2014</t>
  </si>
  <si>
    <t>11/8/2015</t>
  </si>
  <si>
    <t>11/9/2014</t>
  </si>
  <si>
    <t>11/9/2015</t>
  </si>
  <si>
    <t>11/10/2014</t>
  </si>
  <si>
    <t>11/10/2015</t>
  </si>
  <si>
    <t>11/11/2014</t>
  </si>
  <si>
    <t>11/11/2015</t>
  </si>
  <si>
    <t>11/12/2014</t>
  </si>
  <si>
    <t>11/12/2015</t>
  </si>
  <si>
    <t>11/13/2014</t>
  </si>
  <si>
    <t>11/13/2015</t>
  </si>
  <si>
    <t>11/14/2014</t>
  </si>
  <si>
    <t>11/14/2015</t>
  </si>
  <si>
    <t>11/15/2014</t>
  </si>
  <si>
    <t>11/15/2015</t>
  </si>
  <si>
    <t>11/16/2014</t>
  </si>
  <si>
    <t>11/16/2015</t>
  </si>
  <si>
    <t>11/17/2014</t>
  </si>
  <si>
    <t>11/17/2015</t>
  </si>
  <si>
    <t>11/18/2014</t>
  </si>
  <si>
    <t>11/18/2015</t>
  </si>
  <si>
    <t>11/19/2014</t>
  </si>
  <si>
    <t>11/19/2015</t>
  </si>
  <si>
    <t>11/20/2014</t>
  </si>
  <si>
    <t>11/20/2015</t>
  </si>
  <si>
    <t>11/21/2014</t>
  </si>
  <si>
    <t>11/21/2015</t>
  </si>
  <si>
    <t>11/22/2014</t>
  </si>
  <si>
    <t>11/22/2015</t>
  </si>
  <si>
    <t>11/23/2014</t>
  </si>
  <si>
    <t>11/23/2015</t>
  </si>
  <si>
    <t>11/24/2014</t>
  </si>
  <si>
    <t>11/24/2015</t>
  </si>
  <si>
    <t>11/25/2014</t>
  </si>
  <si>
    <t>11/25/2015</t>
  </si>
  <si>
    <t>11/26/2014</t>
  </si>
  <si>
    <t>11/26/2015</t>
  </si>
  <si>
    <t>11/27/2014</t>
  </si>
  <si>
    <t>11/27/2015</t>
  </si>
  <si>
    <t>11/28/2014</t>
  </si>
  <si>
    <t>11/28/2015</t>
  </si>
  <si>
    <t>11/29/2014</t>
  </si>
  <si>
    <t>11/29/2015</t>
  </si>
  <si>
    <t>11/30/2014</t>
  </si>
  <si>
    <t>11/30/2015</t>
  </si>
  <si>
    <t>12/1/2014</t>
  </si>
  <si>
    <t>12/1/2015</t>
  </si>
  <si>
    <t>12/2/2014</t>
  </si>
  <si>
    <t>12/2/2015</t>
  </si>
  <si>
    <t>12/3/2014</t>
  </si>
  <si>
    <t>12/3/2015</t>
  </si>
  <si>
    <t>12/4/2014</t>
  </si>
  <si>
    <t>12/4/2015</t>
  </si>
  <si>
    <t>12/5/2014</t>
  </si>
  <si>
    <t>12/5/2015</t>
  </si>
  <si>
    <t>12/6/2014</t>
  </si>
  <si>
    <t>12/6/2015</t>
  </si>
  <si>
    <t>12/7/2014</t>
  </si>
  <si>
    <t>12/7/2015</t>
  </si>
  <si>
    <t>12/8/2014</t>
  </si>
  <si>
    <t>12/8/2015</t>
  </si>
  <si>
    <t>12/9/2014</t>
  </si>
  <si>
    <t>12/9/2015</t>
  </si>
  <si>
    <t>12/10/2014</t>
  </si>
  <si>
    <t>12/10/2015</t>
  </si>
  <si>
    <t>12/11/2014</t>
  </si>
  <si>
    <t>12/11/2015</t>
  </si>
  <si>
    <t>12/12/2014</t>
  </si>
  <si>
    <t>12/12/2015</t>
  </si>
  <si>
    <t>12/13/2014</t>
  </si>
  <si>
    <t>12/13/2015</t>
  </si>
  <si>
    <t>12/14/2014</t>
  </si>
  <si>
    <t>12/14/2015</t>
  </si>
  <si>
    <t>12/15/2014</t>
  </si>
  <si>
    <t>12/15/2015</t>
  </si>
  <si>
    <t>12/16/2014</t>
  </si>
  <si>
    <t>12/16/2015</t>
  </si>
  <si>
    <t>12/17/2014</t>
  </si>
  <si>
    <t>12/17/2015</t>
  </si>
  <si>
    <t>12/18/2014</t>
  </si>
  <si>
    <t>12/18/2015</t>
  </si>
  <si>
    <t>12/19/2014</t>
  </si>
  <si>
    <t>12/19/2015</t>
  </si>
  <si>
    <t>12/20/2014</t>
  </si>
  <si>
    <t>12/20/2015</t>
  </si>
  <si>
    <t>12/21/2014</t>
  </si>
  <si>
    <t>12/21/2015</t>
  </si>
  <si>
    <t>12/22/2014</t>
  </si>
  <si>
    <t>12/22/2015</t>
  </si>
  <si>
    <t>12/23/2014</t>
  </si>
  <si>
    <t>12/23/2015</t>
  </si>
  <si>
    <t>12/24/2014</t>
  </si>
  <si>
    <t>12/24/2015</t>
  </si>
  <si>
    <t>12/25/2014</t>
  </si>
  <si>
    <t>12/25/2015</t>
  </si>
  <si>
    <t>12/26/2014</t>
  </si>
  <si>
    <t>12/26/2015</t>
  </si>
  <si>
    <t>12/27/2014</t>
  </si>
  <si>
    <t>12/27/2015</t>
  </si>
  <si>
    <t>12/28/2014</t>
  </si>
  <si>
    <t>12/28/2015</t>
  </si>
  <si>
    <t>12/29/2014</t>
  </si>
  <si>
    <t>12/29/2015</t>
  </si>
  <si>
    <t>12/30/2014</t>
  </si>
  <si>
    <t>12/30/2015</t>
  </si>
  <si>
    <t>12/31/2014</t>
  </si>
  <si>
    <t>12/31/2015</t>
  </si>
  <si>
    <t>units</t>
  </si>
  <si>
    <t>Initial cost</t>
  </si>
  <si>
    <t>Replacement cost</t>
  </si>
  <si>
    <t>Cf</t>
  </si>
  <si>
    <t>[$]</t>
  </si>
  <si>
    <t>1um Filter</t>
  </si>
  <si>
    <t>5um Filter</t>
  </si>
  <si>
    <t>200um Filter</t>
  </si>
  <si>
    <t>Filter Modules</t>
  </si>
  <si>
    <t>Filter Size</t>
  </si>
  <si>
    <t>Present?</t>
  </si>
  <si>
    <t>Actual Filter Life</t>
  </si>
  <si>
    <t>No pre-FIlter</t>
  </si>
  <si>
    <t>5 um pre</t>
  </si>
  <si>
    <t>200 um pre</t>
  </si>
  <si>
    <t>Filter Replacements (USED IN COST SECTION)</t>
  </si>
  <si>
    <t>Filter Life</t>
  </si>
  <si>
    <t>Replacement per 5 years</t>
  </si>
  <si>
    <t>Replacements per year</t>
  </si>
  <si>
    <t>Initial</t>
  </si>
  <si>
    <t>Replacement</t>
  </si>
  <si>
    <t>Combined</t>
  </si>
  <si>
    <t>Pump Coefficients</t>
  </si>
  <si>
    <t>Specs</t>
  </si>
  <si>
    <t>Usage</t>
  </si>
  <si>
    <t>Storage Tank Height</t>
  </si>
  <si>
    <t>m</t>
  </si>
  <si>
    <t>a</t>
  </si>
  <si>
    <t>Cost of 1 pump</t>
  </si>
  <si>
    <t># of  Maintenances / 5 years</t>
  </si>
  <si>
    <t>Distance to Storage Tank</t>
  </si>
  <si>
    <t>b</t>
  </si>
  <si>
    <t>MTBF (hr)</t>
  </si>
  <si>
    <t xml:space="preserve">5 Years Cost </t>
  </si>
  <si>
    <t>Pipe Diameter</t>
  </si>
  <si>
    <t>c</t>
  </si>
  <si>
    <t>Efficiency</t>
  </si>
  <si>
    <t>Pipe Area</t>
  </si>
  <si>
    <t>Running hours / year (using avg of 2014 and 2015)</t>
  </si>
  <si>
    <t>Running hours / year (for max consumption)</t>
  </si>
  <si>
    <t>Pipe Friction Factor</t>
  </si>
  <si>
    <t># of  Maintenances / 5 years (for pump with least MTBF)</t>
  </si>
  <si>
    <t>Loss Coeff</t>
  </si>
  <si>
    <t>A</t>
  </si>
  <si>
    <t>B</t>
  </si>
  <si>
    <t>C</t>
  </si>
  <si>
    <t>Thus, pump maintence a would always be 0</t>
  </si>
  <si>
    <t>Water density</t>
  </si>
  <si>
    <t>kg/m^3</t>
  </si>
  <si>
    <t>Acceleration due to gravity</t>
  </si>
  <si>
    <t>m/s^2</t>
  </si>
  <si>
    <t>ρgh</t>
  </si>
  <si>
    <t>Pa</t>
  </si>
  <si>
    <t>v (m/s)</t>
  </si>
  <si>
    <t>Q (L/min)</t>
  </si>
  <si>
    <t>System Curve (Pa)</t>
  </si>
  <si>
    <t>Intercepts</t>
  </si>
  <si>
    <t>v</t>
  </si>
  <si>
    <t>Q</t>
  </si>
  <si>
    <t>p_up</t>
  </si>
  <si>
    <t>QD</t>
  </si>
  <si>
    <t>Pressure Loss (Pa)</t>
  </si>
  <si>
    <t>Left Hand Side</t>
  </si>
  <si>
    <t>Intercept</t>
  </si>
  <si>
    <t>UV Specs</t>
  </si>
  <si>
    <t>Chlorine Specs</t>
  </si>
  <si>
    <t>Ozone Specs</t>
  </si>
  <si>
    <t>Results (5 years)</t>
  </si>
  <si>
    <t>Type</t>
  </si>
  <si>
    <t>Total Chlorine Required</t>
  </si>
  <si>
    <t>g</t>
  </si>
  <si>
    <r>
      <t>C</t>
    </r>
    <r>
      <rPr>
        <rFont val="Calibri"/>
        <color rgb="FF000000"/>
        <sz val="11.0"/>
        <vertAlign val="subscript"/>
      </rPr>
      <t>tO3</t>
    </r>
  </si>
  <si>
    <t>mg*min/L</t>
  </si>
  <si>
    <t>UV Load</t>
  </si>
  <si>
    <t>W</t>
  </si>
  <si>
    <t>Bulb Cost</t>
  </si>
  <si>
    <t>Refill Operations 1 years (Maintenance)</t>
  </si>
  <si>
    <r>
      <t>E</t>
    </r>
    <r>
      <rPr>
        <rFont val="Calibri"/>
        <color rgb="FF000000"/>
        <sz val="11.0"/>
        <vertAlign val="subscript"/>
      </rPr>
      <t>O3</t>
    </r>
  </si>
  <si>
    <t>MJ/g03</t>
  </si>
  <si>
    <t>Maintenance</t>
  </si>
  <si>
    <t>Contact Time</t>
  </si>
  <si>
    <t>mins</t>
  </si>
  <si>
    <t>MTBF</t>
  </si>
  <si>
    <t>year</t>
  </si>
  <si>
    <t>Cost of Solution</t>
  </si>
  <si>
    <t xml:space="preserve">Maintenance </t>
  </si>
  <si>
    <t>Operation/Year</t>
  </si>
  <si>
    <t>Max Flow Rate</t>
  </si>
  <si>
    <t>LPM</t>
  </si>
  <si>
    <t>Initial Cost</t>
  </si>
  <si>
    <t>Total cost (5 years)</t>
  </si>
  <si>
    <t>Station 1 - 2014</t>
  </si>
  <si>
    <t>Chlorine Disinfection</t>
  </si>
  <si>
    <t>Mass of Chlorine Required (g)</t>
  </si>
  <si>
    <t>Running Total (g)</t>
  </si>
  <si>
    <t>Maintenance Operations</t>
  </si>
  <si>
    <t>Mass of Ozone Required (g)</t>
  </si>
  <si>
    <t>Energy Required (MJ)</t>
  </si>
  <si>
    <t>Solar Panel Specs</t>
  </si>
  <si>
    <t>Battery Specs</t>
  </si>
  <si>
    <t>DC-AC Inverter Specs</t>
  </si>
  <si>
    <t>Diesel Generator Specs</t>
  </si>
  <si>
    <t>Usage over 5 years</t>
  </si>
  <si>
    <t>Diesel Option Costs (5 years)</t>
  </si>
  <si>
    <t>Power costs</t>
  </si>
  <si>
    <t>Energy Storage</t>
  </si>
  <si>
    <t>J/Battery</t>
  </si>
  <si>
    <t>Number of oil changes</t>
  </si>
  <si>
    <t>Generator</t>
  </si>
  <si>
    <t>Diesel</t>
  </si>
  <si>
    <t>Power Required</t>
  </si>
  <si>
    <t>V</t>
  </si>
  <si>
    <t>Area</t>
  </si>
  <si>
    <t>Diesel Energy</t>
  </si>
  <si>
    <t>MJ/L</t>
  </si>
  <si>
    <t>Number of times of refuelling</t>
  </si>
  <si>
    <t>Cost of changing oil</t>
  </si>
  <si>
    <t>GHG emissions</t>
  </si>
  <si>
    <t>kgCO2e</t>
  </si>
  <si>
    <t>GHG Emissions</t>
  </si>
  <si>
    <t>Oil Change Frequency</t>
  </si>
  <si>
    <t>[per 250L comsumed]</t>
  </si>
  <si>
    <t>Diesel costs ($)</t>
  </si>
  <si>
    <t>Battery</t>
  </si>
  <si>
    <t>Oil Change Cost</t>
  </si>
  <si>
    <t>Total Cost of running generator (stated duration)</t>
  </si>
  <si>
    <t>Cost of 1 panel</t>
  </si>
  <si>
    <t>Refuelling</t>
  </si>
  <si>
    <t>Volume Catchment</t>
  </si>
  <si>
    <t>Cost of all panels</t>
  </si>
  <si>
    <t>Total Storage</t>
  </si>
  <si>
    <t>J</t>
  </si>
  <si>
    <t>Solar option costs (5 years)</t>
  </si>
  <si>
    <t>Pump efficiency</t>
  </si>
  <si>
    <t>Number of Panels</t>
  </si>
  <si>
    <t>Total Storage (MJ)</t>
  </si>
  <si>
    <t>MJ</t>
  </si>
  <si>
    <t>Upfront Cost</t>
  </si>
  <si>
    <t>UV Lamp  Load</t>
  </si>
  <si>
    <t>Operations/Year</t>
  </si>
  <si>
    <t>Total Storage (Whr)</t>
  </si>
  <si>
    <t>Whr</t>
  </si>
  <si>
    <t>Diesel Cost</t>
  </si>
  <si>
    <t>$/L</t>
  </si>
  <si>
    <t>Whr to MJ Conversion</t>
  </si>
  <si>
    <r>
      <rPr>
        <rFont val="Calibri"/>
        <color rgb="FF000000"/>
        <sz val="11.0"/>
        <u/>
      </rPr>
      <t>E</t>
    </r>
    <r>
      <rPr>
        <rFont val="Calibri"/>
        <color rgb="FF000000"/>
        <sz val="11.0"/>
        <u/>
        <vertAlign val="subscript"/>
      </rPr>
      <t>UV</t>
    </r>
  </si>
  <si>
    <t>Average Solar Intensity</t>
  </si>
  <si>
    <t>W/m^2</t>
  </si>
  <si>
    <t xml:space="preserve">Diesel Reliability </t>
  </si>
  <si>
    <t>days/year (always 100%)</t>
  </si>
  <si>
    <t>Reliablity</t>
  </si>
  <si>
    <t>Solar Power</t>
  </si>
  <si>
    <t>Solar Power in MJ</t>
  </si>
  <si>
    <t>Diesel Power</t>
  </si>
  <si>
    <t>Amount of
Diesel for 1 yr (L)</t>
  </si>
  <si>
    <t>Qin(m^3/day)</t>
  </si>
  <si>
    <t>Hours of daylight</t>
  </si>
  <si>
    <t>Solar Energy (Whr)</t>
  </si>
  <si>
    <r>
      <rPr>
        <rFont val="Calibri"/>
        <color rgb="FF000000"/>
        <sz val="11.0"/>
        <u/>
      </rPr>
      <t>E</t>
    </r>
    <r>
      <rPr>
        <rFont val="Calibri"/>
        <color rgb="FF000000"/>
        <sz val="11.0"/>
        <u/>
        <vertAlign val="subscript"/>
      </rPr>
      <t>solar</t>
    </r>
  </si>
  <si>
    <r>
      <rPr>
        <rFont val="Calibri"/>
        <color rgb="FF000000"/>
        <sz val="11.0"/>
        <u/>
      </rPr>
      <t>E</t>
    </r>
    <r>
      <rPr>
        <rFont val="Calibri"/>
        <color rgb="FF000000"/>
        <sz val="11.0"/>
        <u/>
        <vertAlign val="subscript"/>
      </rPr>
      <t>water</t>
    </r>
  </si>
  <si>
    <r>
      <rPr>
        <rFont val="Calibri"/>
        <color rgb="FF000000"/>
        <sz val="11.0"/>
        <u/>
      </rPr>
      <t>E</t>
    </r>
    <r>
      <rPr>
        <rFont val="Calibri"/>
        <color rgb="FF000000"/>
        <sz val="11.0"/>
        <u/>
        <vertAlign val="subscript"/>
      </rPr>
      <t>elec</t>
    </r>
  </si>
  <si>
    <r>
      <rPr>
        <rFont val="Calibri"/>
        <color rgb="FF000000"/>
        <sz val="11.0"/>
        <u/>
      </rPr>
      <t>E</t>
    </r>
    <r>
      <rPr>
        <rFont val="Calibri"/>
        <color rgb="FF000000"/>
        <sz val="11.0"/>
        <u/>
        <vertAlign val="subscript"/>
      </rPr>
      <t>out</t>
    </r>
  </si>
  <si>
    <r>
      <rPr>
        <rFont val="Calibri"/>
        <color rgb="FF000000"/>
        <sz val="11.0"/>
        <u/>
      </rPr>
      <t>E</t>
    </r>
    <r>
      <rPr>
        <rFont val="Calibri"/>
        <color rgb="FF000000"/>
        <sz val="11.0"/>
        <u/>
        <vertAlign val="subscript"/>
      </rPr>
      <t>stored</t>
    </r>
  </si>
  <si>
    <t>Solar Energy (MJ)</t>
  </si>
  <si>
    <t>Esolar</t>
  </si>
  <si>
    <t>Ewater</t>
  </si>
  <si>
    <t>Eelec</t>
  </si>
  <si>
    <t>Eout</t>
  </si>
  <si>
    <t>Estored</t>
  </si>
  <si>
    <t>pump energy (Whr)</t>
  </si>
  <si>
    <t>ozone energy (Whr)</t>
  </si>
  <si>
    <t>uv energy (Whr)</t>
  </si>
  <si>
    <t>Daily Energy for Pump (MJ)</t>
  </si>
  <si>
    <t>E consumed from battery
(ozone and UV) (MJ)</t>
  </si>
  <si>
    <t>Amount of Diesel Required (L)</t>
  </si>
  <si>
    <t>Amount of
Diesel for 5 yrs (L)</t>
  </si>
  <si>
    <t>Total Diesel per Year:</t>
  </si>
  <si>
    <t>Total Diesel per 5 Years:</t>
  </si>
  <si>
    <t>Existing System</t>
  </si>
  <si>
    <t>Water Treatment</t>
  </si>
  <si>
    <t>kg</t>
  </si>
  <si>
    <t>Centralized Water Treatment</t>
  </si>
  <si>
    <t>kg/1000L</t>
  </si>
  <si>
    <t>Land and Sea Transportation</t>
  </si>
  <si>
    <t>Transport</t>
  </si>
  <si>
    <t>Storage and Distribution</t>
  </si>
  <si>
    <t>Total Shipping Water Emissions</t>
  </si>
  <si>
    <t>Proposed System</t>
  </si>
  <si>
    <t>Water Consumed in 5 years</t>
  </si>
  <si>
    <t>GHG emission for the existing system in 5 years</t>
  </si>
  <si>
    <t>GHG manufacturing generator</t>
  </si>
  <si>
    <t xml:space="preserve">Total of System </t>
  </si>
  <si>
    <t>GHG from burning diesel</t>
  </si>
  <si>
    <t>Diesel Consumed by the generator in 5 years</t>
  </si>
  <si>
    <t>GHG from Water Treatment</t>
  </si>
  <si>
    <t>GHG manufacturing battery</t>
  </si>
  <si>
    <t>From Diesel</t>
  </si>
  <si>
    <t>CO2 emission for the RWH</t>
  </si>
  <si>
    <t>From Solar</t>
  </si>
  <si>
    <t>Relative	GHG%</t>
  </si>
  <si>
    <t>GHG from Production</t>
  </si>
  <si>
    <t>***Column C values obtained by entering column B values into the Exposure Frequency Calculator Below</t>
  </si>
  <si>
    <t>Health Risk Exposure</t>
  </si>
  <si>
    <t>(Chlorine)</t>
  </si>
  <si>
    <t xml:space="preserve">
</t>
  </si>
  <si>
    <t>Irritation or Inconvenience</t>
  </si>
  <si>
    <t>Minor Injury</t>
  </si>
  <si>
    <t>Serious Injury</t>
  </si>
  <si>
    <t>Permanent Injury or Death</t>
  </si>
  <si>
    <t>Inconvenience</t>
  </si>
  <si>
    <t>Minor Wounds</t>
  </si>
  <si>
    <t>Serious Wounds</t>
  </si>
  <si>
    <t>Permanent Wounds/Death</t>
  </si>
  <si>
    <t>Daily Risk Exposure</t>
  </si>
  <si>
    <t>Weekly Risk Exposure</t>
  </si>
  <si>
    <t>Monthly Risk Exposure</t>
  </si>
  <si>
    <t>Annual Risk Exposure</t>
  </si>
  <si>
    <t>Total Health Risk Exposure</t>
  </si>
  <si>
    <t>(Diesel)</t>
  </si>
  <si>
    <t>Total Risk Exposure</t>
  </si>
  <si>
    <t>Enviro Risk Exposure</t>
  </si>
  <si>
    <t>Total Enviro Risk Exposure</t>
  </si>
  <si>
    <t>Exposure Frequency 
Calculations</t>
  </si>
  <si>
    <t>Daily Exposure Chlorine</t>
  </si>
  <si>
    <t>Enter Days Here:</t>
  </si>
  <si>
    <t>Frequency Value:</t>
  </si>
  <si>
    <t>Weekly Exposure Chlorine</t>
  </si>
  <si>
    <t>Monthly Exposure Chlorine</t>
  </si>
  <si>
    <t>Yearly Exposure Chlorine</t>
  </si>
  <si>
    <t>Daily Exposure Diesel</t>
  </si>
  <si>
    <t>Weekly Exposure Diesel</t>
  </si>
  <si>
    <t>Monthly Exposure Diesel</t>
  </si>
  <si>
    <t>Yearly Exposure Diesel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</si>
</sst>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%"/>
    <numFmt numFmtId="165" formatCode="0.00000"/>
  </numFmts>
  <fonts count="20">
    <font>
      <sz val="11.0"/>
      <color rgb="FF000000"/>
      <name val="Calibri"/>
    </font>
    <font>
      <b/>
      <sz val="11.0"/>
      <color rgb="FF000000"/>
      <name val="Calibri"/>
    </font>
    <font/>
    <font>
      <sz val="11.0"/>
      <color rgb="FF000000"/>
      <name val="Arial"/>
    </font>
    <font>
      <name val="Arial"/>
    </font>
    <font>
      <sz val="11.0"/>
      <name val="Calibri"/>
    </font>
    <font>
      <b/>
    </font>
    <font>
      <b/>
      <sz val="11.0"/>
      <name val="Calibri"/>
    </font>
    <font>
      <u/>
      <sz val="11.0"/>
      <color rgb="FF000000"/>
      <name val="Calibri"/>
    </font>
    <font>
      <u/>
      <sz val="11.0"/>
      <color rgb="FF000000"/>
      <name val="Calibri"/>
    </font>
    <font>
      <u/>
      <sz val="11.0"/>
      <color rgb="FF000000"/>
      <name val="Calibri"/>
    </font>
    <font>
      <b/>
      <name val="Arial"/>
    </font>
    <font>
      <sz val="11.0"/>
      <color rgb="FF000000"/>
      <name val="Inconsolata"/>
    </font>
    <font>
      <sz val="11.0"/>
      <color rgb="FF999999"/>
      <name val="Calibri"/>
    </font>
    <font>
      <u/>
      <sz val="11.0"/>
      <color rgb="FF000000"/>
      <name val="Calibri"/>
    </font>
    <font>
      <u/>
      <sz val="11.0"/>
      <color rgb="FF000000"/>
      <name val="Calibri"/>
    </font>
    <font>
      <u/>
      <sz val="11.0"/>
      <color rgb="FF000000"/>
      <name val="Calibri"/>
    </font>
    <font>
      <u/>
      <sz val="11.0"/>
      <color rgb="FF000000"/>
      <name val="Calibri"/>
    </font>
    <font>
      <u/>
      <sz val="11.0"/>
      <color rgb="FF000000"/>
      <name val="Calibri"/>
    </font>
    <font>
      <color rgb="FFFF0000"/>
    </font>
  </fonts>
  <fills count="17">
    <fill>
      <patternFill patternType="none"/>
    </fill>
    <fill>
      <patternFill patternType="lightGray"/>
    </fill>
    <fill>
      <patternFill patternType="solid">
        <fgColor rgb="FFD0CECE"/>
        <bgColor rgb="FFD0CECE"/>
      </patternFill>
    </fill>
    <fill>
      <patternFill patternType="solid">
        <fgColor rgb="FFE7E6E6"/>
        <bgColor rgb="FFE7E6E6"/>
      </patternFill>
    </fill>
    <fill>
      <patternFill patternType="solid">
        <fgColor rgb="FFFFFFFF"/>
        <bgColor rgb="FFFFFFFF"/>
      </patternFill>
    </fill>
    <fill>
      <patternFill patternType="solid">
        <fgColor rgb="FFAEABAB"/>
        <bgColor rgb="FFAEABAB"/>
      </patternFill>
    </fill>
    <fill>
      <patternFill patternType="solid">
        <fgColor rgb="FFFEF2CB"/>
        <bgColor rgb="FFFEF2CB"/>
      </patternFill>
    </fill>
    <fill>
      <patternFill patternType="solid">
        <fgColor rgb="FFC9DAF8"/>
        <bgColor rgb="FFC9DAF8"/>
      </patternFill>
    </fill>
    <fill>
      <patternFill patternType="solid">
        <fgColor rgb="FFEA9999"/>
        <bgColor rgb="FFEA9999"/>
      </patternFill>
    </fill>
    <fill>
      <patternFill patternType="solid">
        <fgColor rgb="FFFFD966"/>
        <bgColor rgb="FFFFD966"/>
      </patternFill>
    </fill>
    <fill>
      <patternFill patternType="solid">
        <fgColor rgb="FFFFE599"/>
        <bgColor rgb="FFFFE599"/>
      </patternFill>
    </fill>
    <fill>
      <patternFill patternType="solid">
        <fgColor rgb="FFF4CCCC"/>
        <bgColor rgb="FFF4CCCC"/>
      </patternFill>
    </fill>
    <fill>
      <patternFill patternType="solid">
        <fgColor rgb="FFCCCCCC"/>
        <bgColor rgb="FFCCCCCC"/>
      </patternFill>
    </fill>
    <fill>
      <patternFill patternType="solid">
        <fgColor rgb="FFB6D7A8"/>
        <bgColor rgb="FFB6D7A8"/>
      </patternFill>
    </fill>
    <fill>
      <patternFill patternType="solid">
        <fgColor rgb="FFD9EAD3"/>
        <bgColor rgb="FFD9EAD3"/>
      </patternFill>
    </fill>
    <fill>
      <patternFill patternType="solid">
        <fgColor rgb="FFA2C4C9"/>
        <bgColor rgb="FFA2C4C9"/>
      </patternFill>
    </fill>
    <fill>
      <patternFill patternType="solid">
        <fgColor rgb="FFD0E0E3"/>
        <bgColor rgb="FFD0E0E3"/>
      </patternFill>
    </fill>
  </fills>
  <borders count="4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/>
      <top style="thin">
        <color rgb="FF000000"/>
      </top>
      <bottom/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medium">
        <color rgb="FFCCCCCC"/>
      </left>
      <right style="thin">
        <color rgb="FF000000"/>
      </right>
      <top style="thin">
        <color rgb="FF000000"/>
      </top>
      <bottom style="medium">
        <color rgb="FFCCCCCC"/>
      </bottom>
    </border>
    <border>
      <left style="medium">
        <color rgb="FFCCCCCC"/>
      </left>
      <top style="medium">
        <color rgb="FFCCCCCC"/>
      </top>
      <bottom style="medium">
        <color rgb="FFCCCCCC"/>
      </bottom>
    </border>
    <border>
      <top style="medium">
        <color rgb="FFCCCCCC"/>
      </top>
      <bottom style="medium">
        <color rgb="FFCCCCCC"/>
      </bottom>
    </border>
    <border>
      <right style="medium">
        <color rgb="FFCCCCCC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/>
      <right/>
      <bottom/>
    </border>
    <border>
      <left style="thin">
        <color rgb="FF000000"/>
      </left>
      <right style="thin">
        <color rgb="FF000000"/>
      </right>
      <top/>
      <bottom/>
    </border>
    <border>
      <left/>
      <right style="medium">
        <color rgb="FFCCCCCC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thin">
        <color rgb="FF000000"/>
      </right>
      <top style="medium">
        <color rgb="FFCCCCCC"/>
      </top>
      <bottom style="medium">
        <color rgb="FFCCCCCC"/>
      </bottom>
    </border>
    <border>
      <left/>
      <right style="medium">
        <color rgb="FFCCCCCC"/>
      </right>
      <top style="medium">
        <color rgb="FFCCCCCC"/>
      </top>
      <bottom style="thin">
        <color rgb="FF000000"/>
      </bottom>
    </border>
    <border>
      <left style="medium">
        <color rgb="FFCCCCCC"/>
      </left>
      <right style="thin">
        <color rgb="FF000000"/>
      </right>
      <top style="medium">
        <color rgb="FFCCCCCC"/>
      </top>
      <bottom style="thin">
        <color rgb="FF000000"/>
      </bottom>
    </border>
    <border>
      <right style="medium">
        <color rgb="FFCCCCCC"/>
      </right>
      <bottom style="medium">
        <color rgb="FFCCCCCC"/>
      </bottom>
    </border>
    <border>
      <left style="medium">
        <color rgb="FFCCCCCC"/>
      </left>
      <right style="medium">
        <color rgb="FFCCCCCC"/>
      </right>
      <bottom style="medium">
        <color rgb="FFCCCCCC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medium">
        <color rgb="FFCCCCCC"/>
      </left>
      <right style="medium">
        <color rgb="FFCCCCCC"/>
      </right>
    </border>
    <border>
      <left style="medium">
        <color rgb="FFCCCCCC"/>
      </left>
      <right style="medium">
        <color rgb="FFCCCCCC"/>
      </right>
      <top style="medium">
        <color rgb="FFCCCCCC"/>
      </top>
    </border>
    <border>
      <top style="thin">
        <color rgb="FF000000"/>
      </top>
      <bottom style="thin">
        <color rgb="FF000000"/>
      </bottom>
    </border>
    <border>
      <left/>
      <top/>
      <bottom/>
    </border>
    <border>
      <top/>
      <bottom/>
    </border>
    <border>
      <right/>
      <top/>
      <bottom/>
    </border>
    <border>
      <left style="medium">
        <color rgb="FF000000"/>
      </left>
      <top/>
      <bottom/>
    </border>
    <border>
      <left style="medium">
        <color rgb="FF000000"/>
      </lef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ck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17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1" fillId="0" fontId="0" numFmtId="0" xfId="0" applyAlignment="1" applyBorder="1" applyFont="1">
      <alignment horizontal="center" readingOrder="0" vertical="center"/>
    </xf>
    <xf borderId="2" fillId="0" fontId="0" numFmtId="0" xfId="0" applyAlignment="1" applyBorder="1" applyFont="1">
      <alignment horizontal="center" vertical="center"/>
    </xf>
    <xf borderId="3" fillId="0" fontId="2" numFmtId="0" xfId="0" applyBorder="1" applyFont="1"/>
    <xf borderId="0" fillId="0" fontId="2" numFmtId="164" xfId="0" applyFont="1" applyNumberFormat="1"/>
    <xf borderId="0" fillId="0" fontId="0" numFmtId="0" xfId="0" applyAlignment="1" applyFont="1">
      <alignment horizontal="center" vertical="center"/>
    </xf>
    <xf borderId="1" fillId="2" fontId="1" numFmtId="0" xfId="0" applyAlignment="1" applyBorder="1" applyFont="1">
      <alignment horizontal="center"/>
    </xf>
    <xf borderId="2" fillId="2" fontId="1" numFmtId="0" xfId="0" applyAlignment="1" applyBorder="1" applyFont="1">
      <alignment horizontal="center" vertical="center"/>
    </xf>
    <xf borderId="4" fillId="3" fontId="1" numFmtId="0" xfId="0" applyAlignment="1" applyBorder="1" applyFill="1" applyFont="1">
      <alignment horizontal="center" vertical="center"/>
    </xf>
    <xf borderId="4" fillId="0" fontId="0" numFmtId="0" xfId="0" applyAlignment="1" applyBorder="1" applyFont="1">
      <alignment horizontal="center" vertical="center"/>
    </xf>
    <xf borderId="1" fillId="0" fontId="0" numFmtId="0" xfId="0" applyAlignment="1" applyBorder="1" applyFont="1">
      <alignment horizontal="center" vertical="center"/>
    </xf>
    <xf borderId="5" fillId="0" fontId="2" numFmtId="0" xfId="0" applyBorder="1" applyFont="1"/>
    <xf borderId="6" fillId="0" fontId="2" numFmtId="0" xfId="0" applyBorder="1" applyFont="1"/>
    <xf borderId="1" fillId="0" fontId="3" numFmtId="0" xfId="0" applyAlignment="1" applyBorder="1" applyFont="1">
      <alignment horizontal="center" readingOrder="0" vertical="center"/>
    </xf>
    <xf borderId="0" fillId="0" fontId="2" numFmtId="0" xfId="0" applyAlignment="1" applyFont="1">
      <alignment readingOrder="0"/>
    </xf>
    <xf borderId="4" fillId="3" fontId="1" numFmtId="0" xfId="0" applyAlignment="1" applyBorder="1" applyFont="1">
      <alignment horizontal="center" readingOrder="0" vertical="center"/>
    </xf>
    <xf borderId="4" fillId="0" fontId="0" numFmtId="0" xfId="0" applyAlignment="1" applyBorder="1" applyFont="1">
      <alignment horizontal="center" readingOrder="0" vertical="center"/>
    </xf>
    <xf borderId="0" fillId="0" fontId="4" numFmtId="0" xfId="0" applyAlignment="1" applyFont="1">
      <alignment horizontal="center" readingOrder="0"/>
    </xf>
    <xf borderId="1" fillId="3" fontId="1" numFmtId="0" xfId="0" applyAlignment="1" applyBorder="1" applyFont="1">
      <alignment horizontal="center" vertical="center"/>
    </xf>
    <xf borderId="1" fillId="2" fontId="0" numFmtId="0" xfId="0" applyAlignment="1" applyBorder="1" applyFont="1">
      <alignment horizontal="center"/>
    </xf>
    <xf borderId="1" fillId="2" fontId="0" numFmtId="9" xfId="0" applyAlignment="1" applyBorder="1" applyFont="1" applyNumberFormat="1">
      <alignment horizontal="center"/>
    </xf>
    <xf borderId="0" fillId="2" fontId="2" numFmtId="0" xfId="0" applyAlignment="1" applyFont="1">
      <alignment readingOrder="0"/>
    </xf>
    <xf borderId="0" fillId="2" fontId="5" numFmtId="0" xfId="0" applyAlignment="1" applyFont="1">
      <alignment vertical="bottom"/>
    </xf>
    <xf borderId="0" fillId="0" fontId="5" numFmtId="0" xfId="0" applyAlignment="1" applyFont="1">
      <alignment vertical="bottom"/>
    </xf>
    <xf borderId="0" fillId="2" fontId="5" numFmtId="0" xfId="0" applyAlignment="1" applyFont="1">
      <alignment vertical="bottom"/>
    </xf>
    <xf borderId="7" fillId="0" fontId="0" numFmtId="0" xfId="0" applyBorder="1" applyFont="1"/>
    <xf borderId="8" fillId="0" fontId="0" numFmtId="0" xfId="0" applyBorder="1" applyFont="1"/>
    <xf borderId="8" fillId="0" fontId="0" numFmtId="9" xfId="0" applyBorder="1" applyFont="1" applyNumberFormat="1"/>
    <xf borderId="9" fillId="0" fontId="0" numFmtId="0" xfId="0" applyBorder="1" applyFont="1"/>
    <xf borderId="0" fillId="0" fontId="5" numFmtId="0" xfId="0" applyAlignment="1" applyFont="1">
      <alignment horizontal="right" vertical="bottom"/>
    </xf>
    <xf borderId="10" fillId="0" fontId="0" numFmtId="0" xfId="0" applyBorder="1" applyFont="1"/>
    <xf borderId="0" fillId="0" fontId="0" numFmtId="9" xfId="0" applyAlignment="1" applyFont="1" applyNumberFormat="1">
      <alignment readingOrder="0"/>
    </xf>
    <xf borderId="0" fillId="0" fontId="0" numFmtId="0" xfId="0" applyAlignment="1" applyFont="1">
      <alignment shrinkToFit="0" wrapText="1"/>
    </xf>
    <xf borderId="0" fillId="0" fontId="0" numFmtId="9" xfId="0" applyFont="1" applyNumberFormat="1"/>
    <xf borderId="11" fillId="0" fontId="0" numFmtId="9" xfId="0" applyBorder="1" applyFont="1" applyNumberFormat="1"/>
    <xf borderId="0" fillId="0" fontId="0" numFmtId="3" xfId="0" applyFont="1" applyNumberFormat="1"/>
    <xf borderId="0" fillId="0" fontId="0" numFmtId="0" xfId="0" applyFont="1"/>
    <xf borderId="11" fillId="0" fontId="0" numFmtId="0" xfId="0" applyBorder="1" applyFont="1"/>
    <xf borderId="0" fillId="0" fontId="6" numFmtId="0" xfId="0" applyAlignment="1" applyFont="1">
      <alignment readingOrder="0"/>
    </xf>
    <xf borderId="0" fillId="0" fontId="6" numFmtId="0" xfId="0" applyFont="1"/>
    <xf borderId="0" fillId="4" fontId="0" numFmtId="0" xfId="0" applyAlignment="1" applyFill="1" applyFont="1">
      <alignment horizontal="right" readingOrder="0"/>
    </xf>
    <xf borderId="12" fillId="0" fontId="0" numFmtId="0" xfId="0" applyBorder="1" applyFont="1"/>
    <xf borderId="13" fillId="0" fontId="0" numFmtId="0" xfId="0" applyBorder="1" applyFont="1"/>
    <xf borderId="13" fillId="0" fontId="0" numFmtId="0" xfId="0" applyBorder="1" applyFont="1"/>
    <xf borderId="13" fillId="0" fontId="0" numFmtId="9" xfId="0" applyBorder="1" applyFont="1" applyNumberFormat="1"/>
    <xf borderId="14" fillId="0" fontId="0" numFmtId="0" xfId="0" applyBorder="1" applyFont="1"/>
    <xf borderId="15" fillId="2" fontId="0" numFmtId="0" xfId="0" applyAlignment="1" applyBorder="1" applyFont="1">
      <alignment horizontal="center"/>
    </xf>
    <xf borderId="16" fillId="0" fontId="2" numFmtId="0" xfId="0" applyBorder="1" applyFont="1"/>
    <xf borderId="17" fillId="0" fontId="2" numFmtId="0" xfId="0" applyBorder="1" applyFont="1"/>
    <xf borderId="18" fillId="2" fontId="0" numFmtId="10" xfId="0" applyBorder="1" applyFont="1" applyNumberFormat="1"/>
    <xf borderId="18" fillId="2" fontId="0" numFmtId="0" xfId="0" applyBorder="1" applyFont="1"/>
    <xf borderId="0" fillId="0" fontId="4" numFmtId="0" xfId="0" applyAlignment="1" applyFont="1">
      <alignment vertical="bottom"/>
    </xf>
    <xf borderId="0" fillId="0" fontId="4" numFmtId="0" xfId="0" applyAlignment="1" applyFont="1">
      <alignment horizontal="right" vertical="bottom"/>
    </xf>
    <xf borderId="0" fillId="0" fontId="2" numFmtId="0" xfId="0" applyAlignment="1" applyFont="1">
      <alignment horizontal="center" readingOrder="0"/>
    </xf>
    <xf borderId="19" fillId="5" fontId="0" numFmtId="0" xfId="0" applyBorder="1" applyFill="1" applyFont="1"/>
    <xf borderId="1" fillId="5" fontId="0" numFmtId="0" xfId="0" applyBorder="1" applyFont="1"/>
    <xf borderId="19" fillId="2" fontId="0" numFmtId="0" xfId="0" applyAlignment="1" applyBorder="1" applyFont="1">
      <alignment readingOrder="0" shrinkToFit="0" wrapText="1"/>
    </xf>
    <xf borderId="0" fillId="6" fontId="0" numFmtId="0" xfId="0" applyFill="1" applyFont="1"/>
    <xf borderId="20" fillId="4" fontId="0" numFmtId="0" xfId="0" applyAlignment="1" applyBorder="1" applyFont="1">
      <alignment readingOrder="0" shrinkToFit="0" wrapText="1"/>
    </xf>
    <xf borderId="0" fillId="0" fontId="0" numFmtId="0" xfId="0" applyAlignment="1" applyFont="1">
      <alignment horizontal="right" shrinkToFit="0" wrapText="1"/>
    </xf>
    <xf borderId="21" fillId="2" fontId="0" numFmtId="0" xfId="0" applyAlignment="1" applyBorder="1" applyFont="1">
      <alignment readingOrder="0" shrinkToFit="0" wrapText="1"/>
    </xf>
    <xf borderId="22" fillId="0" fontId="2" numFmtId="0" xfId="0" applyBorder="1" applyFont="1"/>
    <xf borderId="23" fillId="0" fontId="2" numFmtId="0" xfId="0" applyBorder="1" applyFont="1"/>
    <xf borderId="13" fillId="6" fontId="0" numFmtId="0" xfId="0" applyBorder="1" applyFont="1"/>
    <xf borderId="0" fillId="0" fontId="0" numFmtId="0" xfId="0" applyAlignment="1" applyFont="1">
      <alignment readingOrder="0" shrinkToFit="0" wrapText="1"/>
    </xf>
    <xf borderId="0" fillId="0" fontId="0" numFmtId="0" xfId="0" applyAlignment="1" applyFont="1">
      <alignment horizontal="right" readingOrder="0" shrinkToFit="0" wrapText="1"/>
    </xf>
    <xf borderId="0" fillId="0" fontId="5" numFmtId="0" xfId="0" applyAlignment="1" applyFont="1">
      <alignment vertical="bottom"/>
    </xf>
    <xf borderId="24" fillId="0" fontId="0" numFmtId="0" xfId="0" applyAlignment="1" applyBorder="1" applyFont="1">
      <alignment readingOrder="0" shrinkToFit="0" wrapText="1"/>
    </xf>
    <xf borderId="24" fillId="0" fontId="0" numFmtId="0" xfId="0" applyAlignment="1" applyBorder="1" applyFont="1">
      <alignment shrinkToFit="0" wrapText="1"/>
    </xf>
    <xf borderId="19" fillId="2" fontId="0" numFmtId="0" xfId="0" applyAlignment="1" applyBorder="1" applyFont="1">
      <alignment shrinkToFit="0" wrapText="1"/>
    </xf>
    <xf borderId="25" fillId="6" fontId="0" numFmtId="0" xfId="0" applyBorder="1" applyFont="1"/>
    <xf borderId="20" fillId="4" fontId="0" numFmtId="0" xfId="0" applyAlignment="1" applyBorder="1" applyFont="1">
      <alignment shrinkToFit="0" wrapText="1"/>
    </xf>
    <xf borderId="23" fillId="0" fontId="0" numFmtId="0" xfId="0" applyAlignment="1" applyBorder="1" applyFont="1">
      <alignment shrinkToFit="0" wrapText="1"/>
    </xf>
    <xf borderId="0" fillId="0" fontId="5" numFmtId="0" xfId="0" applyAlignment="1" applyFont="1">
      <alignment horizontal="right" vertical="bottom"/>
    </xf>
    <xf borderId="26" fillId="2" fontId="0" numFmtId="0" xfId="0" applyAlignment="1" applyBorder="1" applyFont="1">
      <alignment shrinkToFit="0" wrapText="1"/>
    </xf>
    <xf borderId="27" fillId="6" fontId="0" numFmtId="0" xfId="0" applyAlignment="1" applyBorder="1" applyFont="1">
      <alignment horizontal="right" shrinkToFit="0" wrapText="1"/>
    </xf>
    <xf borderId="28" fillId="4" fontId="0" numFmtId="0" xfId="0" applyAlignment="1" applyBorder="1" applyFont="1">
      <alignment shrinkToFit="0" wrapText="1"/>
    </xf>
    <xf borderId="24" fillId="0" fontId="0" numFmtId="0" xfId="0" applyAlignment="1" applyBorder="1" applyFont="1">
      <alignment horizontal="right" shrinkToFit="0" wrapText="1"/>
    </xf>
    <xf borderId="27" fillId="6" fontId="0" numFmtId="0" xfId="0" applyAlignment="1" applyBorder="1" applyFont="1">
      <alignment horizontal="right" readingOrder="0" shrinkToFit="0" wrapText="1"/>
    </xf>
    <xf borderId="27" fillId="4" fontId="0" numFmtId="0" xfId="0" applyAlignment="1" applyBorder="1" applyFont="1">
      <alignment horizontal="right" shrinkToFit="0" wrapText="1"/>
    </xf>
    <xf borderId="0" fillId="0" fontId="7" numFmtId="0" xfId="0" applyAlignment="1" applyFont="1">
      <alignment vertical="bottom"/>
    </xf>
    <xf borderId="0" fillId="0" fontId="7" numFmtId="0" xfId="0" applyAlignment="1" applyFont="1">
      <alignment horizontal="right" vertical="bottom"/>
    </xf>
    <xf borderId="29" fillId="4" fontId="0" numFmtId="0" xfId="0" applyAlignment="1" applyBorder="1" applyFont="1">
      <alignment horizontal="right" shrinkToFit="0" wrapText="1"/>
    </xf>
    <xf borderId="30" fillId="4" fontId="0" numFmtId="0" xfId="0" applyAlignment="1" applyBorder="1" applyFont="1">
      <alignment shrinkToFit="0" wrapText="1"/>
    </xf>
    <xf borderId="31" fillId="0" fontId="0" numFmtId="0" xfId="0" applyAlignment="1" applyBorder="1" applyFont="1">
      <alignment shrinkToFit="0" wrapText="1"/>
    </xf>
    <xf borderId="32" fillId="0" fontId="0" numFmtId="0" xfId="0" applyAlignment="1" applyBorder="1" applyFont="1">
      <alignment shrinkToFit="0" wrapText="1"/>
    </xf>
    <xf borderId="33" fillId="2" fontId="0" numFmtId="0" xfId="0" applyAlignment="1" applyBorder="1" applyFont="1">
      <alignment shrinkToFit="0" wrapText="1"/>
    </xf>
    <xf borderId="34" fillId="0" fontId="0" numFmtId="0" xfId="0" applyAlignment="1" applyBorder="1" applyFont="1">
      <alignment shrinkToFit="0" wrapText="1"/>
    </xf>
    <xf borderId="35" fillId="0" fontId="0" numFmtId="0" xfId="0" applyAlignment="1" applyBorder="1" applyFont="1">
      <alignment shrinkToFit="0" wrapText="1"/>
    </xf>
    <xf borderId="2" fillId="2" fontId="0" numFmtId="0" xfId="0" applyAlignment="1" applyBorder="1" applyFont="1">
      <alignment horizontal="center" shrinkToFit="0" wrapText="1"/>
    </xf>
    <xf borderId="36" fillId="0" fontId="2" numFmtId="0" xfId="0" applyBorder="1" applyFont="1"/>
    <xf borderId="32" fillId="0" fontId="8" numFmtId="0" xfId="0" applyAlignment="1" applyBorder="1" applyFont="1">
      <alignment horizontal="center" shrinkToFit="0" wrapText="1"/>
    </xf>
    <xf borderId="32" fillId="0" fontId="9" numFmtId="0" xfId="0" applyAlignment="1" applyBorder="1" applyFont="1">
      <alignment shrinkToFit="0" wrapText="1"/>
    </xf>
    <xf borderId="24" fillId="0" fontId="10" numFmtId="0" xfId="0" applyAlignment="1" applyBorder="1" applyFont="1">
      <alignment horizontal="center" shrinkToFit="0" wrapText="1"/>
    </xf>
    <xf borderId="24" fillId="0" fontId="0" numFmtId="9" xfId="0" applyAlignment="1" applyBorder="1" applyFont="1" applyNumberFormat="1">
      <alignment horizontal="right" shrinkToFit="0" wrapText="1"/>
    </xf>
    <xf borderId="4" fillId="0" fontId="4" numFmtId="0" xfId="0" applyAlignment="1" applyBorder="1" applyFont="1">
      <alignment vertical="bottom"/>
    </xf>
    <xf borderId="3" fillId="0" fontId="11" numFmtId="0" xfId="0" applyAlignment="1" applyBorder="1" applyFont="1">
      <alignment vertical="bottom"/>
    </xf>
    <xf borderId="14" fillId="0" fontId="11" numFmtId="0" xfId="0" applyAlignment="1" applyBorder="1" applyFont="1">
      <alignment vertical="bottom"/>
    </xf>
    <xf borderId="6" fillId="0" fontId="11" numFmtId="0" xfId="0" applyAlignment="1" applyBorder="1" applyFont="1">
      <alignment vertical="bottom"/>
    </xf>
    <xf borderId="14" fillId="0" fontId="4" numFmtId="0" xfId="0" applyAlignment="1" applyBorder="1" applyFont="1">
      <alignment horizontal="right" vertical="bottom"/>
    </xf>
    <xf borderId="37" fillId="2" fontId="0" numFmtId="0" xfId="0" applyAlignment="1" applyBorder="1" applyFont="1">
      <alignment horizontal="center"/>
    </xf>
    <xf borderId="38" fillId="0" fontId="2" numFmtId="0" xfId="0" applyBorder="1" applyFont="1"/>
    <xf borderId="39" fillId="0" fontId="2" numFmtId="0" xfId="0" applyBorder="1" applyFont="1"/>
    <xf borderId="0" fillId="4" fontId="12" numFmtId="0" xfId="0" applyFont="1"/>
    <xf borderId="0" fillId="2" fontId="2" numFmtId="0" xfId="0" applyFont="1"/>
    <xf borderId="0" fillId="2" fontId="0" numFmtId="0" xfId="0" applyFont="1"/>
    <xf borderId="0" fillId="2" fontId="0" numFmtId="0" xfId="0" applyAlignment="1" applyFont="1">
      <alignment horizontal="center" vertical="bottom"/>
    </xf>
    <xf borderId="18" fillId="0" fontId="0" numFmtId="0" xfId="0" applyBorder="1" applyFont="1"/>
    <xf borderId="18" fillId="6" fontId="0" numFmtId="0" xfId="0" applyBorder="1" applyFont="1"/>
    <xf borderId="0" fillId="0" fontId="0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3" numFmtId="9" xfId="0" applyFont="1" applyNumberFormat="1"/>
    <xf borderId="0" fillId="0" fontId="0" numFmtId="9" xfId="0" applyAlignment="1" applyFont="1" applyNumberFormat="1">
      <alignment horizontal="right" vertical="bottom"/>
    </xf>
    <xf borderId="0" fillId="0" fontId="5" numFmtId="0" xfId="0" applyAlignment="1" applyFont="1">
      <alignment readingOrder="0" vertical="bottom"/>
    </xf>
    <xf borderId="0" fillId="4" fontId="13" numFmtId="0" xfId="0" applyAlignment="1" applyFont="1">
      <alignment horizontal="left" readingOrder="0"/>
    </xf>
    <xf borderId="0" fillId="0" fontId="13" numFmtId="0" xfId="0" applyAlignment="1" applyFont="1">
      <alignment vertical="bottom"/>
    </xf>
    <xf borderId="0" fillId="0" fontId="13" numFmtId="0" xfId="0" applyAlignment="1" applyFont="1">
      <alignment readingOrder="0" vertical="bottom"/>
    </xf>
    <xf borderId="0" fillId="0" fontId="13" numFmtId="0" xfId="0" applyAlignment="1" applyFont="1">
      <alignment horizontal="right" vertical="bottom"/>
    </xf>
    <xf borderId="18" fillId="2" fontId="0" numFmtId="0" xfId="0" applyAlignment="1" applyBorder="1" applyFont="1">
      <alignment horizontal="center"/>
    </xf>
    <xf borderId="0" fillId="0" fontId="0" numFmtId="0" xfId="0" applyAlignment="1" applyFont="1">
      <alignment horizontal="center"/>
    </xf>
    <xf borderId="0" fillId="4" fontId="0" numFmtId="0" xfId="0" applyFont="1"/>
    <xf borderId="18" fillId="4" fontId="0" numFmtId="0" xfId="0" applyBorder="1" applyFont="1"/>
    <xf borderId="0" fillId="0" fontId="2" numFmtId="165" xfId="0" applyFont="1" applyNumberFormat="1"/>
    <xf borderId="37" fillId="2" fontId="0" numFmtId="165" xfId="0" applyAlignment="1" applyBorder="1" applyFont="1" applyNumberFormat="1">
      <alignment horizontal="center"/>
    </xf>
    <xf borderId="34" fillId="0" fontId="14" numFmtId="0" xfId="0" applyAlignment="1" applyBorder="1" applyFont="1">
      <alignment horizontal="center" shrinkToFit="0" wrapText="1"/>
    </xf>
    <xf borderId="34" fillId="0" fontId="15" numFmtId="165" xfId="0" applyAlignment="1" applyBorder="1" applyFont="1" applyNumberFormat="1">
      <alignment horizontal="center" shrinkToFit="0" wrapText="1"/>
    </xf>
    <xf borderId="0" fillId="7" fontId="2" numFmtId="0" xfId="0" applyAlignment="1" applyFill="1" applyFont="1">
      <alignment readingOrder="0"/>
    </xf>
    <xf borderId="0" fillId="0" fontId="2" numFmtId="0" xfId="0" applyAlignment="1" applyFont="1">
      <alignment horizontal="right"/>
    </xf>
    <xf borderId="0" fillId="0" fontId="4" numFmtId="0" xfId="0" applyAlignment="1" applyFont="1">
      <alignment readingOrder="0"/>
    </xf>
    <xf borderId="0" fillId="0" fontId="16" numFmtId="0" xfId="0" applyAlignment="1" applyFont="1">
      <alignment horizontal="center"/>
    </xf>
    <xf borderId="0" fillId="0" fontId="2" numFmtId="0" xfId="0" applyAlignment="1" applyFont="1">
      <alignment horizontal="center"/>
    </xf>
    <xf borderId="39" fillId="2" fontId="0" numFmtId="0" xfId="0" applyAlignment="1" applyBorder="1" applyFont="1">
      <alignment horizontal="center"/>
    </xf>
    <xf borderId="40" fillId="2" fontId="0" numFmtId="0" xfId="0" applyAlignment="1" applyBorder="1" applyFont="1">
      <alignment horizontal="center"/>
    </xf>
    <xf borderId="0" fillId="8" fontId="2" numFmtId="0" xfId="0" applyAlignment="1" applyFill="1" applyFont="1">
      <alignment horizontal="center" readingOrder="0"/>
    </xf>
    <xf borderId="0" fillId="9" fontId="2" numFmtId="0" xfId="0" applyAlignment="1" applyFill="1" applyFont="1">
      <alignment horizontal="center" readingOrder="0"/>
    </xf>
    <xf borderId="41" fillId="10" fontId="2" numFmtId="0" xfId="0" applyAlignment="1" applyBorder="1" applyFill="1" applyFont="1">
      <alignment readingOrder="0"/>
    </xf>
    <xf borderId="42" fillId="10" fontId="2" numFmtId="0" xfId="0" applyBorder="1" applyFont="1"/>
    <xf borderId="0" fillId="0" fontId="17" numFmtId="0" xfId="0" applyAlignment="1" applyFont="1">
      <alignment horizontal="center" readingOrder="0"/>
    </xf>
    <xf borderId="0" fillId="11" fontId="18" numFmtId="0" xfId="0" applyAlignment="1" applyFill="1" applyFont="1">
      <alignment horizontal="center" readingOrder="0"/>
    </xf>
    <xf borderId="43" fillId="10" fontId="2" numFmtId="0" xfId="0" applyAlignment="1" applyBorder="1" applyFont="1">
      <alignment readingOrder="0"/>
    </xf>
    <xf borderId="44" fillId="10" fontId="2" numFmtId="0" xfId="0" applyAlignment="1" applyBorder="1" applyFont="1">
      <alignment readingOrder="0"/>
    </xf>
    <xf borderId="0" fillId="11" fontId="2" numFmtId="0" xfId="0" applyFont="1"/>
    <xf borderId="0" fillId="2" fontId="4" numFmtId="0" xfId="0" applyAlignment="1" applyFont="1">
      <alignment readingOrder="0"/>
    </xf>
    <xf borderId="0" fillId="12" fontId="2" numFmtId="0" xfId="0" applyAlignment="1" applyFill="1" applyFont="1">
      <alignment readingOrder="0"/>
    </xf>
    <xf borderId="0" fillId="12" fontId="2" numFmtId="0" xfId="0" applyFont="1"/>
    <xf borderId="0" fillId="2" fontId="6" numFmtId="0" xfId="0" applyAlignment="1" applyFont="1">
      <alignment readingOrder="0"/>
    </xf>
    <xf borderId="0" fillId="0" fontId="6" numFmtId="10" xfId="0" applyFont="1" applyNumberFormat="1"/>
    <xf borderId="0" fillId="0" fontId="19" numFmtId="0" xfId="0" applyAlignment="1" applyFont="1">
      <alignment readingOrder="0"/>
    </xf>
    <xf borderId="0" fillId="13" fontId="2" numFmtId="0" xfId="0" applyAlignment="1" applyFill="1" applyFont="1">
      <alignment readingOrder="0"/>
    </xf>
    <xf borderId="0" fillId="14" fontId="2" numFmtId="0" xfId="0" applyAlignment="1" applyFill="1" applyFont="1">
      <alignment readingOrder="0"/>
    </xf>
    <xf borderId="0" fillId="14" fontId="2" numFmtId="0" xfId="0" applyFont="1"/>
    <xf borderId="0" fillId="13" fontId="2" numFmtId="0" xfId="0" applyFont="1"/>
    <xf borderId="0" fillId="4" fontId="2" numFmtId="0" xfId="0" applyAlignment="1" applyFont="1">
      <alignment readingOrder="0"/>
    </xf>
    <xf borderId="0" fillId="4" fontId="4" numFmtId="0" xfId="0" applyAlignment="1" applyFont="1">
      <alignment readingOrder="0"/>
    </xf>
    <xf borderId="0" fillId="4" fontId="2" numFmtId="0" xfId="0" applyFont="1"/>
    <xf borderId="4" fillId="14" fontId="2" numFmtId="0" xfId="0" applyAlignment="1" applyBorder="1" applyFont="1">
      <alignment readingOrder="0"/>
    </xf>
    <xf borderId="6" fillId="14" fontId="2" numFmtId="0" xfId="0" applyAlignment="1" applyBorder="1" applyFont="1">
      <alignment readingOrder="0"/>
    </xf>
    <xf borderId="0" fillId="4" fontId="6" numFmtId="0" xfId="0" applyFont="1"/>
    <xf borderId="45" fillId="8" fontId="4" numFmtId="0" xfId="0" applyAlignment="1" applyBorder="1" applyFont="1">
      <alignment readingOrder="0"/>
    </xf>
    <xf borderId="0" fillId="4" fontId="5" numFmtId="0" xfId="0" applyAlignment="1" applyFont="1">
      <alignment vertical="bottom"/>
    </xf>
    <xf borderId="0" fillId="4" fontId="5" numFmtId="0" xfId="0" applyAlignment="1" applyFont="1">
      <alignment readingOrder="0" vertical="bottom"/>
    </xf>
    <xf borderId="46" fillId="8" fontId="2" numFmtId="0" xfId="0" applyBorder="1" applyFont="1"/>
    <xf borderId="0" fillId="15" fontId="2" numFmtId="0" xfId="0" applyAlignment="1" applyFill="1" applyFont="1">
      <alignment readingOrder="0"/>
    </xf>
    <xf borderId="0" fillId="16" fontId="2" numFmtId="0" xfId="0" applyAlignment="1" applyFill="1" applyFont="1">
      <alignment readingOrder="0"/>
    </xf>
    <xf borderId="0" fillId="16" fontId="2" numFmtId="0" xfId="0" applyFont="1"/>
    <xf borderId="0" fillId="15" fontId="2" numFmtId="0" xfId="0" applyFont="1"/>
    <xf borderId="4" fillId="16" fontId="2" numFmtId="0" xfId="0" applyAlignment="1" applyBorder="1" applyFont="1">
      <alignment readingOrder="0"/>
    </xf>
    <xf borderId="6" fillId="16" fontId="2" numFmtId="0" xfId="0" applyAlignment="1" applyBorder="1" applyFont="1">
      <alignment readingOrder="0"/>
    </xf>
    <xf borderId="2" fillId="0" fontId="2" numFmtId="0" xfId="0" applyAlignment="1" applyBorder="1" applyFont="1">
      <alignment readingOrder="0"/>
    </xf>
    <xf borderId="36" fillId="0" fontId="2" numFmtId="0" xfId="0" applyAlignment="1" applyBorder="1" applyFont="1">
      <alignment readingOrder="0"/>
    </xf>
    <xf borderId="36" fillId="0" fontId="2" numFmtId="0" xfId="0" applyAlignment="1" applyBorder="1" applyFont="1">
      <alignment horizontal="right" readingOrder="0"/>
    </xf>
    <xf borderId="3" fillId="0" fontId="2" numFmtId="0" xfId="0" applyAlignment="1" applyBorder="1" applyFont="1">
      <alignment readingOrder="0"/>
    </xf>
    <xf borderId="10" fillId="0" fontId="2" numFmtId="0" xfId="0" applyAlignment="1" applyBorder="1" applyFont="1">
      <alignment readingOrder="0"/>
    </xf>
    <xf borderId="0" fillId="0" fontId="2" numFmtId="0" xfId="0" applyAlignment="1" applyFon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2" Type="http://schemas.openxmlformats.org/officeDocument/2006/relationships/worksheet" Target="worksheets/sheet10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595959"/>
                </a:solidFill>
                <a:latin typeface="+mn-lt"/>
              </a:defRPr>
            </a:pPr>
            <a:r>
              <a:rPr b="0" i="0" sz="1400">
                <a:solidFill>
                  <a:srgbClr val="595959"/>
                </a:solidFill>
                <a:latin typeface="+mn-lt"/>
              </a:rPr>
              <a:t>Daily Rainfall and Volume of Stored water - Station 1 2014</a:t>
            </a:r>
          </a:p>
        </c:rich>
      </c:tx>
      <c:overlay val="0"/>
    </c:title>
    <c:plotArea>
      <c:layout/>
      <c:lineChart>
        <c:varyColors val="0"/>
        <c:ser>
          <c:idx val="1"/>
          <c:order val="1"/>
          <c:spPr>
            <a:ln cmpd="sng" w="19050">
              <a:solidFill>
                <a:srgbClr val="ED7D31">
                  <a:alpha val="100000"/>
                </a:srgbClr>
              </a:solidFill>
              <a:prstDash val="solid"/>
            </a:ln>
          </c:spPr>
          <c:marker>
            <c:symbol val="none"/>
          </c:marker>
          <c:val>
            <c:numRef>
              <c:f>'Catchment Area'!$E$17:$E$381</c:f>
              <c:numCache/>
            </c:numRef>
          </c:val>
          <c:smooth val="0"/>
        </c:ser>
        <c:axId val="228123762"/>
        <c:axId val="2066244869"/>
      </c:lineChart>
      <c:catAx>
        <c:axId val="2281237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066244869"/>
      </c:catAx>
      <c:valAx>
        <c:axId val="2066244869"/>
        <c:scaling>
          <c:orientation val="minMax"/>
        </c:scaling>
        <c:delete val="0"/>
        <c:axPos val="l"/>
        <c:majorGridlines>
          <c:spPr>
            <a:ln>
              <a:solidFill>
                <a:srgbClr val="FFFFFF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595959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595959"/>
                    </a:solidFill>
                    <a:latin typeface="+mn-lt"/>
                  </a:rPr>
                  <a:t>Volume (L)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228123762"/>
      </c:valAx>
      <c:barChart>
        <c:barDir val="col"/>
        <c:ser>
          <c:idx val="0"/>
          <c:order val="0"/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val>
            <c:numRef>
              <c:f>'Catchment Area'!$B$17:$B$381</c:f>
              <c:numCache/>
            </c:numRef>
          </c:val>
        </c:ser>
        <c:axId val="505928700"/>
        <c:axId val="868325688"/>
      </c:barChart>
      <c:catAx>
        <c:axId val="50592870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868325688"/>
      </c:catAx>
      <c:valAx>
        <c:axId val="868325688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595959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595959"/>
                    </a:solidFill>
                    <a:latin typeface="+mn-lt"/>
                  </a:rPr>
                  <a:t>RainFall (mm)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505928700"/>
        <c:crosses val="max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595959"/>
              </a:solidFill>
              <a:latin typeface="+mn-lt"/>
            </a:defRPr>
          </a:pPr>
        </a:p>
      </c:txPr>
    </c:legend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595959"/>
                </a:solidFill>
                <a:latin typeface="+mn-lt"/>
              </a:defRPr>
            </a:pPr>
            <a:r>
              <a:rPr b="0" i="0" sz="1400">
                <a:solidFill>
                  <a:srgbClr val="595959"/>
                </a:solidFill>
                <a:latin typeface="+mn-lt"/>
              </a:rPr>
              <a:t>Daily Rainfall and Volume of Stored water - Station 1 2015</a:t>
            </a:r>
          </a:p>
        </c:rich>
      </c:tx>
      <c:overlay val="0"/>
    </c:title>
    <c:plotArea>
      <c:layout/>
      <c:lineChart>
        <c:varyColors val="0"/>
        <c:ser>
          <c:idx val="1"/>
          <c:order val="1"/>
          <c:spPr>
            <a:ln cmpd="sng" w="19050">
              <a:solidFill>
                <a:srgbClr val="ED7D31">
                  <a:alpha val="100000"/>
                </a:srgbClr>
              </a:solidFill>
              <a:prstDash val="solid"/>
            </a:ln>
          </c:spPr>
          <c:marker>
            <c:symbol val="none"/>
          </c:marker>
          <c:val>
            <c:numRef>
              <c:f>'Catchment Area'!$X$17:$X$381</c:f>
              <c:numCache/>
            </c:numRef>
          </c:val>
          <c:smooth val="0"/>
        </c:ser>
        <c:axId val="1792584327"/>
        <c:axId val="508572138"/>
      </c:lineChart>
      <c:catAx>
        <c:axId val="17925843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508572138"/>
      </c:catAx>
      <c:valAx>
        <c:axId val="508572138"/>
        <c:scaling>
          <c:orientation val="minMax"/>
        </c:scaling>
        <c:delete val="0"/>
        <c:axPos val="l"/>
        <c:majorGridlines>
          <c:spPr>
            <a:ln>
              <a:solidFill>
                <a:srgbClr val="FFFFFF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595959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595959"/>
                    </a:solidFill>
                    <a:latin typeface="+mn-lt"/>
                  </a:rPr>
                  <a:t>Volume (L)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1792584327"/>
      </c:valAx>
      <c:barChart>
        <c:barDir val="col"/>
        <c:ser>
          <c:idx val="0"/>
          <c:order val="0"/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val>
            <c:numRef>
              <c:f>'Catchment Area'!$U$17:$U$381</c:f>
              <c:numCache/>
            </c:numRef>
          </c:val>
        </c:ser>
        <c:axId val="1634595444"/>
        <c:axId val="813925761"/>
      </c:barChart>
      <c:catAx>
        <c:axId val="163459544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813925761"/>
      </c:catAx>
      <c:valAx>
        <c:axId val="813925761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595959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595959"/>
                    </a:solidFill>
                    <a:latin typeface="+mn-lt"/>
                  </a:rPr>
                  <a:t>Rainfa;; (mm)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1634595444"/>
        <c:crosses val="max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595959"/>
              </a:solidFill>
              <a:latin typeface="+mn-lt"/>
            </a:defRPr>
          </a:pPr>
        </a:p>
      </c:txPr>
    </c:legend>
    <c:plotVisOnly val="1"/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595959"/>
                </a:solidFill>
                <a:latin typeface="+mn-lt"/>
              </a:defRPr>
            </a:pPr>
            <a:r>
              <a:rPr b="0" i="0" sz="1400">
                <a:solidFill>
                  <a:srgbClr val="595959"/>
                </a:solidFill>
                <a:latin typeface="+mn-lt"/>
              </a:rPr>
              <a:t>Pump and System Pressure  vs Flowrate</a:t>
            </a:r>
          </a:p>
        </c:rich>
      </c:tx>
      <c:overlay val="0"/>
    </c:title>
    <c:plotArea>
      <c:layout>
        <c:manualLayout>
          <c:xMode val="edge"/>
          <c:yMode val="edge"/>
          <c:x val="0.12358188827095264"/>
          <c:y val="0.13152482269503546"/>
          <c:w val="0.8397308177576513"/>
          <c:h val="0.7500237337354108"/>
        </c:manualLayout>
      </c:layout>
      <c:scatterChart>
        <c:scatterStyle val="lineMarker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rgbClr val="4472C4"/>
              </a:solidFill>
              <a:ln cmpd="sng">
                <a:solidFill>
                  <a:srgbClr val="4472C4"/>
                </a:solidFill>
              </a:ln>
            </c:spPr>
          </c:marker>
          <c:xVal>
            <c:numRef>
              <c:f>Pumps!$B$16:$B$76</c:f>
            </c:numRef>
          </c:xVal>
          <c:yVal>
            <c:numRef>
              <c:f>Pumps!$C$16:$C$76</c:f>
              <c:numCache/>
            </c:numRef>
          </c:yVal>
        </c:ser>
        <c:ser>
          <c:idx val="1"/>
          <c:order val="1"/>
          <c:spPr>
            <a:ln>
              <a:noFill/>
            </a:ln>
          </c:spPr>
          <c:marker>
            <c:symbol val="circle"/>
            <c:size val="7"/>
            <c:spPr>
              <a:solidFill>
                <a:srgbClr val="ED7D31"/>
              </a:solidFill>
              <a:ln cmpd="sng">
                <a:solidFill>
                  <a:srgbClr val="ED7D31"/>
                </a:solidFill>
              </a:ln>
            </c:spPr>
          </c:marker>
          <c:xVal>
            <c:numRef>
              <c:f>Pumps!$B$16:$B$76</c:f>
            </c:numRef>
          </c:xVal>
          <c:yVal>
            <c:numRef>
              <c:f>Pumps!$D$16:$D$76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022310"/>
        <c:axId val="1818104453"/>
      </c:scatterChart>
      <c:valAx>
        <c:axId val="420022310"/>
        <c:scaling>
          <c:orientation val="minMax"/>
        </c:scaling>
        <c:delete val="0"/>
        <c:axPos val="b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595959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595959"/>
                    </a:solidFill>
                    <a:latin typeface="+mn-lt"/>
                  </a:rPr>
                  <a:t>Flowrate (L/min)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1818104453"/>
      </c:valAx>
      <c:valAx>
        <c:axId val="1818104453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595959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595959"/>
                    </a:solidFill>
                    <a:latin typeface="+mn-lt"/>
                  </a:rPr>
                  <a:t>Pressure (Pa)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420022310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b="0" i="0" sz="700">
              <a:solidFill>
                <a:srgbClr val="595959"/>
              </a:solidFill>
              <a:latin typeface="+mn-lt"/>
            </a:defRPr>
          </a:pPr>
        </a:p>
      </c:txPr>
    </c:legend>
    <c:plotVisOnly val="1"/>
  </c:chart>
  <c:spPr>
    <a:solidFill>
      <a:srgbClr val="FFFFFF"/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595959"/>
                </a:solidFill>
                <a:latin typeface="+mn-lt"/>
              </a:defRPr>
            </a:pPr>
            <a:r>
              <a:rPr b="0" i="0" sz="1400">
                <a:solidFill>
                  <a:srgbClr val="595959"/>
                </a:solidFill>
                <a:latin typeface="+mn-lt"/>
              </a:rPr>
              <a:t>Pressure vs Flowrate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rgbClr val="4472C4"/>
              </a:solidFill>
              <a:ln cmpd="sng">
                <a:solidFill>
                  <a:srgbClr val="4472C4"/>
                </a:solidFill>
              </a:ln>
            </c:spPr>
          </c:marker>
          <c:xVal>
            <c:numRef>
              <c:f>'On Demand Flow Rate'!$B$16:$B$116</c:f>
            </c:numRef>
          </c:xVal>
          <c:yVal>
            <c:numRef>
              <c:f>'On Demand Flow Rate'!$C$16:$C$116</c:f>
              <c:numCache/>
            </c:numRef>
          </c:yVal>
        </c:ser>
        <c:ser>
          <c:idx val="1"/>
          <c:order val="1"/>
          <c:spPr>
            <a:ln>
              <a:noFill/>
            </a:ln>
          </c:spPr>
          <c:marker>
            <c:symbol val="circle"/>
            <c:size val="7"/>
            <c:spPr>
              <a:solidFill>
                <a:srgbClr val="A5A5A5"/>
              </a:solidFill>
              <a:ln cmpd="sng">
                <a:solidFill>
                  <a:srgbClr val="A5A5A5"/>
                </a:solidFill>
              </a:ln>
            </c:spPr>
          </c:marker>
          <c:xVal>
            <c:numRef>
              <c:f>'On Demand Flow Rate'!$B$16:$B$116</c:f>
            </c:numRef>
          </c:xVal>
          <c:yVal>
            <c:numRef>
              <c:f>'On Demand Flow Rate'!$F$16:$F$76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1967221"/>
        <c:axId val="1832943739"/>
      </c:scatterChart>
      <c:valAx>
        <c:axId val="1711967221"/>
        <c:scaling>
          <c:orientation val="minMax"/>
        </c:scaling>
        <c:delete val="0"/>
        <c:axPos val="b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595959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595959"/>
                    </a:solidFill>
                    <a:latin typeface="+mn-lt"/>
                  </a:rPr>
                  <a:t>Flowrate (L/min)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1832943739"/>
      </c:valAx>
      <c:valAx>
        <c:axId val="1832943739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595959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595959"/>
                    </a:solidFill>
                    <a:latin typeface="+mn-lt"/>
                  </a:rPr>
                  <a:t>Pressure (Pa)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1711967221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595959"/>
              </a:solidFill>
              <a:latin typeface="+mn-lt"/>
            </a:defRPr>
          </a:pPr>
        </a:p>
      </c:txPr>
    </c:legend>
    <c:plotVisOnly val="1"/>
  </c:chart>
  <c:spPr>
    <a:solidFill>
      <a:srgbClr val="FFFFFF"/>
    </a:solidFill>
  </c:spPr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595959"/>
                </a:solidFill>
                <a:latin typeface="+mn-lt"/>
              </a:defRPr>
            </a:pPr>
            <a:r>
              <a:rPr b="0" i="0" sz="1400">
                <a:solidFill>
                  <a:srgbClr val="595959"/>
                </a:solidFill>
                <a:latin typeface="+mn-lt"/>
              </a:rPr>
              <a:t>Stored Energy (Whr) vs Time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val>
            <c:numRef>
              <c:f>Power!$K$15:$K$379</c:f>
              <c:numCache/>
            </c:numRef>
          </c:val>
        </c:ser>
        <c:overlap val="100"/>
        <c:axId val="1883995466"/>
        <c:axId val="1791967736"/>
      </c:barChart>
      <c:catAx>
        <c:axId val="18839954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791967736"/>
      </c:catAx>
      <c:valAx>
        <c:axId val="1791967736"/>
        <c:scaling>
          <c:orientation val="minMax"/>
        </c:scaling>
        <c:delete val="0"/>
        <c:axPos val="l"/>
        <c:majorGridlines>
          <c:spPr>
            <a:ln>
              <a:solidFill>
                <a:srgbClr val="FFFFFF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1883995466"/>
      </c:valAx>
      <c:lineChart>
        <c:varyColors val="0"/>
        <c:ser>
          <c:idx val="1"/>
          <c:order val="1"/>
          <c:spPr>
            <a:ln cmpd="sng" w="19050">
              <a:solidFill>
                <a:srgbClr val="ED7D31">
                  <a:alpha val="100000"/>
                </a:srgbClr>
              </a:solidFill>
              <a:prstDash val="solid"/>
            </a:ln>
          </c:spPr>
          <c:marker>
            <c:symbol val="none"/>
          </c:marker>
          <c:val>
            <c:numRef>
              <c:f>Power!$J$15:$J$379</c:f>
              <c:numCache/>
            </c:numRef>
          </c:val>
          <c:smooth val="0"/>
        </c:ser>
        <c:axId val="823007461"/>
        <c:axId val="1827761427"/>
      </c:lineChart>
      <c:catAx>
        <c:axId val="82300746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827761427"/>
      </c:catAx>
      <c:valAx>
        <c:axId val="1827761427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823007461"/>
        <c:crosses val="max"/>
      </c:valAx>
      <c:spPr>
        <a:solidFill>
          <a:srgbClr val="FFFFFF"/>
        </a:solidFill>
      </c:spPr>
    </c:plotArea>
    <c:plotVisOnly val="1"/>
  </c:chart>
  <c:spPr>
    <a:solidFill>
      <a:srgbClr val="FFFFFF"/>
    </a:solidFill>
  </c:spPr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Diesel health risks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3366CC"/>
            </a:solidFill>
            <a:ln cmpd="sng">
              <a:solidFill>
                <a:srgbClr val="000000"/>
              </a:solidFill>
            </a:ln>
          </c:spPr>
          <c:cat>
            <c:strRef>
              <c:f>'Risk Matrices'!$O$13:$O$16</c:f>
            </c:strRef>
          </c:cat>
          <c:val>
            <c:numRef>
              <c:f>'Risk Matrices'!$R$13:$R$16</c:f>
              <c:numCache/>
            </c:numRef>
          </c:val>
        </c:ser>
        <c:ser>
          <c:idx val="1"/>
          <c:order val="1"/>
          <c:spPr>
            <a:solidFill>
              <a:srgbClr val="DC3912"/>
            </a:solidFill>
            <a:ln cmpd="sng">
              <a:solidFill>
                <a:srgbClr val="000000"/>
              </a:solidFill>
            </a:ln>
          </c:spPr>
          <c:cat>
            <c:strRef>
              <c:f>'Risk Matrices'!$O$13:$O$16</c:f>
            </c:strRef>
          </c:cat>
          <c:val>
            <c:numRef>
              <c:f>'Risk Matrices'!$S$13:$S$16</c:f>
              <c:numCache/>
            </c:numRef>
          </c:val>
        </c:ser>
        <c:ser>
          <c:idx val="2"/>
          <c:order val="2"/>
          <c:spPr>
            <a:solidFill>
              <a:srgbClr val="FF9900"/>
            </a:solidFill>
            <a:ln cmpd="sng">
              <a:solidFill>
                <a:srgbClr val="000000"/>
              </a:solidFill>
            </a:ln>
          </c:spPr>
          <c:cat>
            <c:strRef>
              <c:f>'Risk Matrices'!$O$13:$O$16</c:f>
            </c:strRef>
          </c:cat>
          <c:val>
            <c:numRef>
              <c:f>'Risk Matrices'!$T$13:$T$16</c:f>
              <c:numCache/>
            </c:numRef>
          </c:val>
        </c:ser>
        <c:ser>
          <c:idx val="3"/>
          <c:order val="3"/>
          <c:spPr>
            <a:solidFill>
              <a:srgbClr val="109618"/>
            </a:solidFill>
            <a:ln cmpd="sng">
              <a:solidFill>
                <a:srgbClr val="000000"/>
              </a:solidFill>
            </a:ln>
          </c:spPr>
          <c:cat>
            <c:strRef>
              <c:f>'Risk Matrices'!$O$13:$O$16</c:f>
            </c:strRef>
          </c:cat>
          <c:val>
            <c:numRef>
              <c:f>'Risk Matrices'!$U$13:$U$16</c:f>
              <c:numCache/>
            </c:numRef>
          </c:val>
        </c:ser>
        <c:axId val="1511737078"/>
        <c:axId val="1615981033"/>
      </c:barChart>
      <c:catAx>
        <c:axId val="15117370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615981033"/>
      </c:catAx>
      <c:valAx>
        <c:axId val="161598103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Scores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51173707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742950</xdr:colOff>
      <xdr:row>16</xdr:row>
      <xdr:rowOff>104775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581025</xdr:colOff>
      <xdr:row>14</xdr:row>
      <xdr:rowOff>219075</xdr:rowOff>
    </xdr:from>
    <xdr:ext cx="5867400" cy="347662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9525</xdr:colOff>
      <xdr:row>33</xdr:row>
      <xdr:rowOff>133350</xdr:rowOff>
    </xdr:from>
    <xdr:ext cx="5857875" cy="3629025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66675</xdr:colOff>
      <xdr:row>14</xdr:row>
      <xdr:rowOff>0</xdr:rowOff>
    </xdr:from>
    <xdr:ext cx="8734425" cy="37147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571500</xdr:colOff>
      <xdr:row>13</xdr:row>
      <xdr:rowOff>171450</xdr:rowOff>
    </xdr:from>
    <xdr:ext cx="4648200" cy="323850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428625</xdr:colOff>
      <xdr:row>21</xdr:row>
      <xdr:rowOff>28575</xdr:rowOff>
    </xdr:from>
    <xdr:ext cx="5381625" cy="312420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22.14"/>
    <col customWidth="1" min="2" max="2" width="21.43"/>
    <col customWidth="1" min="3" max="3" width="8.0"/>
    <col customWidth="1" min="4" max="4" width="19.29"/>
    <col customWidth="1" min="5" max="5" width="10.14"/>
    <col customWidth="1" min="6" max="26" width="8.71"/>
  </cols>
  <sheetData>
    <row r="1">
      <c r="A1" s="1" t="s">
        <v>0</v>
      </c>
      <c r="B1" s="2">
        <v>600.0</v>
      </c>
      <c r="C1" s="3" t="s">
        <v>1</v>
      </c>
      <c r="D1" s="4"/>
      <c r="F1" s="5">
        <f>'Satisfaction Values'!E9</f>
        <v>0.7538081464</v>
      </c>
    </row>
    <row r="2">
      <c r="A2" s="6"/>
      <c r="B2" s="6"/>
      <c r="C2" s="6"/>
      <c r="D2" s="6"/>
    </row>
    <row r="3">
      <c r="A3" s="7" t="s">
        <v>2</v>
      </c>
      <c r="B3" s="1" t="s">
        <v>3</v>
      </c>
      <c r="C3" s="8" t="s">
        <v>4</v>
      </c>
      <c r="D3" s="4"/>
    </row>
    <row r="4">
      <c r="A4" s="9" t="s">
        <v>5</v>
      </c>
      <c r="B4" s="10" t="s">
        <v>6</v>
      </c>
      <c r="C4" s="11"/>
      <c r="D4" s="11" t="s">
        <v>7</v>
      </c>
    </row>
    <row r="5">
      <c r="A5" s="12"/>
      <c r="B5" s="12"/>
      <c r="C5" s="2"/>
      <c r="D5" s="11" t="s">
        <v>8</v>
      </c>
    </row>
    <row r="6">
      <c r="A6" s="12"/>
      <c r="B6" s="13"/>
      <c r="C6" s="2" t="s">
        <v>9</v>
      </c>
      <c r="D6" s="11" t="s">
        <v>10</v>
      </c>
    </row>
    <row r="7">
      <c r="A7" s="12"/>
      <c r="B7" s="10" t="s">
        <v>11</v>
      </c>
      <c r="C7" s="2" t="s">
        <v>9</v>
      </c>
      <c r="D7" s="11" t="s">
        <v>12</v>
      </c>
    </row>
    <row r="8">
      <c r="A8" s="12"/>
      <c r="B8" s="12"/>
      <c r="C8" s="14">
        <v>20.0</v>
      </c>
      <c r="D8" s="11" t="s">
        <v>13</v>
      </c>
    </row>
    <row r="9">
      <c r="A9" s="12"/>
      <c r="B9" s="12"/>
      <c r="C9" s="3" t="s">
        <v>14</v>
      </c>
      <c r="D9" s="4"/>
    </row>
    <row r="10">
      <c r="A10" s="12"/>
      <c r="B10" s="12"/>
      <c r="C10" s="2">
        <v>5.0</v>
      </c>
      <c r="D10" s="11" t="s">
        <v>15</v>
      </c>
    </row>
    <row r="11">
      <c r="A11" s="12"/>
      <c r="B11" s="13"/>
      <c r="C11" s="2">
        <v>10.0</v>
      </c>
      <c r="D11" s="11" t="s">
        <v>16</v>
      </c>
    </row>
    <row r="12">
      <c r="A12" s="13"/>
      <c r="B12" s="11" t="s">
        <v>17</v>
      </c>
      <c r="C12" s="2">
        <v>10000.0</v>
      </c>
      <c r="D12" s="11" t="s">
        <v>18</v>
      </c>
    </row>
    <row r="13">
      <c r="A13" s="9" t="s">
        <v>19</v>
      </c>
      <c r="B13" s="11" t="s">
        <v>20</v>
      </c>
      <c r="C13" s="2">
        <v>27.0</v>
      </c>
      <c r="D13" s="11" t="s">
        <v>21</v>
      </c>
    </row>
    <row r="14">
      <c r="A14" s="12"/>
      <c r="B14" s="10" t="s">
        <v>22</v>
      </c>
      <c r="C14" s="2">
        <v>5.0</v>
      </c>
      <c r="D14" s="11" t="s">
        <v>15</v>
      </c>
      <c r="E14" t="s">
        <v>23</v>
      </c>
    </row>
    <row r="15">
      <c r="A15" s="12"/>
      <c r="B15" s="13"/>
      <c r="C15" s="2">
        <v>25.0</v>
      </c>
      <c r="D15" s="11" t="s">
        <v>16</v>
      </c>
      <c r="E15" s="15">
        <v>10.0</v>
      </c>
    </row>
    <row r="16">
      <c r="A16" s="12"/>
      <c r="B16" s="10" t="s">
        <v>24</v>
      </c>
      <c r="C16" s="2" t="s">
        <v>25</v>
      </c>
      <c r="D16" s="11" t="s">
        <v>12</v>
      </c>
      <c r="E16" t="s">
        <v>26</v>
      </c>
    </row>
    <row r="17">
      <c r="A17" s="13"/>
      <c r="B17" s="13"/>
      <c r="C17" s="2"/>
      <c r="D17" s="11" t="s">
        <v>27</v>
      </c>
    </row>
    <row r="18">
      <c r="A18" s="16" t="s">
        <v>28</v>
      </c>
      <c r="B18" s="17" t="s">
        <v>28</v>
      </c>
      <c r="C18" s="2" t="s">
        <v>9</v>
      </c>
      <c r="D18" s="11" t="s">
        <v>29</v>
      </c>
    </row>
    <row r="19">
      <c r="A19" s="12"/>
      <c r="B19" s="12"/>
      <c r="C19" s="2"/>
      <c r="D19" s="11" t="s">
        <v>30</v>
      </c>
    </row>
    <row r="20">
      <c r="A20" s="12"/>
      <c r="B20" s="12"/>
      <c r="C20" s="2"/>
      <c r="D20" s="11" t="s">
        <v>31</v>
      </c>
    </row>
    <row r="21">
      <c r="A21" s="13"/>
      <c r="B21" s="13"/>
      <c r="C21" s="11"/>
      <c r="D21" s="11" t="s">
        <v>7</v>
      </c>
    </row>
    <row r="22">
      <c r="A22" s="9" t="s">
        <v>32</v>
      </c>
      <c r="B22" s="10" t="s">
        <v>33</v>
      </c>
      <c r="C22" s="2"/>
      <c r="D22" s="2" t="s">
        <v>34</v>
      </c>
    </row>
    <row r="23">
      <c r="A23" s="12"/>
      <c r="B23" s="13"/>
      <c r="C23" s="2" t="s">
        <v>9</v>
      </c>
      <c r="D23" s="11" t="s">
        <v>35</v>
      </c>
    </row>
    <row r="24">
      <c r="A24" s="12"/>
      <c r="B24" s="17" t="s">
        <v>36</v>
      </c>
      <c r="C24" s="11" t="s">
        <v>9</v>
      </c>
      <c r="D24" s="11" t="s">
        <v>37</v>
      </c>
    </row>
    <row r="25">
      <c r="A25" s="12"/>
      <c r="B25" s="12"/>
      <c r="C25" s="14"/>
      <c r="D25" s="11" t="s">
        <v>38</v>
      </c>
    </row>
    <row r="26">
      <c r="A26" s="13"/>
      <c r="B26" s="13"/>
      <c r="C26" s="2" t="s">
        <v>9</v>
      </c>
      <c r="D26" s="11" t="s">
        <v>39</v>
      </c>
    </row>
    <row r="27">
      <c r="A27" s="9" t="s">
        <v>40</v>
      </c>
      <c r="B27" s="10" t="s">
        <v>41</v>
      </c>
      <c r="C27" s="2" t="s">
        <v>9</v>
      </c>
      <c r="D27" s="11" t="s">
        <v>42</v>
      </c>
    </row>
    <row r="28">
      <c r="A28" s="12"/>
      <c r="B28" s="13"/>
      <c r="C28" s="2"/>
      <c r="D28" s="11" t="s">
        <v>43</v>
      </c>
    </row>
    <row r="29">
      <c r="A29" s="12"/>
      <c r="B29" s="17" t="s">
        <v>44</v>
      </c>
      <c r="C29" s="14" t="s">
        <v>9</v>
      </c>
      <c r="D29" s="11" t="s">
        <v>45</v>
      </c>
    </row>
    <row r="30">
      <c r="A30" s="13"/>
      <c r="B30" s="13"/>
      <c r="C30" s="18"/>
      <c r="D30" s="11" t="s">
        <v>46</v>
      </c>
    </row>
    <row r="31">
      <c r="A31" s="9" t="s">
        <v>47</v>
      </c>
      <c r="B31" s="17" t="s">
        <v>48</v>
      </c>
      <c r="C31" s="14"/>
      <c r="D31" s="11" t="s">
        <v>49</v>
      </c>
    </row>
    <row r="32">
      <c r="A32" s="12"/>
      <c r="B32" s="13"/>
      <c r="C32" s="14" t="s">
        <v>9</v>
      </c>
      <c r="D32" s="11" t="s">
        <v>50</v>
      </c>
    </row>
    <row r="33">
      <c r="A33" s="13"/>
      <c r="B33" s="11" t="s">
        <v>51</v>
      </c>
      <c r="C33" s="2">
        <v>2.0</v>
      </c>
      <c r="D33" s="11" t="s">
        <v>52</v>
      </c>
    </row>
    <row r="34">
      <c r="A34" s="9" t="s">
        <v>53</v>
      </c>
      <c r="B34" s="10" t="s">
        <v>54</v>
      </c>
      <c r="C34" s="2"/>
      <c r="D34" s="11" t="s">
        <v>55</v>
      </c>
    </row>
    <row r="35">
      <c r="A35" s="12"/>
      <c r="B35" s="12"/>
      <c r="C35" s="2"/>
      <c r="D35" s="11" t="s">
        <v>56</v>
      </c>
    </row>
    <row r="36">
      <c r="A36" s="12"/>
      <c r="B36" s="13"/>
      <c r="C36" s="2"/>
      <c r="D36" s="2" t="s">
        <v>57</v>
      </c>
    </row>
    <row r="37">
      <c r="A37" s="12"/>
      <c r="B37" s="11" t="s">
        <v>58</v>
      </c>
      <c r="C37" s="2"/>
      <c r="D37" s="11" t="s">
        <v>52</v>
      </c>
    </row>
    <row r="38">
      <c r="A38" s="13"/>
      <c r="B38" s="11" t="s">
        <v>59</v>
      </c>
      <c r="C38" s="11" t="str">
        <f t="shared" ref="C38:C39" si="1">IF(C31="y","y","")</f>
        <v/>
      </c>
      <c r="D38" s="11" t="s">
        <v>60</v>
      </c>
    </row>
    <row r="39">
      <c r="A39" s="19" t="s">
        <v>50</v>
      </c>
      <c r="B39" s="11" t="s">
        <v>50</v>
      </c>
      <c r="C39" s="2" t="str">
        <f t="shared" si="1"/>
        <v>y</v>
      </c>
      <c r="D39" s="11" t="s">
        <v>61</v>
      </c>
    </row>
  </sheetData>
  <mergeCells count="22">
    <mergeCell ref="A22:A26"/>
    <mergeCell ref="A27:A30"/>
    <mergeCell ref="B27:B28"/>
    <mergeCell ref="B24:B26"/>
    <mergeCell ref="B7:B11"/>
    <mergeCell ref="C9:D9"/>
    <mergeCell ref="C1:D1"/>
    <mergeCell ref="C3:D3"/>
    <mergeCell ref="B29:B30"/>
    <mergeCell ref="B31:B32"/>
    <mergeCell ref="A18:A21"/>
    <mergeCell ref="B22:B23"/>
    <mergeCell ref="B18:B21"/>
    <mergeCell ref="B14:B15"/>
    <mergeCell ref="B16:B17"/>
    <mergeCell ref="A13:A17"/>
    <mergeCell ref="A4:A12"/>
    <mergeCell ref="A34:A38"/>
    <mergeCell ref="B34:B36"/>
    <mergeCell ref="C41:D41"/>
    <mergeCell ref="A31:A33"/>
    <mergeCell ref="B4:B6"/>
  </mergeCells>
  <printOptions/>
  <pageMargins bottom="0.75" footer="0.0" header="0.0" left="0.7" right="0.7" top="0.75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0.86"/>
    <col customWidth="1" min="2" max="2" width="5.14"/>
    <col customWidth="1" min="3" max="3" width="5.71"/>
    <col customWidth="1" min="4" max="4" width="23.43"/>
    <col customWidth="1" min="5" max="5" width="13.14"/>
    <col customWidth="1" min="6" max="6" width="13.71"/>
    <col customWidth="1" min="7" max="7" width="24.14"/>
    <col customWidth="1" min="8" max="8" width="3.29"/>
    <col customWidth="1" min="9" max="9" width="24.43"/>
    <col customWidth="1" min="10" max="10" width="9.43"/>
    <col customWidth="1" min="11" max="11" width="19.43"/>
    <col customWidth="1" min="12" max="12" width="7.71"/>
    <col customWidth="1" min="13" max="13" width="11.14"/>
    <col customWidth="1" min="14" max="14" width="3.43"/>
    <col customWidth="1" min="15" max="15" width="20.86"/>
    <col customWidth="1" min="16" max="16" width="8.57"/>
    <col customWidth="1" min="17" max="17" width="7.43"/>
    <col customWidth="1" min="18" max="18" width="18.14"/>
    <col customWidth="1" min="19" max="19" width="18.0"/>
    <col customWidth="1" min="21" max="21" width="23.0"/>
  </cols>
  <sheetData>
    <row r="1">
      <c r="C1" s="148" t="s">
        <v>1066</v>
      </c>
    </row>
    <row r="2">
      <c r="A2" s="149" t="s">
        <v>1067</v>
      </c>
      <c r="B2" s="149"/>
      <c r="C2" s="149"/>
      <c r="D2" s="150" t="s">
        <v>1068</v>
      </c>
      <c r="E2" s="151"/>
      <c r="F2" s="151"/>
      <c r="G2" s="151"/>
      <c r="I2" s="15" t="s">
        <v>1069</v>
      </c>
      <c r="O2" s="149" t="s">
        <v>1067</v>
      </c>
      <c r="P2" s="149"/>
      <c r="Q2" s="149"/>
      <c r="R2" s="150" t="s">
        <v>1068</v>
      </c>
      <c r="S2" s="151"/>
      <c r="T2" s="151"/>
      <c r="U2" s="151"/>
    </row>
    <row r="3">
      <c r="A3" s="152"/>
      <c r="B3" s="152"/>
      <c r="C3" s="152"/>
      <c r="D3" s="150" t="s">
        <v>1070</v>
      </c>
      <c r="E3" s="150" t="s">
        <v>1071</v>
      </c>
      <c r="F3" s="150" t="s">
        <v>1072</v>
      </c>
      <c r="G3" s="150" t="s">
        <v>1073</v>
      </c>
      <c r="O3" s="152"/>
      <c r="P3" s="152"/>
      <c r="Q3" s="152"/>
      <c r="R3" s="150" t="s">
        <v>1074</v>
      </c>
      <c r="S3" s="150" t="s">
        <v>1075</v>
      </c>
      <c r="T3" s="150" t="s">
        <v>1076</v>
      </c>
      <c r="U3" s="150" t="s">
        <v>1077</v>
      </c>
    </row>
    <row r="4">
      <c r="A4" s="149"/>
      <c r="B4" s="149"/>
      <c r="C4" s="149"/>
      <c r="D4" s="149">
        <v>1.0</v>
      </c>
      <c r="E4" s="149">
        <v>2.0</v>
      </c>
      <c r="F4" s="149">
        <v>3.0</v>
      </c>
      <c r="G4" s="149">
        <v>4.0</v>
      </c>
      <c r="O4" s="149"/>
      <c r="P4" s="149"/>
      <c r="Q4" s="149"/>
      <c r="R4" s="149">
        <v>1.0</v>
      </c>
      <c r="S4" s="149">
        <v>2.0</v>
      </c>
      <c r="T4" s="149">
        <v>3.0</v>
      </c>
      <c r="U4" s="149">
        <v>4.0</v>
      </c>
    </row>
    <row r="5">
      <c r="A5" s="150" t="s">
        <v>1078</v>
      </c>
      <c r="B5" s="150">
        <f>Disinfection!$J$3/365</f>
        <v>0.06575342466</v>
      </c>
      <c r="C5" s="149">
        <f t="shared" ref="C5:C8" si="3">G36</f>
        <v>3.990606654</v>
      </c>
      <c r="D5" s="151">
        <f t="shared" ref="D5:G5" si="1">$C5*D$4</f>
        <v>3.990606654</v>
      </c>
      <c r="E5" s="151">
        <f t="shared" si="1"/>
        <v>7.981213307</v>
      </c>
      <c r="F5" s="151">
        <f t="shared" si="1"/>
        <v>11.97181996</v>
      </c>
      <c r="G5" s="151">
        <f t="shared" si="1"/>
        <v>15.96242661</v>
      </c>
      <c r="O5" s="150" t="s">
        <v>1078</v>
      </c>
      <c r="P5" s="150">
        <f>Disinfection!$J$3/365</f>
        <v>0.06575342466</v>
      </c>
      <c r="Q5" s="149" t="str">
        <f t="shared" ref="Q5:Q8" si="5">U36</f>
        <v/>
      </c>
      <c r="R5" s="151">
        <f t="shared" ref="R5:U5" si="2">$C5*R$4</f>
        <v>3.990606654</v>
      </c>
      <c r="S5" s="151">
        <f t="shared" si="2"/>
        <v>7.981213307</v>
      </c>
      <c r="T5" s="151">
        <f t="shared" si="2"/>
        <v>11.97181996</v>
      </c>
      <c r="U5" s="151">
        <f t="shared" si="2"/>
        <v>15.96242661</v>
      </c>
    </row>
    <row r="6">
      <c r="A6" s="150" t="s">
        <v>1079</v>
      </c>
      <c r="B6" s="150">
        <f>Disinfection!$J$3/52</f>
        <v>0.4615384615</v>
      </c>
      <c r="C6" s="149">
        <f t="shared" si="3"/>
        <v>3.934065934</v>
      </c>
      <c r="D6" s="151">
        <f t="shared" ref="D6:G6" si="4">$C6*D$4</f>
        <v>3.934065934</v>
      </c>
      <c r="E6" s="151">
        <f t="shared" si="4"/>
        <v>7.868131868</v>
      </c>
      <c r="F6" s="151">
        <f t="shared" si="4"/>
        <v>11.8021978</v>
      </c>
      <c r="G6" s="151">
        <f t="shared" si="4"/>
        <v>15.73626374</v>
      </c>
      <c r="O6" s="150" t="s">
        <v>1079</v>
      </c>
      <c r="P6" s="150">
        <f>Disinfection!$J$3/52</f>
        <v>0.4615384615</v>
      </c>
      <c r="Q6" s="149" t="str">
        <f t="shared" si="5"/>
        <v/>
      </c>
      <c r="R6" s="151">
        <f t="shared" ref="R6:U6" si="6">$C6*R$4</f>
        <v>3.934065934</v>
      </c>
      <c r="S6" s="151">
        <f t="shared" si="6"/>
        <v>7.868131868</v>
      </c>
      <c r="T6" s="151">
        <f t="shared" si="6"/>
        <v>11.8021978</v>
      </c>
      <c r="U6" s="151">
        <f t="shared" si="6"/>
        <v>15.73626374</v>
      </c>
    </row>
    <row r="7">
      <c r="A7" s="150" t="s">
        <v>1080</v>
      </c>
      <c r="B7" s="150">
        <f>Disinfection!$J$3/12</f>
        <v>2</v>
      </c>
      <c r="C7" s="149">
        <f t="shared" si="3"/>
        <v>3.714285714</v>
      </c>
      <c r="D7" s="151">
        <f t="shared" ref="D7:G7" si="7">$C7*D$4</f>
        <v>3.714285714</v>
      </c>
      <c r="E7" s="151">
        <f t="shared" si="7"/>
        <v>7.428571429</v>
      </c>
      <c r="F7" s="151">
        <f t="shared" si="7"/>
        <v>11.14285714</v>
      </c>
      <c r="G7" s="151">
        <f t="shared" si="7"/>
        <v>14.85714286</v>
      </c>
      <c r="I7" s="153"/>
      <c r="J7" s="154"/>
      <c r="K7" s="155"/>
      <c r="L7" s="155"/>
      <c r="M7" s="155"/>
      <c r="N7" s="155"/>
      <c r="O7" s="150" t="s">
        <v>1080</v>
      </c>
      <c r="P7" s="150">
        <f>Disinfection!$J$3/12</f>
        <v>2</v>
      </c>
      <c r="Q7" s="149" t="str">
        <f t="shared" si="5"/>
        <v/>
      </c>
      <c r="R7" s="151">
        <f t="shared" ref="R7:U7" si="8">$C7*R$4</f>
        <v>3.714285714</v>
      </c>
      <c r="S7" s="151">
        <f t="shared" si="8"/>
        <v>7.428571429</v>
      </c>
      <c r="T7" s="151">
        <f t="shared" si="8"/>
        <v>11.14285714</v>
      </c>
      <c r="U7" s="151">
        <f t="shared" si="8"/>
        <v>14.85714286</v>
      </c>
    </row>
    <row r="8">
      <c r="A8" s="150" t="s">
        <v>1081</v>
      </c>
      <c r="B8" s="150">
        <f>Disinfection!$J$3</f>
        <v>24</v>
      </c>
      <c r="C8" s="149">
        <f t="shared" si="3"/>
        <v>2.260869565</v>
      </c>
      <c r="D8" s="151">
        <f t="shared" ref="D8:G8" si="9">$C8*D$4</f>
        <v>2.260869565</v>
      </c>
      <c r="E8" s="151">
        <f t="shared" si="9"/>
        <v>4.52173913</v>
      </c>
      <c r="F8" s="151">
        <f t="shared" si="9"/>
        <v>6.782608696</v>
      </c>
      <c r="G8" s="151">
        <f t="shared" si="9"/>
        <v>9.043478261</v>
      </c>
      <c r="I8" s="156" t="s">
        <v>1082</v>
      </c>
      <c r="J8" s="153"/>
      <c r="K8" s="153"/>
      <c r="L8" s="153"/>
      <c r="M8" s="153"/>
      <c r="N8" s="155"/>
      <c r="O8" s="150" t="s">
        <v>1081</v>
      </c>
      <c r="P8" s="150">
        <f>Disinfection!$J$3</f>
        <v>24</v>
      </c>
      <c r="Q8" s="149" t="str">
        <f t="shared" si="5"/>
        <v/>
      </c>
      <c r="R8" s="151">
        <f t="shared" ref="R8:U8" si="10">$C8*R$4</f>
        <v>2.260869565</v>
      </c>
      <c r="S8" s="151">
        <f t="shared" si="10"/>
        <v>4.52173913</v>
      </c>
      <c r="T8" s="151">
        <f t="shared" si="10"/>
        <v>6.782608696</v>
      </c>
      <c r="U8" s="151">
        <f t="shared" si="10"/>
        <v>9.043478261</v>
      </c>
    </row>
    <row r="9">
      <c r="I9" s="157">
        <f>IF(AND('Design Specifications'!C29="y",'Design Specifications'!C32="y"),G5+E13,IF(AND('Design Specifications'!C29="y",OR('Design Specifications'!C32="",'Design Specifications'!C32="n")),G5,IF(AND(OR('Design Specifications'!C29="n",'Design Specifications'!C29=""),'Design Specifications'!C32="y"),E13,0)))</f>
        <v>23.95975616</v>
      </c>
      <c r="J9" s="155"/>
      <c r="K9" s="155"/>
      <c r="L9" s="155"/>
      <c r="M9" s="155"/>
      <c r="N9" s="155"/>
    </row>
    <row r="10">
      <c r="A10" s="149" t="s">
        <v>1067</v>
      </c>
      <c r="B10" s="149"/>
      <c r="C10" s="149"/>
      <c r="D10" s="150" t="s">
        <v>1083</v>
      </c>
      <c r="E10" s="151"/>
      <c r="F10" s="151"/>
      <c r="G10" s="151"/>
      <c r="I10" s="153"/>
      <c r="J10" s="155"/>
      <c r="K10" s="155"/>
      <c r="L10" s="155"/>
      <c r="M10" s="155"/>
      <c r="N10" s="155"/>
      <c r="O10" s="149" t="s">
        <v>1067</v>
      </c>
      <c r="P10" s="149"/>
      <c r="Q10" s="149"/>
      <c r="R10" s="150" t="s">
        <v>1083</v>
      </c>
      <c r="S10" s="151"/>
      <c r="T10" s="151"/>
      <c r="U10" s="151"/>
    </row>
    <row r="11">
      <c r="A11" s="152"/>
      <c r="B11" s="152"/>
      <c r="C11" s="152"/>
      <c r="D11" s="150" t="s">
        <v>1070</v>
      </c>
      <c r="E11" s="150" t="s">
        <v>1071</v>
      </c>
      <c r="F11" s="150" t="s">
        <v>1072</v>
      </c>
      <c r="G11" s="150" t="s">
        <v>1073</v>
      </c>
      <c r="I11" s="153"/>
      <c r="J11" s="158"/>
      <c r="K11" s="155"/>
      <c r="L11" s="155"/>
      <c r="M11" s="155"/>
      <c r="N11" s="155"/>
      <c r="O11" s="152"/>
      <c r="P11" s="152"/>
      <c r="Q11" s="152"/>
      <c r="R11" s="150" t="s">
        <v>1074</v>
      </c>
      <c r="S11" s="150" t="s">
        <v>1075</v>
      </c>
      <c r="T11" s="150" t="s">
        <v>1076</v>
      </c>
      <c r="U11" s="150" t="s">
        <v>1077</v>
      </c>
    </row>
    <row r="12">
      <c r="A12" s="149"/>
      <c r="B12" s="149"/>
      <c r="C12" s="149"/>
      <c r="D12" s="149">
        <v>1.0</v>
      </c>
      <c r="E12" s="149">
        <v>2.0</v>
      </c>
      <c r="F12" s="149">
        <v>3.0</v>
      </c>
      <c r="G12" s="149">
        <v>4.0</v>
      </c>
      <c r="I12" s="153"/>
      <c r="J12" s="155"/>
      <c r="K12" s="155"/>
      <c r="L12" s="155"/>
      <c r="M12" s="155"/>
      <c r="N12" s="155"/>
      <c r="O12" s="149"/>
      <c r="P12" s="149"/>
      <c r="Q12" s="149"/>
      <c r="R12" s="149">
        <v>1.0</v>
      </c>
      <c r="S12" s="149">
        <v>2.0</v>
      </c>
      <c r="T12" s="149">
        <v>3.0</v>
      </c>
      <c r="U12" s="149">
        <v>4.0</v>
      </c>
    </row>
    <row r="13">
      <c r="A13" s="150" t="s">
        <v>1078</v>
      </c>
      <c r="B13" s="150">
        <f>Power!$W$2/365</f>
        <v>0.009346578633</v>
      </c>
      <c r="C13" s="149">
        <f t="shared" ref="C13:C16" si="13">G41</f>
        <v>3.998664774</v>
      </c>
      <c r="D13" s="151">
        <f t="shared" ref="D13:G13" si="11">$C13*D$12</f>
        <v>3.998664774</v>
      </c>
      <c r="E13" s="151">
        <f t="shared" si="11"/>
        <v>7.997329549</v>
      </c>
      <c r="F13" s="151">
        <f t="shared" si="11"/>
        <v>11.99599432</v>
      </c>
      <c r="G13" s="151">
        <f t="shared" si="11"/>
        <v>15.9946591</v>
      </c>
      <c r="I13" s="153"/>
      <c r="J13" s="155"/>
      <c r="K13" s="155"/>
      <c r="L13" s="155"/>
      <c r="M13" s="155"/>
      <c r="N13" s="155"/>
      <c r="O13" s="150" t="s">
        <v>1078</v>
      </c>
      <c r="P13" s="150">
        <f>Power!$W$2/365</f>
        <v>0.009346578633</v>
      </c>
      <c r="Q13" s="149" t="str">
        <f t="shared" ref="Q13:Q16" si="15">U41</f>
        <v/>
      </c>
      <c r="R13" s="151">
        <f t="shared" ref="R13:U13" si="12">$C13*R$12</f>
        <v>3.998664774</v>
      </c>
      <c r="S13" s="151">
        <f t="shared" si="12"/>
        <v>7.997329549</v>
      </c>
      <c r="T13" s="151">
        <f t="shared" si="12"/>
        <v>11.99599432</v>
      </c>
      <c r="U13" s="151">
        <f t="shared" si="12"/>
        <v>15.9946591</v>
      </c>
    </row>
    <row r="14">
      <c r="A14" s="150" t="s">
        <v>1079</v>
      </c>
      <c r="B14" s="150">
        <f>Power!$W$2/52</f>
        <v>0.06560579233</v>
      </c>
      <c r="C14" s="149">
        <f t="shared" si="13"/>
        <v>3.990627744</v>
      </c>
      <c r="D14" s="151">
        <f t="shared" ref="D14:G14" si="14">$C14*D$12</f>
        <v>3.990627744</v>
      </c>
      <c r="E14" s="151">
        <f t="shared" si="14"/>
        <v>7.981255488</v>
      </c>
      <c r="F14" s="151">
        <f t="shared" si="14"/>
        <v>11.97188323</v>
      </c>
      <c r="G14" s="151">
        <f t="shared" si="14"/>
        <v>15.96251098</v>
      </c>
      <c r="I14" s="155"/>
      <c r="J14" s="155"/>
      <c r="K14" s="155"/>
      <c r="L14" s="155"/>
      <c r="M14" s="155"/>
      <c r="N14" s="155"/>
      <c r="O14" s="150" t="s">
        <v>1079</v>
      </c>
      <c r="P14" s="150">
        <f>Power!$W$2/52</f>
        <v>0.06560579233</v>
      </c>
      <c r="Q14" s="149" t="str">
        <f t="shared" si="15"/>
        <v/>
      </c>
      <c r="R14" s="151">
        <f t="shared" ref="R14:U14" si="16">$C14*R$12</f>
        <v>3.990627744</v>
      </c>
      <c r="S14" s="151">
        <f t="shared" si="16"/>
        <v>7.981255488</v>
      </c>
      <c r="T14" s="151">
        <f t="shared" si="16"/>
        <v>11.97188323</v>
      </c>
      <c r="U14" s="151">
        <f t="shared" si="16"/>
        <v>15.96251098</v>
      </c>
    </row>
    <row r="15">
      <c r="A15" s="150" t="s">
        <v>1080</v>
      </c>
      <c r="B15" s="150">
        <f>Power!$W$2/12</f>
        <v>0.2842917668</v>
      </c>
      <c r="C15" s="149">
        <f t="shared" si="13"/>
        <v>3.95938689</v>
      </c>
      <c r="D15" s="151">
        <f t="shared" ref="D15:G15" si="17">$C15*D$12</f>
        <v>3.95938689</v>
      </c>
      <c r="E15" s="151">
        <f t="shared" si="17"/>
        <v>7.918773781</v>
      </c>
      <c r="F15" s="151">
        <f t="shared" si="17"/>
        <v>11.87816067</v>
      </c>
      <c r="G15" s="151">
        <f t="shared" si="17"/>
        <v>15.83754756</v>
      </c>
      <c r="I15" s="153"/>
      <c r="J15" s="155"/>
      <c r="K15" s="155"/>
      <c r="L15" s="155"/>
      <c r="M15" s="155"/>
      <c r="N15" s="155"/>
      <c r="O15" s="150" t="s">
        <v>1080</v>
      </c>
      <c r="P15" s="150">
        <f>Power!$W$2/12</f>
        <v>0.2842917668</v>
      </c>
      <c r="Q15" s="149" t="str">
        <f t="shared" si="15"/>
        <v/>
      </c>
      <c r="R15" s="151">
        <f t="shared" ref="R15:U15" si="18">$C15*R$12</f>
        <v>3.95938689</v>
      </c>
      <c r="S15" s="151">
        <f t="shared" si="18"/>
        <v>7.918773781</v>
      </c>
      <c r="T15" s="151">
        <f t="shared" si="18"/>
        <v>11.87816067</v>
      </c>
      <c r="U15" s="151">
        <f t="shared" si="18"/>
        <v>15.83754756</v>
      </c>
    </row>
    <row r="16">
      <c r="A16" s="150" t="s">
        <v>1081</v>
      </c>
      <c r="B16" s="150">
        <f>Power!$W$2</f>
        <v>3.411501201</v>
      </c>
      <c r="C16" s="149">
        <f t="shared" si="13"/>
        <v>3.512642686</v>
      </c>
      <c r="D16" s="151">
        <f t="shared" ref="D16:G16" si="19">$C16*D$12</f>
        <v>3.512642686</v>
      </c>
      <c r="E16" s="151">
        <f t="shared" si="19"/>
        <v>7.025285371</v>
      </c>
      <c r="F16" s="151">
        <f t="shared" si="19"/>
        <v>10.53792806</v>
      </c>
      <c r="G16" s="151">
        <f t="shared" si="19"/>
        <v>14.05057074</v>
      </c>
      <c r="I16" s="155"/>
      <c r="J16" s="155"/>
      <c r="K16" s="155"/>
      <c r="L16" s="155"/>
      <c r="M16" s="155"/>
      <c r="N16" s="155"/>
      <c r="O16" s="150" t="s">
        <v>1081</v>
      </c>
      <c r="P16" s="150">
        <f>Power!$W$2</f>
        <v>3.411501201</v>
      </c>
      <c r="Q16" s="149" t="str">
        <f t="shared" si="15"/>
        <v/>
      </c>
      <c r="R16" s="151">
        <f t="shared" ref="R16:U16" si="20">$C16*R$12</f>
        <v>3.512642686</v>
      </c>
      <c r="S16" s="151">
        <f t="shared" si="20"/>
        <v>7.025285371</v>
      </c>
      <c r="T16" s="151">
        <f t="shared" si="20"/>
        <v>10.53792806</v>
      </c>
      <c r="U16" s="151">
        <f t="shared" si="20"/>
        <v>14.05057074</v>
      </c>
    </row>
    <row r="17">
      <c r="I17" s="155"/>
      <c r="J17" s="155"/>
      <c r="K17" s="159" t="s">
        <v>1084</v>
      </c>
      <c r="L17" s="155"/>
      <c r="M17" s="155"/>
      <c r="N17" s="155"/>
      <c r="O17" s="160"/>
      <c r="P17" s="161"/>
      <c r="Q17" s="161"/>
      <c r="R17" s="161"/>
      <c r="S17" s="161"/>
    </row>
    <row r="18">
      <c r="I18" s="155"/>
      <c r="J18" s="155"/>
      <c r="K18" s="162">
        <f>I9+I27</f>
        <v>47.92757045</v>
      </c>
      <c r="L18" s="155"/>
      <c r="M18" s="155"/>
      <c r="N18" s="155"/>
      <c r="O18" s="160"/>
      <c r="P18" s="160"/>
      <c r="Q18" s="160"/>
      <c r="R18" s="160"/>
      <c r="S18" s="160"/>
    </row>
    <row r="19">
      <c r="I19" s="155"/>
      <c r="J19" s="155"/>
      <c r="K19" s="155"/>
      <c r="L19" s="155"/>
      <c r="M19" s="155"/>
      <c r="N19" s="155"/>
      <c r="O19" s="160"/>
      <c r="P19" s="160"/>
      <c r="Q19" s="160"/>
      <c r="R19" s="160"/>
      <c r="S19" s="160"/>
    </row>
    <row r="20">
      <c r="A20" s="163" t="s">
        <v>1085</v>
      </c>
      <c r="B20" s="163"/>
      <c r="C20" s="163"/>
      <c r="D20" s="164" t="s">
        <v>1068</v>
      </c>
      <c r="E20" s="165"/>
      <c r="F20" s="165"/>
      <c r="G20" s="165"/>
      <c r="I20" s="155"/>
      <c r="J20" s="155"/>
      <c r="K20" s="155"/>
      <c r="L20" s="155"/>
      <c r="M20" s="155"/>
      <c r="N20" s="155"/>
      <c r="O20" s="160"/>
      <c r="P20" s="160"/>
      <c r="Q20" s="160"/>
      <c r="R20" s="160"/>
      <c r="S20" s="160"/>
    </row>
    <row r="21">
      <c r="A21" s="166"/>
      <c r="B21" s="166"/>
      <c r="C21" s="166"/>
      <c r="D21" s="164" t="s">
        <v>1070</v>
      </c>
      <c r="E21" s="164" t="s">
        <v>1071</v>
      </c>
      <c r="F21" s="164" t="s">
        <v>1072</v>
      </c>
      <c r="G21" s="164" t="s">
        <v>1073</v>
      </c>
      <c r="I21" s="155"/>
      <c r="J21" s="155"/>
      <c r="K21" s="155"/>
      <c r="L21" s="155"/>
      <c r="M21" s="155"/>
      <c r="N21" s="155"/>
      <c r="O21" s="160"/>
      <c r="P21" s="160"/>
      <c r="Q21" s="160"/>
      <c r="R21" s="160"/>
      <c r="S21" s="160"/>
    </row>
    <row r="22">
      <c r="A22" s="163"/>
      <c r="B22" s="163"/>
      <c r="C22" s="163"/>
      <c r="D22" s="163">
        <v>1.0</v>
      </c>
      <c r="E22" s="163">
        <v>2.0</v>
      </c>
      <c r="F22" s="163">
        <v>3.0</v>
      </c>
      <c r="G22" s="163">
        <v>4.0</v>
      </c>
      <c r="I22" s="155"/>
      <c r="J22" s="155"/>
      <c r="K22" s="155"/>
      <c r="L22" s="155"/>
      <c r="M22" s="155"/>
      <c r="N22" s="155"/>
      <c r="O22" s="155"/>
      <c r="P22" s="155"/>
      <c r="Q22" s="155"/>
      <c r="R22" s="155"/>
      <c r="S22" s="155"/>
    </row>
    <row r="23">
      <c r="A23" s="164" t="s">
        <v>1078</v>
      </c>
      <c r="B23" s="164">
        <f>Disinfection!$J$3/365</f>
        <v>0.06575342466</v>
      </c>
      <c r="C23" s="163">
        <f t="shared" ref="C23:C26" si="22">C5</f>
        <v>3.990606654</v>
      </c>
      <c r="D23" s="165">
        <f t="shared" ref="D23:G23" si="21">$C23*D$22</f>
        <v>3.990606654</v>
      </c>
      <c r="E23" s="165">
        <f t="shared" si="21"/>
        <v>7.981213307</v>
      </c>
      <c r="F23" s="165">
        <f t="shared" si="21"/>
        <v>11.97181996</v>
      </c>
      <c r="G23" s="165">
        <f t="shared" si="21"/>
        <v>15.96242661</v>
      </c>
      <c r="I23" s="155"/>
      <c r="J23" s="155"/>
      <c r="K23" s="155"/>
      <c r="L23" s="155"/>
      <c r="M23" s="155"/>
      <c r="N23" s="155"/>
    </row>
    <row r="24">
      <c r="A24" s="164" t="s">
        <v>1079</v>
      </c>
      <c r="B24" s="164">
        <f>Disinfection!$J$3/52</f>
        <v>0.4615384615</v>
      </c>
      <c r="C24" s="163">
        <f t="shared" si="22"/>
        <v>3.934065934</v>
      </c>
      <c r="D24" s="165">
        <f t="shared" ref="D24:G24" si="23">$C24*D$22</f>
        <v>3.934065934</v>
      </c>
      <c r="E24" s="165">
        <f t="shared" si="23"/>
        <v>7.868131868</v>
      </c>
      <c r="F24" s="165">
        <f t="shared" si="23"/>
        <v>11.8021978</v>
      </c>
      <c r="G24" s="165">
        <f t="shared" si="23"/>
        <v>15.73626374</v>
      </c>
      <c r="I24" s="155"/>
      <c r="J24" s="155"/>
      <c r="K24" s="155"/>
      <c r="L24" s="155"/>
      <c r="M24" s="155"/>
      <c r="N24" s="155"/>
    </row>
    <row r="25">
      <c r="A25" s="164" t="s">
        <v>1080</v>
      </c>
      <c r="B25" s="164">
        <f>Disinfection!$J$3/12</f>
        <v>2</v>
      </c>
      <c r="C25" s="163">
        <f t="shared" si="22"/>
        <v>3.714285714</v>
      </c>
      <c r="D25" s="165">
        <f t="shared" ref="D25:G25" si="24">$C25*D$22</f>
        <v>3.714285714</v>
      </c>
      <c r="E25" s="165">
        <f t="shared" si="24"/>
        <v>7.428571429</v>
      </c>
      <c r="F25" s="165">
        <f t="shared" si="24"/>
        <v>11.14285714</v>
      </c>
      <c r="G25" s="165">
        <f t="shared" si="24"/>
        <v>14.85714286</v>
      </c>
      <c r="I25" s="153"/>
      <c r="J25" s="153"/>
      <c r="K25" s="155"/>
      <c r="L25" s="155"/>
      <c r="M25" s="155"/>
      <c r="N25" s="155"/>
    </row>
    <row r="26">
      <c r="A26" s="164" t="s">
        <v>1081</v>
      </c>
      <c r="B26" s="164">
        <f>Disinfection!$J$3</f>
        <v>24</v>
      </c>
      <c r="C26" s="163">
        <f t="shared" si="22"/>
        <v>2.260869565</v>
      </c>
      <c r="D26" s="165">
        <f t="shared" ref="D26:G26" si="25">$C26*D$22</f>
        <v>2.260869565</v>
      </c>
      <c r="E26" s="165">
        <f t="shared" si="25"/>
        <v>4.52173913</v>
      </c>
      <c r="F26" s="165">
        <f t="shared" si="25"/>
        <v>6.782608696</v>
      </c>
      <c r="G26" s="165">
        <f t="shared" si="25"/>
        <v>9.043478261</v>
      </c>
      <c r="I26" s="167" t="s">
        <v>1086</v>
      </c>
      <c r="J26" s="153"/>
      <c r="K26" s="153"/>
      <c r="L26" s="153"/>
      <c r="M26" s="153"/>
      <c r="N26" s="155"/>
    </row>
    <row r="27">
      <c r="I27" s="168">
        <f>IF(AND('Design Specifications'!C29="y",'Design Specifications'!C32="y"),F23+F31,IF(AND('Design Specifications'!C29="y",OR('Design Specifications'!C32="",'Design Specifications'!C32="n")),F23,IF(AND(OR('Design Specifications'!C29="n",'Design Specifications'!C29=""),'Design Specifications'!C32="y"),F31,0)))</f>
        <v>23.96781428</v>
      </c>
      <c r="J27" s="155"/>
      <c r="K27" s="155"/>
      <c r="L27" s="155"/>
      <c r="M27" s="155"/>
      <c r="N27" s="155"/>
    </row>
    <row r="28">
      <c r="A28" s="163" t="s">
        <v>1085</v>
      </c>
      <c r="B28" s="163"/>
      <c r="C28" s="163"/>
      <c r="D28" s="164" t="s">
        <v>1083</v>
      </c>
      <c r="E28" s="165"/>
      <c r="F28" s="165"/>
      <c r="G28" s="165"/>
      <c r="I28" s="153"/>
      <c r="J28" s="155"/>
      <c r="K28" s="155"/>
      <c r="L28" s="155"/>
      <c r="M28" s="155"/>
      <c r="N28" s="155"/>
    </row>
    <row r="29">
      <c r="A29" s="166"/>
      <c r="B29" s="166"/>
      <c r="C29" s="166"/>
      <c r="D29" s="164" t="s">
        <v>1070</v>
      </c>
      <c r="E29" s="164" t="s">
        <v>1071</v>
      </c>
      <c r="F29" s="164" t="s">
        <v>1072</v>
      </c>
      <c r="G29" s="164" t="s">
        <v>1073</v>
      </c>
      <c r="I29" s="153"/>
      <c r="J29" s="155"/>
      <c r="K29" s="155"/>
      <c r="L29" s="155"/>
      <c r="M29" s="155"/>
      <c r="N29" s="155"/>
    </row>
    <row r="30">
      <c r="A30" s="163"/>
      <c r="B30" s="163"/>
      <c r="C30" s="163"/>
      <c r="D30" s="163">
        <v>1.0</v>
      </c>
      <c r="E30" s="163">
        <v>2.0</v>
      </c>
      <c r="F30" s="163">
        <v>3.0</v>
      </c>
      <c r="G30" s="163">
        <v>4.0</v>
      </c>
      <c r="I30" s="153"/>
      <c r="J30" s="155"/>
      <c r="K30" s="155"/>
      <c r="L30" s="155"/>
      <c r="M30" s="155"/>
      <c r="N30" s="155"/>
    </row>
    <row r="31">
      <c r="A31" s="164" t="s">
        <v>1078</v>
      </c>
      <c r="B31" s="164">
        <f>Power!$W$2/365</f>
        <v>0.009346578633</v>
      </c>
      <c r="C31" s="163">
        <f t="shared" ref="C31:C34" si="27">C13</f>
        <v>3.998664774</v>
      </c>
      <c r="D31" s="165">
        <f t="shared" ref="D31:G31" si="26">$C31*D$30</f>
        <v>3.998664774</v>
      </c>
      <c r="E31" s="165">
        <f t="shared" si="26"/>
        <v>7.997329549</v>
      </c>
      <c r="F31" s="165">
        <f t="shared" si="26"/>
        <v>11.99599432</v>
      </c>
      <c r="G31" s="165">
        <f t="shared" si="26"/>
        <v>15.9946591</v>
      </c>
      <c r="I31" s="153"/>
      <c r="J31" s="155"/>
      <c r="K31" s="155"/>
      <c r="L31" s="155"/>
      <c r="M31" s="155"/>
      <c r="N31" s="155"/>
    </row>
    <row r="32">
      <c r="A32" s="164" t="s">
        <v>1079</v>
      </c>
      <c r="B32" s="164">
        <f>Power!$W$2/52</f>
        <v>0.06560579233</v>
      </c>
      <c r="C32" s="163">
        <f t="shared" si="27"/>
        <v>3.990627744</v>
      </c>
      <c r="D32" s="165">
        <f t="shared" ref="D32:G32" si="28">$C32*D$30</f>
        <v>3.990627744</v>
      </c>
      <c r="E32" s="165">
        <f t="shared" si="28"/>
        <v>7.981255488</v>
      </c>
      <c r="F32" s="165">
        <f t="shared" si="28"/>
        <v>11.97188323</v>
      </c>
      <c r="G32" s="165">
        <f t="shared" si="28"/>
        <v>15.96251098</v>
      </c>
    </row>
    <row r="33">
      <c r="A33" s="164" t="s">
        <v>1080</v>
      </c>
      <c r="B33" s="164">
        <f>Power!$W$2/12</f>
        <v>0.2842917668</v>
      </c>
      <c r="C33" s="163">
        <f t="shared" si="27"/>
        <v>3.95938689</v>
      </c>
      <c r="D33" s="165">
        <f t="shared" ref="D33:G33" si="29">$C33*D$30</f>
        <v>3.95938689</v>
      </c>
      <c r="E33" s="165">
        <f t="shared" si="29"/>
        <v>7.918773781</v>
      </c>
      <c r="F33" s="165">
        <f t="shared" si="29"/>
        <v>11.87816067</v>
      </c>
      <c r="G33" s="165">
        <f t="shared" si="29"/>
        <v>15.83754756</v>
      </c>
    </row>
    <row r="34">
      <c r="A34" s="164" t="s">
        <v>1081</v>
      </c>
      <c r="B34" s="164">
        <f>Power!$W$2</f>
        <v>3.411501201</v>
      </c>
      <c r="C34" s="163">
        <f t="shared" si="27"/>
        <v>3.512642686</v>
      </c>
      <c r="D34" s="165">
        <f t="shared" ref="D34:G34" si="30">$C34*D$30</f>
        <v>3.512642686</v>
      </c>
      <c r="E34" s="165">
        <f t="shared" si="30"/>
        <v>7.025285371</v>
      </c>
      <c r="F34" s="165">
        <f t="shared" si="30"/>
        <v>10.53792806</v>
      </c>
      <c r="G34" s="165">
        <f t="shared" si="30"/>
        <v>14.05057074</v>
      </c>
    </row>
    <row r="36">
      <c r="A36" s="169" t="s">
        <v>1087</v>
      </c>
      <c r="B36" s="170"/>
      <c r="C36" s="170" t="s">
        <v>1088</v>
      </c>
      <c r="D36" s="171" t="s">
        <v>1089</v>
      </c>
      <c r="E36" s="170">
        <f t="shared" ref="E36:E39" si="31">B5</f>
        <v>0.06575342466</v>
      </c>
      <c r="F36" s="170" t="s">
        <v>1090</v>
      </c>
      <c r="G36" s="172">
        <f t="shared" ref="G36:G39" si="32">IF(AND(E36&gt;=0,E36&lt;=7),(-1/7)*E36+4,IF(AND(E36&gt;7,E36&lt;=30),(-1/23)*E36+(3+(7/23)),IF(AND(E36&gt;30,E36&lt;=365),(-1/330)*E36+(2+(30/330)))))</f>
        <v>3.990606654</v>
      </c>
    </row>
    <row r="37">
      <c r="A37" s="169" t="s">
        <v>1087</v>
      </c>
      <c r="B37" s="170"/>
      <c r="C37" s="170" t="s">
        <v>1091</v>
      </c>
      <c r="D37" s="171" t="s">
        <v>1089</v>
      </c>
      <c r="E37" s="170">
        <f t="shared" si="31"/>
        <v>0.4615384615</v>
      </c>
      <c r="F37" s="170" t="s">
        <v>1090</v>
      </c>
      <c r="G37" s="172">
        <f t="shared" si="32"/>
        <v>3.934065934</v>
      </c>
    </row>
    <row r="38">
      <c r="A38" s="169" t="s">
        <v>1087</v>
      </c>
      <c r="B38" s="170"/>
      <c r="C38" s="170" t="s">
        <v>1092</v>
      </c>
      <c r="D38" s="171" t="s">
        <v>1089</v>
      </c>
      <c r="E38" s="170">
        <f t="shared" si="31"/>
        <v>2</v>
      </c>
      <c r="F38" s="170" t="s">
        <v>1090</v>
      </c>
      <c r="G38" s="172">
        <f t="shared" si="32"/>
        <v>3.714285714</v>
      </c>
    </row>
    <row r="39">
      <c r="A39" s="169" t="s">
        <v>1087</v>
      </c>
      <c r="B39" s="170"/>
      <c r="C39" s="170" t="s">
        <v>1093</v>
      </c>
      <c r="D39" s="171" t="s">
        <v>1089</v>
      </c>
      <c r="E39" s="170">
        <f t="shared" si="31"/>
        <v>24</v>
      </c>
      <c r="F39" s="170" t="s">
        <v>1090</v>
      </c>
      <c r="G39" s="172">
        <f t="shared" si="32"/>
        <v>2.260869565</v>
      </c>
    </row>
    <row r="41">
      <c r="A41" s="169" t="s">
        <v>1087</v>
      </c>
      <c r="B41" s="170"/>
      <c r="C41" s="170" t="s">
        <v>1094</v>
      </c>
      <c r="D41" s="171" t="s">
        <v>1089</v>
      </c>
      <c r="E41" s="170">
        <f t="shared" ref="E41:E44" si="33">B13</f>
        <v>0.009346578633</v>
      </c>
      <c r="F41" s="170" t="s">
        <v>1090</v>
      </c>
      <c r="G41" s="172">
        <f t="shared" ref="G41:G44" si="34">IF(AND(E41&gt;=0,E41&lt;=7),(-1/7)*E41+4,IF(AND(E41&gt;7,E41&lt;=30),(-1/23)*E41+(3+(7/23)),IF(AND(E41&gt;30,E41&lt;=365),(-1/330)*E41+(2+(30/330)))))</f>
        <v>3.998664774</v>
      </c>
    </row>
    <row r="42">
      <c r="A42" s="169" t="s">
        <v>1087</v>
      </c>
      <c r="B42" s="170"/>
      <c r="C42" s="170" t="s">
        <v>1095</v>
      </c>
      <c r="D42" s="171" t="s">
        <v>1089</v>
      </c>
      <c r="E42" s="170">
        <f t="shared" si="33"/>
        <v>0.06560579233</v>
      </c>
      <c r="F42" s="170" t="s">
        <v>1090</v>
      </c>
      <c r="G42" s="172">
        <f t="shared" si="34"/>
        <v>3.990627744</v>
      </c>
    </row>
    <row r="43">
      <c r="A43" s="169" t="s">
        <v>1087</v>
      </c>
      <c r="B43" s="170"/>
      <c r="C43" s="170" t="s">
        <v>1096</v>
      </c>
      <c r="D43" s="171" t="s">
        <v>1089</v>
      </c>
      <c r="E43" s="170">
        <f t="shared" si="33"/>
        <v>0.2842917668</v>
      </c>
      <c r="F43" s="170" t="s">
        <v>1090</v>
      </c>
      <c r="G43" s="172">
        <f t="shared" si="34"/>
        <v>3.95938689</v>
      </c>
    </row>
    <row r="44">
      <c r="A44" s="169" t="s">
        <v>1087</v>
      </c>
      <c r="B44" s="170"/>
      <c r="C44" s="170" t="s">
        <v>1097</v>
      </c>
      <c r="D44" s="171" t="s">
        <v>1089</v>
      </c>
      <c r="E44" s="170">
        <f t="shared" si="33"/>
        <v>3.411501201</v>
      </c>
      <c r="F44" s="170" t="s">
        <v>1090</v>
      </c>
      <c r="G44" s="172">
        <f t="shared" si="34"/>
        <v>3.512642686</v>
      </c>
    </row>
    <row r="45">
      <c r="A45" s="173"/>
      <c r="B45" s="15"/>
      <c r="C45" s="15"/>
      <c r="D45" s="174"/>
      <c r="E45" s="15"/>
      <c r="F45" s="15"/>
      <c r="G45" s="15"/>
    </row>
    <row r="46">
      <c r="A46" s="173"/>
      <c r="B46" s="15"/>
      <c r="C46" s="15"/>
      <c r="D46" s="174"/>
      <c r="E46" s="15"/>
      <c r="F46" s="15"/>
      <c r="G46" s="15"/>
    </row>
    <row r="47">
      <c r="A47" s="173"/>
      <c r="B47" s="15"/>
      <c r="C47" s="15"/>
      <c r="D47" s="174"/>
      <c r="E47" s="15"/>
      <c r="F47" s="15"/>
      <c r="G47" s="1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38.0"/>
    <col customWidth="1" min="2" max="2" width="10.86"/>
    <col customWidth="1" min="3" max="3" width="14.71"/>
    <col customWidth="1" min="4" max="4" width="13.0"/>
    <col customWidth="1" min="5" max="5" width="20.43"/>
    <col customWidth="1" min="6" max="8" width="8.71"/>
    <col customWidth="1" min="9" max="9" width="28.86"/>
    <col customWidth="1" min="10" max="11" width="8.71"/>
    <col customWidth="1" min="12" max="12" width="22.29"/>
    <col customWidth="1" min="13" max="13" width="23.14"/>
    <col customWidth="1" min="14" max="14" width="22.57"/>
    <col customWidth="1" min="15" max="15" width="8.71"/>
    <col customWidth="1" min="16" max="16" width="18.71"/>
    <col customWidth="1" min="17" max="29" width="8.71"/>
  </cols>
  <sheetData>
    <row r="1">
      <c r="A1" s="20" t="s">
        <v>62</v>
      </c>
      <c r="B1" s="20" t="s">
        <v>63</v>
      </c>
      <c r="C1" s="20" t="s">
        <v>64</v>
      </c>
      <c r="D1" s="20" t="s">
        <v>65</v>
      </c>
      <c r="E1" s="21" t="s">
        <v>66</v>
      </c>
      <c r="F1" s="20" t="s">
        <v>67</v>
      </c>
      <c r="G1" s="20" t="s">
        <v>68</v>
      </c>
      <c r="I1" s="22" t="s">
        <v>69</v>
      </c>
      <c r="L1" s="22" t="s">
        <v>70</v>
      </c>
      <c r="M1" s="22" t="s">
        <v>71</v>
      </c>
      <c r="N1" s="22" t="s">
        <v>72</v>
      </c>
      <c r="P1" s="15" t="s">
        <v>73</v>
      </c>
      <c r="S1" s="23" t="s">
        <v>74</v>
      </c>
      <c r="U1" s="24"/>
      <c r="V1" s="25" t="s">
        <v>75</v>
      </c>
      <c r="X1" s="24"/>
      <c r="Y1" s="25" t="s">
        <v>76</v>
      </c>
    </row>
    <row r="2">
      <c r="A2" s="26" t="s">
        <v>77</v>
      </c>
      <c r="B2" s="27">
        <f>'Design Specifications'!B1
</f>
        <v>600</v>
      </c>
      <c r="C2" s="27" t="s">
        <v>78</v>
      </c>
      <c r="D2" s="28">
        <f>(1/2)*(1-COS((B2-F2)/(G2-F2)*PI()))</f>
        <v>1</v>
      </c>
      <c r="E2" s="28">
        <v>0.2</v>
      </c>
      <c r="F2" s="27">
        <v>135.0</v>
      </c>
      <c r="G2" s="29">
        <v>600.0</v>
      </c>
      <c r="I2" s="15" t="s">
        <v>79</v>
      </c>
      <c r="J2">
        <f>'Catchment Area'!M7
</f>
        <v>12775</v>
      </c>
      <c r="L2" s="15" t="s">
        <v>80</v>
      </c>
      <c r="M2">
        <f>Pumps!L2
</f>
        <v>1</v>
      </c>
      <c r="N2">
        <f t="shared" ref="N2:N5" si="1">M2/5</f>
        <v>0.2</v>
      </c>
      <c r="S2" s="24" t="str">
        <f>IF(AND('Catchment Area'!$E17&lt;&gt;0,Power!$U15&lt;&gt;0),1,"")</f>
        <v/>
      </c>
      <c r="T2" s="30">
        <f>SUM(S2:S366)</f>
        <v>0</v>
      </c>
      <c r="U2" s="24"/>
      <c r="V2" s="24" t="str">
        <f>IF(AND('Catchment Area'!$X17&lt;&gt;0,Power!$U15&lt;&gt;0),1,"")</f>
        <v/>
      </c>
      <c r="W2" s="30">
        <f>SUM(V2:V366)</f>
        <v>0</v>
      </c>
      <c r="X2" s="24"/>
      <c r="Y2" s="30">
        <f>AVERAGE(T2,W2)</f>
        <v>0</v>
      </c>
      <c r="Z2" s="24"/>
    </row>
    <row r="3" ht="29.25" customHeight="1">
      <c r="A3" s="31" t="s">
        <v>81</v>
      </c>
      <c r="B3" s="32">
        <v>0.451</v>
      </c>
      <c r="C3" s="33" t="s">
        <v>82</v>
      </c>
      <c r="D3" s="34">
        <f t="shared" ref="D3:D6" si="2">(1/2)*(1+COS((B3-F3)/(G3-F3)*PI()))</f>
        <v>0.9035832116</v>
      </c>
      <c r="E3" s="34">
        <v>0.25</v>
      </c>
      <c r="F3" s="34">
        <v>0.25</v>
      </c>
      <c r="G3" s="35">
        <v>1.25</v>
      </c>
      <c r="I3" s="15" t="s">
        <v>83</v>
      </c>
      <c r="J3">
        <f>Filters!G16
</f>
        <v>6975</v>
      </c>
      <c r="L3" s="15" t="s">
        <v>83</v>
      </c>
      <c r="M3">
        <f>Filters!C18
</f>
        <v>108</v>
      </c>
      <c r="N3">
        <f t="shared" si="1"/>
        <v>21.6</v>
      </c>
      <c r="S3" s="24" t="str">
        <f>IF(AND('Catchment Area'!$E18&lt;&gt;0,Power!$U16&lt;&gt;0),1,"")</f>
        <v/>
      </c>
      <c r="T3" s="24"/>
      <c r="U3" s="24"/>
      <c r="V3" s="24" t="str">
        <f>IF(AND('Catchment Area'!$X18&lt;&gt;0,Power!$U16&lt;&gt;0),1,"")</f>
        <v/>
      </c>
      <c r="W3" s="24"/>
      <c r="X3" s="24"/>
      <c r="Y3" s="24"/>
      <c r="Z3" s="24"/>
    </row>
    <row r="4">
      <c r="A4" s="31" t="s">
        <v>84</v>
      </c>
      <c r="B4" s="36">
        <f>'Risk Matrices'!K18
</f>
        <v>47.92757045</v>
      </c>
      <c r="C4" s="37" t="s">
        <v>85</v>
      </c>
      <c r="D4" s="34">
        <f t="shared" si="2"/>
        <v>0.3005026129</v>
      </c>
      <c r="E4" s="34">
        <v>0.1</v>
      </c>
      <c r="F4" s="37">
        <v>0.0</v>
      </c>
      <c r="G4" s="38">
        <v>35.0</v>
      </c>
      <c r="I4" s="15" t="s">
        <v>40</v>
      </c>
      <c r="J4">
        <f>Disinfection!R2
</f>
        <v>3100</v>
      </c>
      <c r="L4" s="15" t="s">
        <v>40</v>
      </c>
      <c r="M4">
        <f>Disinfection!R3
</f>
        <v>120</v>
      </c>
      <c r="N4">
        <f t="shared" si="1"/>
        <v>24</v>
      </c>
      <c r="S4" s="30" t="str">
        <f>IF(AND('Catchment Area'!$E19&lt;&gt;0,Power!$U17&lt;&gt;0),1,"")</f>
        <v/>
      </c>
      <c r="T4" s="24"/>
      <c r="U4" s="24"/>
      <c r="V4" s="30" t="str">
        <f>IF(AND('Catchment Area'!$X19&lt;&gt;0,Power!$U17&lt;&gt;0),1,"")</f>
        <v/>
      </c>
      <c r="W4" s="24"/>
      <c r="X4" s="24"/>
      <c r="Y4" s="24"/>
      <c r="Z4" s="24"/>
    </row>
    <row r="5">
      <c r="A5" s="31" t="s">
        <v>86</v>
      </c>
      <c r="B5" s="34">
        <f>'GHG Emissions'!B16
</f>
        <v>0.6623034848</v>
      </c>
      <c r="C5" s="33" t="s">
        <v>82</v>
      </c>
      <c r="D5" s="34">
        <f t="shared" si="2"/>
        <v>0.3788842392</v>
      </c>
      <c r="E5" s="34">
        <v>0.1</v>
      </c>
      <c r="F5" s="34">
        <v>0.2</v>
      </c>
      <c r="G5" s="35">
        <v>1.0</v>
      </c>
      <c r="I5" s="15" t="s">
        <v>87</v>
      </c>
      <c r="J5">
        <f>Pumps!L3
</f>
        <v>1160</v>
      </c>
      <c r="L5" s="39" t="s">
        <v>88</v>
      </c>
      <c r="M5" s="40">
        <f>SUM(M3:M4)-ROUNDDOWN(365*5/LCM(M3,M4),0)</f>
        <v>227</v>
      </c>
      <c r="N5" s="40">
        <f t="shared" si="1"/>
        <v>45.4</v>
      </c>
      <c r="S5" s="30" t="str">
        <f>IF(AND('Catchment Area'!$E20&lt;&gt;0,Power!$U18&lt;&gt;0),1,"")</f>
        <v/>
      </c>
      <c r="T5" s="24"/>
      <c r="U5" s="24"/>
      <c r="V5" s="30" t="str">
        <f>IF(AND('Catchment Area'!$X20&lt;&gt;0,Power!$U18&lt;&gt;0),1,"")</f>
        <v/>
      </c>
      <c r="W5" s="24"/>
      <c r="X5" s="24"/>
      <c r="Y5" s="24"/>
      <c r="Z5" s="24"/>
    </row>
    <row r="6">
      <c r="A6" s="31" t="s">
        <v>89</v>
      </c>
      <c r="B6" s="41">
        <f>N5
</f>
        <v>45.4</v>
      </c>
      <c r="C6" s="37" t="s">
        <v>90</v>
      </c>
      <c r="D6" s="34">
        <f t="shared" si="2"/>
        <v>0.4895287901</v>
      </c>
      <c r="E6" s="34">
        <v>0.1</v>
      </c>
      <c r="F6" s="37">
        <v>15.0</v>
      </c>
      <c r="G6" s="38">
        <v>75.0</v>
      </c>
      <c r="I6" s="15" t="s">
        <v>91</v>
      </c>
      <c r="J6">
        <f>Power!AC5
</f>
        <v>6972.419786</v>
      </c>
      <c r="S6" s="24" t="str">
        <f>IF(AND('Catchment Area'!$E21&lt;&gt;0,Power!$U19&lt;&gt;0),1,"")</f>
        <v/>
      </c>
      <c r="T6" s="24"/>
      <c r="U6" s="24"/>
      <c r="V6" s="24" t="str">
        <f>IF(AND('Catchment Area'!$X21&lt;&gt;0,Power!$U19&lt;&gt;0),1,"")</f>
        <v/>
      </c>
      <c r="W6" s="24"/>
      <c r="X6" s="24"/>
      <c r="Y6" s="24"/>
      <c r="Z6" s="24"/>
    </row>
    <row r="7">
      <c r="A7" s="31" t="s">
        <v>92</v>
      </c>
      <c r="B7" s="37">
        <f>'On Demand Flow Rate'!B12
</f>
        <v>29.80655271</v>
      </c>
      <c r="C7" s="33" t="s">
        <v>93</v>
      </c>
      <c r="D7" s="34">
        <f t="shared" ref="D7:D8" si="3">(1/2)*(1-COS((B7-F7)/(G7-F7)*PI()))</f>
        <v>0.8426485342</v>
      </c>
      <c r="E7" s="34">
        <v>0.1</v>
      </c>
      <c r="F7" s="37">
        <v>15.0</v>
      </c>
      <c r="G7" s="38">
        <v>35.0</v>
      </c>
      <c r="I7" s="15" t="s">
        <v>94</v>
      </c>
      <c r="J7" s="15">
        <f>IF(B8&lt;365,(365-B8)*75,0)</f>
        <v>3187.5</v>
      </c>
      <c r="S7" s="24" t="str">
        <f>IF(AND('Catchment Area'!$E22&lt;&gt;0,Power!$U20&lt;&gt;0),1,"")</f>
        <v/>
      </c>
      <c r="T7" s="24"/>
      <c r="U7" s="24"/>
      <c r="V7" s="24" t="str">
        <f>IF(AND('Catchment Area'!$X22&lt;&gt;0,Power!$U20&lt;&gt;0),1,"")</f>
        <v/>
      </c>
      <c r="W7" s="24"/>
      <c r="X7" s="24"/>
      <c r="Y7" s="24"/>
      <c r="Z7" s="24"/>
    </row>
    <row r="8">
      <c r="A8" s="42" t="s">
        <v>95</v>
      </c>
      <c r="B8" s="43">
        <f>IF('Design Specifications'!C31="y",Y2,AVERAGE('Catchment Area'!B12:B13))</f>
        <v>322.5</v>
      </c>
      <c r="C8" s="44" t="s">
        <v>96</v>
      </c>
      <c r="D8" s="45">
        <f t="shared" si="3"/>
        <v>0.8450395057</v>
      </c>
      <c r="E8" s="45">
        <v>0.15</v>
      </c>
      <c r="F8" s="44">
        <v>200.0</v>
      </c>
      <c r="G8" s="46">
        <v>365.0</v>
      </c>
      <c r="I8" s="39" t="s">
        <v>88</v>
      </c>
      <c r="J8" s="40">
        <f>SUM(J2:J7)</f>
        <v>34169.91979</v>
      </c>
      <c r="S8" s="24" t="str">
        <f>IF(AND('Catchment Area'!$E23&lt;&gt;0,Power!$U21&lt;&gt;0),1,"")</f>
        <v/>
      </c>
      <c r="T8" s="24"/>
      <c r="U8" s="24"/>
      <c r="V8" s="24" t="str">
        <f>IF(AND('Catchment Area'!$X23&lt;&gt;0,Power!$U21&lt;&gt;0),1,"")</f>
        <v/>
      </c>
      <c r="W8" s="24"/>
      <c r="X8" s="24"/>
      <c r="Y8" s="24"/>
      <c r="Z8" s="24"/>
    </row>
    <row r="9">
      <c r="A9" s="47" t="s">
        <v>97</v>
      </c>
      <c r="B9" s="48"/>
      <c r="C9" s="48"/>
      <c r="D9" s="49"/>
      <c r="E9" s="50">
        <f>SUMPRODUCT(D2:D8,E2:E8)</f>
        <v>0.7538081464</v>
      </c>
      <c r="F9" s="51"/>
      <c r="G9" s="51"/>
      <c r="I9" s="52" t="s">
        <v>98</v>
      </c>
      <c r="J9" s="53">
        <v>80000.0</v>
      </c>
      <c r="S9" s="24" t="str">
        <f>IF(AND('Catchment Area'!$E24&lt;&gt;0,Power!$U22&lt;&gt;0),1,"")</f>
        <v/>
      </c>
      <c r="T9" s="24"/>
      <c r="U9" s="24"/>
      <c r="V9" s="24" t="str">
        <f>IF(AND('Catchment Area'!$X24&lt;&gt;0,Power!$U22&lt;&gt;0),1,"")</f>
        <v/>
      </c>
      <c r="W9" s="24"/>
      <c r="X9" s="24"/>
      <c r="Y9" s="24"/>
      <c r="Z9" s="24"/>
    </row>
    <row r="10">
      <c r="E10" s="34"/>
      <c r="I10" s="54"/>
      <c r="L10" s="15"/>
      <c r="S10" s="24" t="str">
        <f>IF(AND('Catchment Area'!$E25&lt;&gt;0,Power!$U23&lt;&gt;0),1,"")</f>
        <v/>
      </c>
      <c r="T10" s="24"/>
      <c r="U10" s="24"/>
      <c r="V10" s="24" t="str">
        <f>IF(AND('Catchment Area'!$X25&lt;&gt;0,Power!$U23&lt;&gt;0),1,"")</f>
        <v/>
      </c>
      <c r="W10" s="24"/>
      <c r="X10" s="24"/>
      <c r="Y10" s="24"/>
      <c r="Z10" s="24"/>
    </row>
    <row r="11">
      <c r="E11" s="34"/>
      <c r="L11" s="15"/>
      <c r="S11" s="24" t="str">
        <f>IF(AND('Catchment Area'!$E26&lt;&gt;0,Power!$U24&lt;&gt;0),1,"")</f>
        <v/>
      </c>
      <c r="T11" s="24"/>
      <c r="U11" s="24"/>
      <c r="V11" s="24" t="str">
        <f>IF(AND('Catchment Area'!$X26&lt;&gt;0,Power!$U24&lt;&gt;0),1,"")</f>
        <v/>
      </c>
      <c r="W11" s="24"/>
      <c r="X11" s="24"/>
      <c r="Y11" s="24"/>
      <c r="Z11" s="24"/>
    </row>
    <row r="12">
      <c r="B12" s="15"/>
      <c r="C12" s="15"/>
      <c r="E12" s="34"/>
      <c r="S12" s="24" t="str">
        <f>IF(AND('Catchment Area'!$E27&lt;&gt;0,Power!$U25&lt;&gt;0),1,"")</f>
        <v/>
      </c>
      <c r="T12" s="24"/>
      <c r="U12" s="24"/>
      <c r="V12" s="24" t="str">
        <f>IF(AND('Catchment Area'!$X27&lt;&gt;0,Power!$U25&lt;&gt;0),1,"")</f>
        <v/>
      </c>
      <c r="W12" s="24"/>
      <c r="X12" s="24"/>
      <c r="Y12" s="24"/>
      <c r="Z12" s="24"/>
    </row>
    <row r="13">
      <c r="B13" s="15"/>
      <c r="C13" s="15"/>
      <c r="E13" s="34"/>
      <c r="S13" s="24" t="str">
        <f>IF(AND('Catchment Area'!$E28&lt;&gt;0,Power!$U26&lt;&gt;0),1,"")</f>
        <v/>
      </c>
      <c r="T13" s="24"/>
      <c r="U13" s="24"/>
      <c r="V13" s="24" t="str">
        <f>IF(AND('Catchment Area'!$X28&lt;&gt;0,Power!$U26&lt;&gt;0),1,"")</f>
        <v/>
      </c>
      <c r="W13" s="24"/>
      <c r="X13" s="24"/>
      <c r="Y13" s="24"/>
      <c r="Z13" s="24"/>
    </row>
    <row r="14">
      <c r="B14" s="15"/>
      <c r="C14" s="15"/>
      <c r="E14" s="34"/>
      <c r="S14" s="24" t="str">
        <f>IF(AND('Catchment Area'!$E29&lt;&gt;0,Power!$U27&lt;&gt;0),1,"")</f>
        <v/>
      </c>
      <c r="T14" s="24"/>
      <c r="U14" s="24"/>
      <c r="V14" s="24" t="str">
        <f>IF(AND('Catchment Area'!$X29&lt;&gt;0,Power!$U27&lt;&gt;0),1,"")</f>
        <v/>
      </c>
      <c r="W14" s="24"/>
      <c r="X14" s="24"/>
      <c r="Y14" s="24"/>
      <c r="Z14" s="24"/>
    </row>
    <row r="15">
      <c r="B15" s="15"/>
      <c r="C15" s="15"/>
      <c r="E15" s="34"/>
      <c r="S15" s="24" t="str">
        <f>IF(AND('Catchment Area'!$E30&lt;&gt;0,Power!$U28&lt;&gt;0),1,"")</f>
        <v/>
      </c>
      <c r="T15" s="24"/>
      <c r="U15" s="24"/>
      <c r="V15" s="24" t="str">
        <f>IF(AND('Catchment Area'!$X30&lt;&gt;0,Power!$U28&lt;&gt;0),1,"")</f>
        <v/>
      </c>
      <c r="W15" s="24"/>
      <c r="X15" s="24"/>
      <c r="Y15" s="24"/>
      <c r="Z15" s="24"/>
    </row>
    <row r="16">
      <c r="E16" s="34"/>
      <c r="S16" s="30" t="str">
        <f>IF(AND('Catchment Area'!$E31&lt;&gt;0,Power!$U29&lt;&gt;0),1,"")</f>
        <v/>
      </c>
      <c r="T16" s="24"/>
      <c r="U16" s="24"/>
      <c r="V16" s="30" t="str">
        <f>IF(AND('Catchment Area'!$X31&lt;&gt;0,Power!$U29&lt;&gt;0),1,"")</f>
        <v/>
      </c>
      <c r="W16" s="24"/>
      <c r="X16" s="24"/>
      <c r="Y16" s="24"/>
      <c r="Z16" s="24"/>
    </row>
    <row r="17">
      <c r="E17" s="34"/>
      <c r="S17" s="30" t="str">
        <f>IF(AND('Catchment Area'!$E32&lt;&gt;0,Power!$U30&lt;&gt;0),1,"")</f>
        <v/>
      </c>
      <c r="T17" s="24"/>
      <c r="U17" s="24"/>
      <c r="V17" s="30" t="str">
        <f>IF(AND('Catchment Area'!$X32&lt;&gt;0,Power!$U30&lt;&gt;0),1,"")</f>
        <v/>
      </c>
      <c r="W17" s="24"/>
      <c r="X17" s="24"/>
      <c r="Y17" s="24"/>
      <c r="Z17" s="24"/>
    </row>
    <row r="18">
      <c r="E18" s="34"/>
      <c r="S18" s="30" t="str">
        <f>IF(AND('Catchment Area'!$E33&lt;&gt;0,Power!$U31&lt;&gt;0),1,"")</f>
        <v/>
      </c>
      <c r="T18" s="24"/>
      <c r="U18" s="24"/>
      <c r="V18" s="30" t="str">
        <f>IF(AND('Catchment Area'!$X33&lt;&gt;0,Power!$U31&lt;&gt;0),1,"")</f>
        <v/>
      </c>
      <c r="W18" s="24"/>
      <c r="X18" s="24"/>
      <c r="Y18" s="24"/>
      <c r="Z18" s="24"/>
    </row>
    <row r="19">
      <c r="E19" s="34"/>
      <c r="S19" s="30" t="str">
        <f>IF(AND('Catchment Area'!$E34&lt;&gt;0,Power!$U32&lt;&gt;0),1,"")</f>
        <v/>
      </c>
      <c r="T19" s="24"/>
      <c r="U19" s="24"/>
      <c r="V19" s="30" t="str">
        <f>IF(AND('Catchment Area'!$X34&lt;&gt;0,Power!$U32&lt;&gt;0),1,"")</f>
        <v/>
      </c>
      <c r="W19" s="24"/>
      <c r="X19" s="24"/>
      <c r="Y19" s="24"/>
      <c r="Z19" s="24"/>
    </row>
    <row r="20">
      <c r="E20" s="34"/>
      <c r="S20" s="30" t="str">
        <f>IF(AND('Catchment Area'!$E35&lt;&gt;0,Power!$U33&lt;&gt;0),1,"")</f>
        <v/>
      </c>
      <c r="T20" s="24"/>
      <c r="U20" s="24"/>
      <c r="V20" s="30" t="str">
        <f>IF(AND('Catchment Area'!$X35&lt;&gt;0,Power!$U33&lt;&gt;0),1,"")</f>
        <v/>
      </c>
      <c r="W20" s="24"/>
      <c r="X20" s="24"/>
      <c r="Y20" s="24"/>
      <c r="Z20" s="24"/>
    </row>
    <row r="21">
      <c r="E21" s="34"/>
      <c r="S21" s="30" t="str">
        <f>IF(AND('Catchment Area'!$E36&lt;&gt;0,Power!$U34&lt;&gt;0),1,"")</f>
        <v/>
      </c>
      <c r="T21" s="24"/>
      <c r="U21" s="24"/>
      <c r="V21" s="30" t="str">
        <f>IF(AND('Catchment Area'!$X36&lt;&gt;0,Power!$U34&lt;&gt;0),1,"")</f>
        <v/>
      </c>
      <c r="W21" s="24"/>
      <c r="X21" s="24"/>
      <c r="Y21" s="24"/>
      <c r="Z21" s="24"/>
    </row>
    <row r="22">
      <c r="E22" s="34"/>
      <c r="S22" s="30" t="str">
        <f>IF(AND('Catchment Area'!$E37&lt;&gt;0,Power!$U35&lt;&gt;0),1,"")</f>
        <v/>
      </c>
      <c r="T22" s="24"/>
      <c r="U22" s="24"/>
      <c r="V22" s="30" t="str">
        <f>IF(AND('Catchment Area'!$X37&lt;&gt;0,Power!$U35&lt;&gt;0),1,"")</f>
        <v/>
      </c>
      <c r="W22" s="24"/>
      <c r="X22" s="24"/>
      <c r="Y22" s="24"/>
      <c r="Z22" s="24"/>
    </row>
    <row r="23">
      <c r="E23" s="34"/>
      <c r="S23" s="30" t="str">
        <f>IF(AND('Catchment Area'!$E38&lt;&gt;0,Power!$U36&lt;&gt;0),1,"")</f>
        <v/>
      </c>
      <c r="T23" s="24"/>
      <c r="U23" s="24"/>
      <c r="V23" s="30" t="str">
        <f>IF(AND('Catchment Area'!$X38&lt;&gt;0,Power!$U36&lt;&gt;0),1,"")</f>
        <v/>
      </c>
      <c r="W23" s="24"/>
      <c r="X23" s="24"/>
      <c r="Y23" s="24"/>
      <c r="Z23" s="24"/>
    </row>
    <row r="24">
      <c r="E24" s="34"/>
      <c r="S24" s="30" t="str">
        <f>IF(AND('Catchment Area'!$E39&lt;&gt;0,Power!$U37&lt;&gt;0),1,"")</f>
        <v/>
      </c>
      <c r="T24" s="24"/>
      <c r="U24" s="24"/>
      <c r="V24" s="30" t="str">
        <f>IF(AND('Catchment Area'!$X39&lt;&gt;0,Power!$U37&lt;&gt;0),1,"")</f>
        <v/>
      </c>
      <c r="W24" s="24"/>
      <c r="X24" s="24"/>
      <c r="Y24" s="24"/>
      <c r="Z24" s="24"/>
    </row>
    <row r="25">
      <c r="E25" s="34"/>
      <c r="S25" s="30" t="str">
        <f>IF(AND('Catchment Area'!$E40&lt;&gt;0,Power!$U38&lt;&gt;0),1,"")</f>
        <v/>
      </c>
      <c r="T25" s="24"/>
      <c r="U25" s="24"/>
      <c r="V25" s="30" t="str">
        <f>IF(AND('Catchment Area'!$X40&lt;&gt;0,Power!$U38&lt;&gt;0),1,"")</f>
        <v/>
      </c>
      <c r="W25" s="24"/>
      <c r="X25" s="24"/>
      <c r="Y25" s="24"/>
      <c r="Z25" s="24"/>
    </row>
    <row r="26">
      <c r="E26" s="34"/>
      <c r="S26" s="30" t="str">
        <f>IF(AND('Catchment Area'!$E41&lt;&gt;0,Power!$U39&lt;&gt;0),1,"")</f>
        <v/>
      </c>
      <c r="T26" s="24"/>
      <c r="U26" s="24"/>
      <c r="V26" s="30" t="str">
        <f>IF(AND('Catchment Area'!$X41&lt;&gt;0,Power!$U39&lt;&gt;0),1,"")</f>
        <v/>
      </c>
      <c r="W26" s="24"/>
      <c r="X26" s="24"/>
      <c r="Y26" s="24"/>
      <c r="Z26" s="24"/>
    </row>
    <row r="27">
      <c r="E27" s="34"/>
      <c r="S27" s="30" t="str">
        <f>IF(AND('Catchment Area'!$E42&lt;&gt;0,Power!$U40&lt;&gt;0),1,"")</f>
        <v/>
      </c>
      <c r="T27" s="24"/>
      <c r="U27" s="24"/>
      <c r="V27" s="30" t="str">
        <f>IF(AND('Catchment Area'!$X42&lt;&gt;0,Power!$U40&lt;&gt;0),1,"")</f>
        <v/>
      </c>
      <c r="W27" s="24"/>
      <c r="X27" s="24"/>
      <c r="Y27" s="24"/>
      <c r="Z27" s="24"/>
    </row>
    <row r="28">
      <c r="E28" s="34"/>
      <c r="S28" s="30" t="str">
        <f>IF(AND('Catchment Area'!$E43&lt;&gt;0,Power!$U41&lt;&gt;0),1,"")</f>
        <v/>
      </c>
      <c r="T28" s="24"/>
      <c r="U28" s="24"/>
      <c r="V28" s="30" t="str">
        <f>IF(AND('Catchment Area'!$X43&lt;&gt;0,Power!$U41&lt;&gt;0),1,"")</f>
        <v/>
      </c>
      <c r="W28" s="24"/>
      <c r="X28" s="24"/>
      <c r="Y28" s="24"/>
      <c r="Z28" s="24"/>
    </row>
    <row r="29">
      <c r="E29" s="34"/>
      <c r="S29" s="30" t="str">
        <f>IF(AND('Catchment Area'!$E44&lt;&gt;0,Power!$U42&lt;&gt;0),1,"")</f>
        <v/>
      </c>
      <c r="T29" s="24"/>
      <c r="U29" s="24"/>
      <c r="V29" s="30" t="str">
        <f>IF(AND('Catchment Area'!$X44&lt;&gt;0,Power!$U42&lt;&gt;0),1,"")</f>
        <v/>
      </c>
      <c r="W29" s="24"/>
      <c r="X29" s="24"/>
      <c r="Y29" s="24"/>
      <c r="Z29" s="24"/>
    </row>
    <row r="30">
      <c r="E30" s="34"/>
      <c r="S30" s="30" t="str">
        <f>IF(AND('Catchment Area'!$E45&lt;&gt;0,Power!$U43&lt;&gt;0),1,"")</f>
        <v/>
      </c>
      <c r="T30" s="24"/>
      <c r="U30" s="24"/>
      <c r="V30" s="30" t="str">
        <f>IF(AND('Catchment Area'!$X45&lt;&gt;0,Power!$U43&lt;&gt;0),1,"")</f>
        <v/>
      </c>
      <c r="W30" s="24"/>
      <c r="X30" s="24"/>
      <c r="Y30" s="24"/>
      <c r="Z30" s="24"/>
    </row>
    <row r="31">
      <c r="E31" s="34"/>
      <c r="S31" s="30" t="str">
        <f>IF(AND('Catchment Area'!$E46&lt;&gt;0,Power!$U44&lt;&gt;0),1,"")</f>
        <v/>
      </c>
      <c r="T31" s="24"/>
      <c r="U31" s="24"/>
      <c r="V31" s="30" t="str">
        <f>IF(AND('Catchment Area'!$X46&lt;&gt;0,Power!$U44&lt;&gt;0),1,"")</f>
        <v/>
      </c>
      <c r="W31" s="24"/>
      <c r="X31" s="24"/>
      <c r="Y31" s="24"/>
      <c r="Z31" s="24"/>
    </row>
    <row r="32">
      <c r="E32" s="34"/>
      <c r="S32" s="30" t="str">
        <f>IF(AND('Catchment Area'!$E47&lt;&gt;0,Power!$U45&lt;&gt;0),1,"")</f>
        <v/>
      </c>
      <c r="T32" s="24"/>
      <c r="U32" s="24"/>
      <c r="V32" s="30" t="str">
        <f>IF(AND('Catchment Area'!$X47&lt;&gt;0,Power!$U45&lt;&gt;0),1,"")</f>
        <v/>
      </c>
      <c r="W32" s="24"/>
      <c r="X32" s="24"/>
      <c r="Y32" s="24"/>
      <c r="Z32" s="24"/>
    </row>
    <row r="33">
      <c r="E33" s="34"/>
      <c r="S33" s="30" t="str">
        <f>IF(AND('Catchment Area'!$E48&lt;&gt;0,Power!$U46&lt;&gt;0),1,"")</f>
        <v/>
      </c>
      <c r="T33" s="24"/>
      <c r="U33" s="24"/>
      <c r="V33" s="30" t="str">
        <f>IF(AND('Catchment Area'!$X48&lt;&gt;0,Power!$U46&lt;&gt;0),1,"")</f>
        <v/>
      </c>
      <c r="W33" s="24"/>
      <c r="X33" s="24"/>
      <c r="Y33" s="24"/>
      <c r="Z33" s="24"/>
    </row>
    <row r="34">
      <c r="E34" s="34"/>
      <c r="S34" s="30" t="str">
        <f>IF(AND('Catchment Area'!$E49&lt;&gt;0,Power!$U47&lt;&gt;0),1,"")</f>
        <v/>
      </c>
      <c r="T34" s="24"/>
      <c r="U34" s="24"/>
      <c r="V34" s="30" t="str">
        <f>IF(AND('Catchment Area'!$X49&lt;&gt;0,Power!$U47&lt;&gt;0),1,"")</f>
        <v/>
      </c>
      <c r="W34" s="24"/>
      <c r="X34" s="24"/>
      <c r="Y34" s="24"/>
      <c r="Z34" s="24"/>
    </row>
    <row r="35">
      <c r="E35" s="34"/>
      <c r="S35" s="30" t="str">
        <f>IF(AND('Catchment Area'!$E50&lt;&gt;0,Power!$U48&lt;&gt;0),1,"")</f>
        <v/>
      </c>
      <c r="T35" s="24"/>
      <c r="U35" s="24"/>
      <c r="V35" s="30" t="str">
        <f>IF(AND('Catchment Area'!$X50&lt;&gt;0,Power!$U48&lt;&gt;0),1,"")</f>
        <v/>
      </c>
      <c r="W35" s="24"/>
      <c r="X35" s="24"/>
      <c r="Y35" s="24"/>
      <c r="Z35" s="24"/>
    </row>
    <row r="36">
      <c r="E36" s="34"/>
      <c r="S36" s="30" t="str">
        <f>IF(AND('Catchment Area'!$E51&lt;&gt;0,Power!$U49&lt;&gt;0),1,"")</f>
        <v/>
      </c>
      <c r="T36" s="24"/>
      <c r="U36" s="24"/>
      <c r="V36" s="30" t="str">
        <f>IF(AND('Catchment Area'!$X51&lt;&gt;0,Power!$U49&lt;&gt;0),1,"")</f>
        <v/>
      </c>
      <c r="W36" s="24"/>
      <c r="X36" s="24"/>
      <c r="Y36" s="24"/>
      <c r="Z36" s="24"/>
    </row>
    <row r="37">
      <c r="E37" s="34"/>
      <c r="S37" s="30" t="str">
        <f>IF(AND('Catchment Area'!$E52&lt;&gt;0,Power!$U50&lt;&gt;0),1,"")</f>
        <v/>
      </c>
      <c r="T37" s="24"/>
      <c r="U37" s="24"/>
      <c r="V37" s="30" t="str">
        <f>IF(AND('Catchment Area'!$X52&lt;&gt;0,Power!$U50&lt;&gt;0),1,"")</f>
        <v/>
      </c>
      <c r="W37" s="24"/>
      <c r="X37" s="24"/>
      <c r="Y37" s="24"/>
      <c r="Z37" s="24"/>
    </row>
    <row r="38">
      <c r="E38" s="34"/>
      <c r="S38" s="30" t="str">
        <f>IF(AND('Catchment Area'!$E53&lt;&gt;0,Power!$U51&lt;&gt;0),1,"")</f>
        <v/>
      </c>
      <c r="T38" s="24"/>
      <c r="U38" s="24"/>
      <c r="V38" s="30" t="str">
        <f>IF(AND('Catchment Area'!$X53&lt;&gt;0,Power!$U51&lt;&gt;0),1,"")</f>
        <v/>
      </c>
      <c r="W38" s="24"/>
      <c r="X38" s="24"/>
      <c r="Y38" s="24"/>
      <c r="Z38" s="24"/>
    </row>
    <row r="39">
      <c r="E39" s="34"/>
      <c r="S39" s="30" t="str">
        <f>IF(AND('Catchment Area'!$E54&lt;&gt;0,Power!$U52&lt;&gt;0),1,"")</f>
        <v/>
      </c>
      <c r="T39" s="24"/>
      <c r="U39" s="24"/>
      <c r="V39" s="30" t="str">
        <f>IF(AND('Catchment Area'!$X54&lt;&gt;0,Power!$U52&lt;&gt;0),1,"")</f>
        <v/>
      </c>
      <c r="W39" s="24"/>
      <c r="X39" s="24"/>
      <c r="Y39" s="24"/>
      <c r="Z39" s="24"/>
    </row>
    <row r="40">
      <c r="E40" s="34"/>
      <c r="S40" s="30" t="str">
        <f>IF(AND('Catchment Area'!$E55&lt;&gt;0,Power!$U53&lt;&gt;0),1,"")</f>
        <v/>
      </c>
      <c r="T40" s="24"/>
      <c r="U40" s="24"/>
      <c r="V40" s="30" t="str">
        <f>IF(AND('Catchment Area'!$X55&lt;&gt;0,Power!$U53&lt;&gt;0),1,"")</f>
        <v/>
      </c>
      <c r="W40" s="24"/>
      <c r="X40" s="24"/>
      <c r="Y40" s="24"/>
      <c r="Z40" s="24"/>
    </row>
    <row r="41">
      <c r="E41" s="34"/>
      <c r="S41" s="30" t="str">
        <f>IF(AND('Catchment Area'!$E56&lt;&gt;0,Power!$U54&lt;&gt;0),1,"")</f>
        <v/>
      </c>
      <c r="T41" s="24"/>
      <c r="U41" s="24"/>
      <c r="V41" s="30" t="str">
        <f>IF(AND('Catchment Area'!$X56&lt;&gt;0,Power!$U54&lt;&gt;0),1,"")</f>
        <v/>
      </c>
      <c r="W41" s="24"/>
      <c r="X41" s="24"/>
      <c r="Y41" s="24"/>
      <c r="Z41" s="24"/>
    </row>
    <row r="42">
      <c r="E42" s="34"/>
      <c r="S42" s="30" t="str">
        <f>IF(AND('Catchment Area'!$E57&lt;&gt;0,Power!$U55&lt;&gt;0),1,"")</f>
        <v/>
      </c>
      <c r="T42" s="24"/>
      <c r="U42" s="24"/>
      <c r="V42" s="30" t="str">
        <f>IF(AND('Catchment Area'!$X57&lt;&gt;0,Power!$U55&lt;&gt;0),1,"")</f>
        <v/>
      </c>
      <c r="W42" s="24"/>
      <c r="X42" s="24"/>
      <c r="Y42" s="24"/>
      <c r="Z42" s="24"/>
    </row>
    <row r="43">
      <c r="E43" s="34"/>
      <c r="S43" s="24" t="str">
        <f>IF(AND('Catchment Area'!$E58&lt;&gt;0,Power!$U56&lt;&gt;0),1,"")</f>
        <v/>
      </c>
      <c r="T43" s="24"/>
      <c r="U43" s="24"/>
      <c r="V43" s="24" t="str">
        <f>IF(AND('Catchment Area'!$X58&lt;&gt;0,Power!$U56&lt;&gt;0),1,"")</f>
        <v/>
      </c>
      <c r="W43" s="24"/>
      <c r="X43" s="24"/>
      <c r="Y43" s="24"/>
      <c r="Z43" s="24"/>
    </row>
    <row r="44">
      <c r="E44" s="34"/>
      <c r="S44" s="24" t="str">
        <f>IF(AND('Catchment Area'!$E59&lt;&gt;0,Power!$U57&lt;&gt;0),1,"")</f>
        <v/>
      </c>
      <c r="T44" s="24"/>
      <c r="U44" s="24"/>
      <c r="V44" s="24" t="str">
        <f>IF(AND('Catchment Area'!$X59&lt;&gt;0,Power!$U57&lt;&gt;0),1,"")</f>
        <v/>
      </c>
      <c r="W44" s="24"/>
      <c r="X44" s="24"/>
      <c r="Y44" s="24"/>
      <c r="Z44" s="24"/>
    </row>
    <row r="45">
      <c r="E45" s="34"/>
      <c r="S45" s="24" t="str">
        <f>IF(AND('Catchment Area'!$E60&lt;&gt;0,Power!$U58&lt;&gt;0),1,"")</f>
        <v/>
      </c>
      <c r="T45" s="24"/>
      <c r="U45" s="24"/>
      <c r="V45" s="24" t="str">
        <f>IF(AND('Catchment Area'!$X60&lt;&gt;0,Power!$U58&lt;&gt;0),1,"")</f>
        <v/>
      </c>
      <c r="W45" s="24"/>
      <c r="X45" s="24"/>
      <c r="Y45" s="24"/>
      <c r="Z45" s="24"/>
    </row>
    <row r="46">
      <c r="E46" s="34"/>
      <c r="S46" s="24" t="str">
        <f>IF(AND('Catchment Area'!$E61&lt;&gt;0,Power!$U59&lt;&gt;0),1,"")</f>
        <v/>
      </c>
      <c r="T46" s="24"/>
      <c r="U46" s="24"/>
      <c r="V46" s="24" t="str">
        <f>IF(AND('Catchment Area'!$X61&lt;&gt;0,Power!$U59&lt;&gt;0),1,"")</f>
        <v/>
      </c>
      <c r="W46" s="24"/>
      <c r="X46" s="24"/>
      <c r="Y46" s="24"/>
      <c r="Z46" s="24"/>
    </row>
    <row r="47">
      <c r="E47" s="34"/>
      <c r="S47" s="24" t="str">
        <f>IF(AND('Catchment Area'!$E62&lt;&gt;0,Power!$U60&lt;&gt;0),1,"")</f>
        <v/>
      </c>
      <c r="T47" s="24"/>
      <c r="U47" s="24"/>
      <c r="V47" s="24" t="str">
        <f>IF(AND('Catchment Area'!$X62&lt;&gt;0,Power!$U60&lt;&gt;0),1,"")</f>
        <v/>
      </c>
      <c r="W47" s="24"/>
      <c r="X47" s="24"/>
      <c r="Y47" s="24"/>
      <c r="Z47" s="24"/>
    </row>
    <row r="48">
      <c r="E48" s="34"/>
      <c r="S48" s="24" t="str">
        <f>IF(AND('Catchment Area'!$E63&lt;&gt;0,Power!$U61&lt;&gt;0),1,"")</f>
        <v/>
      </c>
      <c r="T48" s="24"/>
      <c r="U48" s="24"/>
      <c r="V48" s="24" t="str">
        <f>IF(AND('Catchment Area'!$X63&lt;&gt;0,Power!$U61&lt;&gt;0),1,"")</f>
        <v/>
      </c>
      <c r="W48" s="24"/>
      <c r="X48" s="24"/>
      <c r="Y48" s="24"/>
      <c r="Z48" s="24"/>
    </row>
    <row r="49">
      <c r="E49" s="34"/>
      <c r="S49" s="24" t="str">
        <f>IF(AND('Catchment Area'!$E64&lt;&gt;0,Power!$U62&lt;&gt;0),1,"")</f>
        <v/>
      </c>
      <c r="T49" s="24"/>
      <c r="U49" s="24"/>
      <c r="V49" s="24" t="str">
        <f>IF(AND('Catchment Area'!$X64&lt;&gt;0,Power!$U62&lt;&gt;0),1,"")</f>
        <v/>
      </c>
      <c r="W49" s="24"/>
      <c r="X49" s="24"/>
      <c r="Y49" s="24"/>
      <c r="Z49" s="24"/>
    </row>
    <row r="50">
      <c r="E50" s="34"/>
      <c r="S50" s="24" t="str">
        <f>IF(AND('Catchment Area'!$E65&lt;&gt;0,Power!$U63&lt;&gt;0),1,"")</f>
        <v/>
      </c>
      <c r="T50" s="24"/>
      <c r="U50" s="24"/>
      <c r="V50" s="24" t="str">
        <f>IF(AND('Catchment Area'!$X65&lt;&gt;0,Power!$U63&lt;&gt;0),1,"")</f>
        <v/>
      </c>
      <c r="W50" s="24"/>
      <c r="X50" s="24"/>
      <c r="Y50" s="24"/>
      <c r="Z50" s="24"/>
    </row>
    <row r="51">
      <c r="E51" s="34"/>
      <c r="S51" s="24" t="str">
        <f>IF(AND('Catchment Area'!$E66&lt;&gt;0,Power!$U64&lt;&gt;0),1,"")</f>
        <v/>
      </c>
      <c r="T51" s="24"/>
      <c r="U51" s="24"/>
      <c r="V51" s="24" t="str">
        <f>IF(AND('Catchment Area'!$X66&lt;&gt;0,Power!$U64&lt;&gt;0),1,"")</f>
        <v/>
      </c>
      <c r="W51" s="24"/>
      <c r="X51" s="24"/>
      <c r="Y51" s="24"/>
      <c r="Z51" s="24"/>
    </row>
    <row r="52">
      <c r="E52" s="34"/>
      <c r="S52" s="30" t="str">
        <f>IF(AND('Catchment Area'!$E67&lt;&gt;0,Power!$U65&lt;&gt;0),1,"")</f>
        <v/>
      </c>
      <c r="T52" s="24"/>
      <c r="U52" s="24"/>
      <c r="V52" s="30" t="str">
        <f>IF(AND('Catchment Area'!$X67&lt;&gt;0,Power!$U65&lt;&gt;0),1,"")</f>
        <v/>
      </c>
      <c r="W52" s="24"/>
      <c r="X52" s="24"/>
      <c r="Y52" s="24"/>
      <c r="Z52" s="24"/>
    </row>
    <row r="53">
      <c r="E53" s="34"/>
      <c r="S53" s="30" t="str">
        <f>IF(AND('Catchment Area'!$E68&lt;&gt;0,Power!$U66&lt;&gt;0),1,"")</f>
        <v/>
      </c>
      <c r="T53" s="24"/>
      <c r="U53" s="24"/>
      <c r="V53" s="30" t="str">
        <f>IF(AND('Catchment Area'!$X68&lt;&gt;0,Power!$U66&lt;&gt;0),1,"")</f>
        <v/>
      </c>
      <c r="W53" s="24"/>
      <c r="X53" s="24"/>
      <c r="Y53" s="24"/>
      <c r="Z53" s="24"/>
    </row>
    <row r="54">
      <c r="E54" s="34"/>
      <c r="S54" s="30" t="str">
        <f>IF(AND('Catchment Area'!$E69&lt;&gt;0,Power!$U67&lt;&gt;0),1,"")</f>
        <v/>
      </c>
      <c r="T54" s="24"/>
      <c r="U54" s="24"/>
      <c r="V54" s="30" t="str">
        <f>IF(AND('Catchment Area'!$X69&lt;&gt;0,Power!$U67&lt;&gt;0),1,"")</f>
        <v/>
      </c>
      <c r="W54" s="24"/>
      <c r="X54" s="24"/>
      <c r="Y54" s="24"/>
      <c r="Z54" s="24"/>
    </row>
    <row r="55">
      <c r="E55" s="34"/>
      <c r="S55" s="24" t="str">
        <f>IF(AND('Catchment Area'!$E70&lt;&gt;0,Power!$U68&lt;&gt;0),1,"")</f>
        <v/>
      </c>
      <c r="T55" s="24"/>
      <c r="U55" s="24"/>
      <c r="V55" s="24" t="str">
        <f>IF(AND('Catchment Area'!$X70&lt;&gt;0,Power!$U68&lt;&gt;0),1,"")</f>
        <v/>
      </c>
      <c r="W55" s="24"/>
      <c r="X55" s="24"/>
      <c r="Y55" s="24"/>
      <c r="Z55" s="24"/>
    </row>
    <row r="56">
      <c r="E56" s="34"/>
      <c r="S56" s="24" t="str">
        <f>IF(AND('Catchment Area'!$E71&lt;&gt;0,Power!$U69&lt;&gt;0),1,"")</f>
        <v/>
      </c>
      <c r="T56" s="24"/>
      <c r="U56" s="24"/>
      <c r="V56" s="24" t="str">
        <f>IF(AND('Catchment Area'!$X71&lt;&gt;0,Power!$U69&lt;&gt;0),1,"")</f>
        <v/>
      </c>
      <c r="W56" s="24"/>
      <c r="X56" s="24"/>
      <c r="Y56" s="24"/>
      <c r="Z56" s="24"/>
    </row>
    <row r="57">
      <c r="E57" s="34"/>
      <c r="S57" s="30" t="str">
        <f>IF(AND('Catchment Area'!$E72&lt;&gt;0,Power!$U70&lt;&gt;0),1,"")</f>
        <v/>
      </c>
      <c r="T57" s="24"/>
      <c r="U57" s="24"/>
      <c r="V57" s="30" t="str">
        <f>IF(AND('Catchment Area'!$X72&lt;&gt;0,Power!$U70&lt;&gt;0),1,"")</f>
        <v/>
      </c>
      <c r="W57" s="24"/>
      <c r="X57" s="24"/>
      <c r="Y57" s="24"/>
      <c r="Z57" s="24"/>
    </row>
    <row r="58">
      <c r="E58" s="34"/>
      <c r="S58" s="30" t="str">
        <f>IF(AND('Catchment Area'!$E73&lt;&gt;0,Power!$U71&lt;&gt;0),1,"")</f>
        <v/>
      </c>
      <c r="T58" s="24"/>
      <c r="U58" s="24"/>
      <c r="V58" s="30" t="str">
        <f>IF(AND('Catchment Area'!$X73&lt;&gt;0,Power!$U71&lt;&gt;0),1,"")</f>
        <v/>
      </c>
      <c r="W58" s="24"/>
      <c r="X58" s="24"/>
      <c r="Y58" s="24"/>
      <c r="Z58" s="24"/>
    </row>
    <row r="59">
      <c r="E59" s="34"/>
      <c r="S59" s="30" t="str">
        <f>IF(AND('Catchment Area'!$E74&lt;&gt;0,Power!$U72&lt;&gt;0),1,"")</f>
        <v/>
      </c>
      <c r="T59" s="24"/>
      <c r="U59" s="24"/>
      <c r="V59" s="30" t="str">
        <f>IF(AND('Catchment Area'!$X74&lt;&gt;0,Power!$U72&lt;&gt;0),1,"")</f>
        <v/>
      </c>
      <c r="W59" s="24"/>
      <c r="X59" s="24"/>
      <c r="Y59" s="24"/>
      <c r="Z59" s="24"/>
    </row>
    <row r="60">
      <c r="E60" s="34"/>
      <c r="S60" s="30" t="str">
        <f>IF(AND('Catchment Area'!$E75&lt;&gt;0,Power!$U73&lt;&gt;0),1,"")</f>
        <v/>
      </c>
      <c r="T60" s="24"/>
      <c r="U60" s="24"/>
      <c r="V60" s="30" t="str">
        <f>IF(AND('Catchment Area'!$X75&lt;&gt;0,Power!$U73&lt;&gt;0),1,"")</f>
        <v/>
      </c>
      <c r="W60" s="24"/>
      <c r="X60" s="24"/>
      <c r="Y60" s="24"/>
      <c r="Z60" s="24"/>
    </row>
    <row r="61">
      <c r="E61" s="34"/>
      <c r="S61" s="30" t="str">
        <f>IF(AND('Catchment Area'!$E76&lt;&gt;0,Power!$U74&lt;&gt;0),1,"")</f>
        <v/>
      </c>
      <c r="T61" s="24"/>
      <c r="U61" s="24"/>
      <c r="V61" s="30" t="str">
        <f>IF(AND('Catchment Area'!$X76&lt;&gt;0,Power!$U74&lt;&gt;0),1,"")</f>
        <v/>
      </c>
      <c r="W61" s="24"/>
      <c r="X61" s="24"/>
      <c r="Y61" s="24"/>
      <c r="Z61" s="24"/>
    </row>
    <row r="62">
      <c r="E62" s="34"/>
      <c r="S62" s="24" t="str">
        <f>IF(AND('Catchment Area'!$E77&lt;&gt;0,Power!$U75&lt;&gt;0),1,"")</f>
        <v/>
      </c>
      <c r="T62" s="24"/>
      <c r="U62" s="24"/>
      <c r="V62" s="24" t="str">
        <f>IF(AND('Catchment Area'!$X77&lt;&gt;0,Power!$U75&lt;&gt;0),1,"")</f>
        <v/>
      </c>
      <c r="W62" s="24"/>
      <c r="X62" s="24"/>
      <c r="Y62" s="24"/>
      <c r="Z62" s="24"/>
    </row>
    <row r="63">
      <c r="E63" s="34"/>
      <c r="S63" s="30" t="str">
        <f>IF(AND('Catchment Area'!$E78&lt;&gt;0,Power!$U76&lt;&gt;0),1,"")</f>
        <v/>
      </c>
      <c r="T63" s="24"/>
      <c r="U63" s="24"/>
      <c r="V63" s="30" t="str">
        <f>IF(AND('Catchment Area'!$X78&lt;&gt;0,Power!$U76&lt;&gt;0),1,"")</f>
        <v/>
      </c>
      <c r="W63" s="24"/>
      <c r="X63" s="24"/>
      <c r="Y63" s="24"/>
      <c r="Z63" s="24"/>
    </row>
    <row r="64">
      <c r="E64" s="34"/>
      <c r="S64" s="30" t="str">
        <f>IF(AND('Catchment Area'!$E79&lt;&gt;0,Power!$U77&lt;&gt;0),1,"")</f>
        <v/>
      </c>
      <c r="T64" s="24"/>
      <c r="U64" s="24"/>
      <c r="V64" s="30" t="str">
        <f>IF(AND('Catchment Area'!$X79&lt;&gt;0,Power!$U77&lt;&gt;0),1,"")</f>
        <v/>
      </c>
      <c r="W64" s="24"/>
      <c r="X64" s="24"/>
      <c r="Y64" s="24"/>
      <c r="Z64" s="24"/>
    </row>
    <row r="65">
      <c r="E65" s="34"/>
      <c r="S65" s="24" t="str">
        <f>IF(AND('Catchment Area'!$E80&lt;&gt;0,Power!$U78&lt;&gt;0),1,"")</f>
        <v/>
      </c>
      <c r="T65" s="24"/>
      <c r="U65" s="24"/>
      <c r="V65" s="24" t="str">
        <f>IF(AND('Catchment Area'!$X80&lt;&gt;0,Power!$U78&lt;&gt;0),1,"")</f>
        <v/>
      </c>
      <c r="W65" s="24"/>
      <c r="X65" s="24"/>
      <c r="Y65" s="24"/>
      <c r="Z65" s="24"/>
    </row>
    <row r="66">
      <c r="E66" s="34"/>
      <c r="S66" s="24" t="str">
        <f>IF(AND('Catchment Area'!$E81&lt;&gt;0,Power!$U79&lt;&gt;0),1,"")</f>
        <v/>
      </c>
      <c r="T66" s="24"/>
      <c r="U66" s="24"/>
      <c r="V66" s="24" t="str">
        <f>IF(AND('Catchment Area'!$X81&lt;&gt;0,Power!$U79&lt;&gt;0),1,"")</f>
        <v/>
      </c>
      <c r="W66" s="24"/>
      <c r="X66" s="24"/>
      <c r="Y66" s="24"/>
      <c r="Z66" s="24"/>
    </row>
    <row r="67">
      <c r="E67" s="34"/>
      <c r="S67" s="24" t="str">
        <f>IF(AND('Catchment Area'!$E82&lt;&gt;0,Power!$U80&lt;&gt;0),1,"")</f>
        <v/>
      </c>
      <c r="T67" s="24"/>
      <c r="U67" s="24"/>
      <c r="V67" s="24" t="str">
        <f>IF(AND('Catchment Area'!$X82&lt;&gt;0,Power!$U80&lt;&gt;0),1,"")</f>
        <v/>
      </c>
      <c r="W67" s="24"/>
      <c r="X67" s="24"/>
      <c r="Y67" s="24"/>
      <c r="Z67" s="24"/>
    </row>
    <row r="68">
      <c r="E68" s="34"/>
      <c r="S68" s="24" t="str">
        <f>IF(AND('Catchment Area'!$E83&lt;&gt;0,Power!$U81&lt;&gt;0),1,"")</f>
        <v/>
      </c>
      <c r="T68" s="24"/>
      <c r="U68" s="24"/>
      <c r="V68" s="24" t="str">
        <f>IF(AND('Catchment Area'!$X83&lt;&gt;0,Power!$U81&lt;&gt;0),1,"")</f>
        <v/>
      </c>
      <c r="W68" s="24"/>
      <c r="X68" s="24"/>
      <c r="Y68" s="24"/>
      <c r="Z68" s="24"/>
    </row>
    <row r="69">
      <c r="E69" s="34"/>
      <c r="S69" s="24" t="str">
        <f>IF(AND('Catchment Area'!$E84&lt;&gt;0,Power!$U82&lt;&gt;0),1,"")</f>
        <v/>
      </c>
      <c r="T69" s="24"/>
      <c r="U69" s="24"/>
      <c r="V69" s="24" t="str">
        <f>IF(AND('Catchment Area'!$X84&lt;&gt;0,Power!$U82&lt;&gt;0),1,"")</f>
        <v/>
      </c>
      <c r="W69" s="24"/>
      <c r="X69" s="24"/>
      <c r="Y69" s="24"/>
      <c r="Z69" s="24"/>
    </row>
    <row r="70">
      <c r="E70" s="34"/>
      <c r="S70" s="30" t="str">
        <f>IF(AND('Catchment Area'!$E85&lt;&gt;0,Power!$U83&lt;&gt;0),1,"")</f>
        <v/>
      </c>
      <c r="T70" s="24"/>
      <c r="U70" s="24"/>
      <c r="V70" s="30" t="str">
        <f>IF(AND('Catchment Area'!$X85&lt;&gt;0,Power!$U83&lt;&gt;0),1,"")</f>
        <v/>
      </c>
      <c r="W70" s="24"/>
      <c r="X70" s="24"/>
      <c r="Y70" s="24"/>
      <c r="Z70" s="24"/>
    </row>
    <row r="71">
      <c r="E71" s="34"/>
      <c r="S71" s="30" t="str">
        <f>IF(AND('Catchment Area'!$E86&lt;&gt;0,Power!$U84&lt;&gt;0),1,"")</f>
        <v/>
      </c>
      <c r="T71" s="24"/>
      <c r="U71" s="24"/>
      <c r="V71" s="30" t="str">
        <f>IF(AND('Catchment Area'!$X86&lt;&gt;0,Power!$U84&lt;&gt;0),1,"")</f>
        <v/>
      </c>
      <c r="W71" s="24"/>
      <c r="X71" s="24"/>
      <c r="Y71" s="24"/>
      <c r="Z71" s="24"/>
    </row>
    <row r="72">
      <c r="E72" s="34"/>
      <c r="S72" s="30" t="str">
        <f>IF(AND('Catchment Area'!$E87&lt;&gt;0,Power!$U85&lt;&gt;0),1,"")</f>
        <v/>
      </c>
      <c r="T72" s="24"/>
      <c r="U72" s="24"/>
      <c r="V72" s="30" t="str">
        <f>IF(AND('Catchment Area'!$X87&lt;&gt;0,Power!$U85&lt;&gt;0),1,"")</f>
        <v/>
      </c>
      <c r="W72" s="24"/>
      <c r="X72" s="24"/>
      <c r="Y72" s="24"/>
      <c r="Z72" s="24"/>
    </row>
    <row r="73">
      <c r="E73" s="34"/>
      <c r="S73" s="24" t="str">
        <f>IF(AND('Catchment Area'!$E88&lt;&gt;0,Power!$U86&lt;&gt;0),1,"")</f>
        <v/>
      </c>
      <c r="T73" s="24"/>
      <c r="U73" s="24"/>
      <c r="V73" s="24" t="str">
        <f>IF(AND('Catchment Area'!$X88&lt;&gt;0,Power!$U86&lt;&gt;0),1,"")</f>
        <v/>
      </c>
      <c r="W73" s="24"/>
      <c r="X73" s="24"/>
      <c r="Y73" s="24"/>
      <c r="Z73" s="24"/>
    </row>
    <row r="74">
      <c r="E74" s="34"/>
      <c r="S74" s="24" t="str">
        <f>IF(AND('Catchment Area'!$E89&lt;&gt;0,Power!$U87&lt;&gt;0),1,"")</f>
        <v/>
      </c>
      <c r="T74" s="24"/>
      <c r="U74" s="24"/>
      <c r="V74" s="24" t="str">
        <f>IF(AND('Catchment Area'!$X89&lt;&gt;0,Power!$U87&lt;&gt;0),1,"")</f>
        <v/>
      </c>
      <c r="W74" s="24"/>
      <c r="X74" s="24"/>
      <c r="Y74" s="24"/>
      <c r="Z74" s="24"/>
    </row>
    <row r="75">
      <c r="E75" s="34"/>
      <c r="S75" s="24" t="str">
        <f>IF(AND('Catchment Area'!$E90&lt;&gt;0,Power!$U88&lt;&gt;0),1,"")</f>
        <v/>
      </c>
      <c r="T75" s="24"/>
      <c r="U75" s="24"/>
      <c r="V75" s="24" t="str">
        <f>IF(AND('Catchment Area'!$X90&lt;&gt;0,Power!$U88&lt;&gt;0),1,"")</f>
        <v/>
      </c>
      <c r="W75" s="24"/>
      <c r="X75" s="24"/>
      <c r="Y75" s="24"/>
      <c r="Z75" s="24"/>
    </row>
    <row r="76">
      <c r="E76" s="34"/>
      <c r="S76" s="24" t="str">
        <f>IF(AND('Catchment Area'!$E91&lt;&gt;0,Power!$U89&lt;&gt;0),1,"")</f>
        <v/>
      </c>
      <c r="T76" s="24"/>
      <c r="U76" s="24"/>
      <c r="V76" s="24" t="str">
        <f>IF(AND('Catchment Area'!$X91&lt;&gt;0,Power!$U89&lt;&gt;0),1,"")</f>
        <v/>
      </c>
      <c r="W76" s="24"/>
      <c r="X76" s="24"/>
      <c r="Y76" s="24"/>
      <c r="Z76" s="24"/>
    </row>
    <row r="77">
      <c r="E77" s="34"/>
      <c r="S77" s="30" t="str">
        <f>IF(AND('Catchment Area'!$E92&lt;&gt;0,Power!$U90&lt;&gt;0),1,"")</f>
        <v/>
      </c>
      <c r="T77" s="24"/>
      <c r="U77" s="24"/>
      <c r="V77" s="30" t="str">
        <f>IF(AND('Catchment Area'!$X92&lt;&gt;0,Power!$U90&lt;&gt;0),1,"")</f>
        <v/>
      </c>
      <c r="W77" s="24"/>
      <c r="X77" s="24"/>
      <c r="Y77" s="24"/>
      <c r="Z77" s="24"/>
    </row>
    <row r="78">
      <c r="E78" s="34"/>
      <c r="S78" s="24" t="str">
        <f>IF(AND('Catchment Area'!$E93&lt;&gt;0,Power!$U91&lt;&gt;0),1,"")</f>
        <v/>
      </c>
      <c r="T78" s="24"/>
      <c r="U78" s="24"/>
      <c r="V78" s="24" t="str">
        <f>IF(AND('Catchment Area'!$X93&lt;&gt;0,Power!$U91&lt;&gt;0),1,"")</f>
        <v/>
      </c>
      <c r="W78" s="24"/>
      <c r="X78" s="24"/>
      <c r="Y78" s="24"/>
      <c r="Z78" s="24"/>
    </row>
    <row r="79">
      <c r="E79" s="34"/>
      <c r="S79" s="30" t="str">
        <f>IF(AND('Catchment Area'!$E94&lt;&gt;0,Power!$U92&lt;&gt;0),1,"")</f>
        <v/>
      </c>
      <c r="T79" s="24"/>
      <c r="U79" s="24"/>
      <c r="V79" s="30" t="str">
        <f>IF(AND('Catchment Area'!$X94&lt;&gt;0,Power!$U92&lt;&gt;0),1,"")</f>
        <v/>
      </c>
      <c r="W79" s="24"/>
      <c r="X79" s="24"/>
      <c r="Y79" s="24"/>
      <c r="Z79" s="24"/>
    </row>
    <row r="80">
      <c r="E80" s="34"/>
      <c r="S80" s="30" t="str">
        <f>IF(AND('Catchment Area'!$E95&lt;&gt;0,Power!$U93&lt;&gt;0),1,"")</f>
        <v/>
      </c>
      <c r="T80" s="24"/>
      <c r="U80" s="24"/>
      <c r="V80" s="30" t="str">
        <f>IF(AND('Catchment Area'!$X95&lt;&gt;0,Power!$U93&lt;&gt;0),1,"")</f>
        <v/>
      </c>
      <c r="W80" s="24"/>
      <c r="X80" s="24"/>
      <c r="Y80" s="24"/>
      <c r="Z80" s="24"/>
    </row>
    <row r="81">
      <c r="E81" s="34"/>
      <c r="S81" s="24" t="str">
        <f>IF(AND('Catchment Area'!$E96&lt;&gt;0,Power!$U94&lt;&gt;0),1,"")</f>
        <v/>
      </c>
      <c r="T81" s="24"/>
      <c r="U81" s="24"/>
      <c r="V81" s="24" t="str">
        <f>IF(AND('Catchment Area'!$X96&lt;&gt;0,Power!$U94&lt;&gt;0),1,"")</f>
        <v/>
      </c>
      <c r="W81" s="24"/>
      <c r="X81" s="24"/>
      <c r="Y81" s="24"/>
      <c r="Z81" s="24"/>
    </row>
    <row r="82">
      <c r="E82" s="34"/>
      <c r="S82" s="30" t="str">
        <f>IF(AND('Catchment Area'!$E97&lt;&gt;0,Power!$U95&lt;&gt;0),1,"")</f>
        <v/>
      </c>
      <c r="T82" s="24"/>
      <c r="U82" s="24"/>
      <c r="V82" s="30" t="str">
        <f>IF(AND('Catchment Area'!$X97&lt;&gt;0,Power!$U95&lt;&gt;0),1,"")</f>
        <v/>
      </c>
      <c r="W82" s="24"/>
      <c r="X82" s="24"/>
      <c r="Y82" s="24"/>
      <c r="Z82" s="24"/>
    </row>
    <row r="83">
      <c r="E83" s="34"/>
      <c r="S83" s="30" t="str">
        <f>IF(AND('Catchment Area'!$E98&lt;&gt;0,Power!$U96&lt;&gt;0),1,"")</f>
        <v/>
      </c>
      <c r="T83" s="24"/>
      <c r="U83" s="24"/>
      <c r="V83" s="30" t="str">
        <f>IF(AND('Catchment Area'!$X98&lt;&gt;0,Power!$U96&lt;&gt;0),1,"")</f>
        <v/>
      </c>
      <c r="W83" s="24"/>
      <c r="X83" s="24"/>
      <c r="Y83" s="24"/>
      <c r="Z83" s="24"/>
    </row>
    <row r="84">
      <c r="E84" s="34"/>
      <c r="S84" s="30" t="str">
        <f>IF(AND('Catchment Area'!$E99&lt;&gt;0,Power!$U97&lt;&gt;0),1,"")</f>
        <v/>
      </c>
      <c r="T84" s="24"/>
      <c r="U84" s="24"/>
      <c r="V84" s="30" t="str">
        <f>IF(AND('Catchment Area'!$X99&lt;&gt;0,Power!$U97&lt;&gt;0),1,"")</f>
        <v/>
      </c>
      <c r="W84" s="24"/>
      <c r="X84" s="24"/>
      <c r="Y84" s="24"/>
      <c r="Z84" s="24"/>
    </row>
    <row r="85">
      <c r="E85" s="34"/>
      <c r="S85" s="24" t="str">
        <f>IF(AND('Catchment Area'!$E100&lt;&gt;0,Power!$U98&lt;&gt;0),1,"")</f>
        <v/>
      </c>
      <c r="T85" s="24"/>
      <c r="U85" s="24"/>
      <c r="V85" s="24" t="str">
        <f>IF(AND('Catchment Area'!$X100&lt;&gt;0,Power!$U98&lt;&gt;0),1,"")</f>
        <v/>
      </c>
      <c r="W85" s="24"/>
      <c r="X85" s="24"/>
      <c r="Y85" s="24"/>
      <c r="Z85" s="24"/>
    </row>
    <row r="86">
      <c r="E86" s="34"/>
      <c r="S86" s="30" t="str">
        <f>IF(AND('Catchment Area'!$E101&lt;&gt;0,Power!$U99&lt;&gt;0),1,"")</f>
        <v/>
      </c>
      <c r="T86" s="24"/>
      <c r="U86" s="24"/>
      <c r="V86" s="30" t="str">
        <f>IF(AND('Catchment Area'!$X101&lt;&gt;0,Power!$U99&lt;&gt;0),1,"")</f>
        <v/>
      </c>
      <c r="W86" s="24"/>
      <c r="X86" s="24"/>
      <c r="Y86" s="24"/>
      <c r="Z86" s="24"/>
    </row>
    <row r="87">
      <c r="E87" s="34"/>
      <c r="S87" s="30" t="str">
        <f>IF(AND('Catchment Area'!$E102&lt;&gt;0,Power!$U100&lt;&gt;0),1,"")</f>
        <v/>
      </c>
      <c r="T87" s="24"/>
      <c r="U87" s="24"/>
      <c r="V87" s="30" t="str">
        <f>IF(AND('Catchment Area'!$X102&lt;&gt;0,Power!$U100&lt;&gt;0),1,"")</f>
        <v/>
      </c>
      <c r="W87" s="24"/>
      <c r="X87" s="24"/>
      <c r="Y87" s="24"/>
      <c r="Z87" s="24"/>
    </row>
    <row r="88">
      <c r="E88" s="34"/>
      <c r="S88" s="24" t="str">
        <f>IF(AND('Catchment Area'!$E103&lt;&gt;0,Power!$U101&lt;&gt;0),1,"")</f>
        <v/>
      </c>
      <c r="T88" s="24"/>
      <c r="U88" s="24"/>
      <c r="V88" s="24" t="str">
        <f>IF(AND('Catchment Area'!$X103&lt;&gt;0,Power!$U101&lt;&gt;0),1,"")</f>
        <v/>
      </c>
      <c r="W88" s="24"/>
      <c r="X88" s="24"/>
      <c r="Y88" s="24"/>
      <c r="Z88" s="24"/>
    </row>
    <row r="89">
      <c r="E89" s="34"/>
      <c r="S89" s="24" t="str">
        <f>IF(AND('Catchment Area'!$E104&lt;&gt;0,Power!$U102&lt;&gt;0),1,"")</f>
        <v/>
      </c>
      <c r="T89" s="24"/>
      <c r="U89" s="24"/>
      <c r="V89" s="24" t="str">
        <f>IF(AND('Catchment Area'!$X104&lt;&gt;0,Power!$U102&lt;&gt;0),1,"")</f>
        <v/>
      </c>
      <c r="W89" s="24"/>
      <c r="X89" s="24"/>
      <c r="Y89" s="24"/>
      <c r="Z89" s="24"/>
    </row>
    <row r="90">
      <c r="E90" s="34"/>
      <c r="S90" s="30" t="str">
        <f>IF(AND('Catchment Area'!$E105&lt;&gt;0,Power!$U103&lt;&gt;0),1,"")</f>
        <v/>
      </c>
      <c r="T90" s="24"/>
      <c r="U90" s="24"/>
      <c r="V90" s="30" t="str">
        <f>IF(AND('Catchment Area'!$X105&lt;&gt;0,Power!$U103&lt;&gt;0),1,"")</f>
        <v/>
      </c>
      <c r="W90" s="24"/>
      <c r="X90" s="24"/>
      <c r="Y90" s="24"/>
      <c r="Z90" s="24"/>
    </row>
    <row r="91">
      <c r="E91" s="34"/>
      <c r="S91" s="30" t="str">
        <f>IF(AND('Catchment Area'!$E106&lt;&gt;0,Power!$U104&lt;&gt;0),1,"")</f>
        <v/>
      </c>
      <c r="T91" s="24"/>
      <c r="U91" s="24"/>
      <c r="V91" s="30" t="str">
        <f>IF(AND('Catchment Area'!$X106&lt;&gt;0,Power!$U104&lt;&gt;0),1,"")</f>
        <v/>
      </c>
      <c r="W91" s="24"/>
      <c r="X91" s="24"/>
      <c r="Y91" s="24"/>
      <c r="Z91" s="24"/>
    </row>
    <row r="92">
      <c r="E92" s="34"/>
      <c r="S92" s="30" t="str">
        <f>IF(AND('Catchment Area'!$E107&lt;&gt;0,Power!$U105&lt;&gt;0),1,"")</f>
        <v/>
      </c>
      <c r="T92" s="24"/>
      <c r="U92" s="24"/>
      <c r="V92" s="30" t="str">
        <f>IF(AND('Catchment Area'!$X107&lt;&gt;0,Power!$U105&lt;&gt;0),1,"")</f>
        <v/>
      </c>
      <c r="W92" s="24"/>
      <c r="X92" s="24"/>
      <c r="Y92" s="24"/>
      <c r="Z92" s="24"/>
    </row>
    <row r="93">
      <c r="E93" s="34"/>
      <c r="S93" s="30" t="str">
        <f>IF(AND('Catchment Area'!$E108&lt;&gt;0,Power!$U106&lt;&gt;0),1,"")</f>
        <v/>
      </c>
      <c r="T93" s="24"/>
      <c r="U93" s="24"/>
      <c r="V93" s="30" t="str">
        <f>IF(AND('Catchment Area'!$X108&lt;&gt;0,Power!$U106&lt;&gt;0),1,"")</f>
        <v/>
      </c>
      <c r="W93" s="24"/>
      <c r="X93" s="24"/>
      <c r="Y93" s="24"/>
      <c r="Z93" s="24"/>
    </row>
    <row r="94">
      <c r="E94" s="34"/>
      <c r="S94" s="24" t="str">
        <f>IF(AND('Catchment Area'!$E109&lt;&gt;0,Power!$U107&lt;&gt;0),1,"")</f>
        <v/>
      </c>
      <c r="T94" s="24"/>
      <c r="U94" s="24"/>
      <c r="V94" s="24" t="str">
        <f>IF(AND('Catchment Area'!$X109&lt;&gt;0,Power!$U107&lt;&gt;0),1,"")</f>
        <v/>
      </c>
      <c r="W94" s="24"/>
      <c r="X94" s="24"/>
      <c r="Y94" s="24"/>
      <c r="Z94" s="24"/>
    </row>
    <row r="95">
      <c r="E95" s="34"/>
      <c r="S95" s="30" t="str">
        <f>IF(AND('Catchment Area'!$E110&lt;&gt;0,Power!$U108&lt;&gt;0),1,"")</f>
        <v/>
      </c>
      <c r="T95" s="24"/>
      <c r="U95" s="24"/>
      <c r="V95" s="30" t="str">
        <f>IF(AND('Catchment Area'!$X110&lt;&gt;0,Power!$U108&lt;&gt;0),1,"")</f>
        <v/>
      </c>
      <c r="W95" s="24"/>
      <c r="X95" s="24"/>
      <c r="Y95" s="24"/>
      <c r="Z95" s="24"/>
    </row>
    <row r="96">
      <c r="E96" s="34"/>
      <c r="S96" s="24" t="str">
        <f>IF(AND('Catchment Area'!$E111&lt;&gt;0,Power!$U109&lt;&gt;0),1,"")</f>
        <v/>
      </c>
      <c r="T96" s="24"/>
      <c r="U96" s="24"/>
      <c r="V96" s="24" t="str">
        <f>IF(AND('Catchment Area'!$X111&lt;&gt;0,Power!$U109&lt;&gt;0),1,"")</f>
        <v/>
      </c>
      <c r="W96" s="24"/>
      <c r="X96" s="24"/>
      <c r="Y96" s="24"/>
      <c r="Z96" s="24"/>
    </row>
    <row r="97">
      <c r="E97" s="34"/>
      <c r="S97" s="24" t="str">
        <f>IF(AND('Catchment Area'!$E112&lt;&gt;0,Power!$U110&lt;&gt;0),1,"")</f>
        <v/>
      </c>
      <c r="T97" s="24"/>
      <c r="U97" s="24"/>
      <c r="V97" s="24" t="str">
        <f>IF(AND('Catchment Area'!$X112&lt;&gt;0,Power!$U110&lt;&gt;0),1,"")</f>
        <v/>
      </c>
      <c r="W97" s="24"/>
      <c r="X97" s="24"/>
      <c r="Y97" s="24"/>
      <c r="Z97" s="24"/>
    </row>
    <row r="98">
      <c r="E98" s="34"/>
      <c r="S98" s="24" t="str">
        <f>IF(AND('Catchment Area'!$E113&lt;&gt;0,Power!$U111&lt;&gt;0),1,"")</f>
        <v/>
      </c>
      <c r="T98" s="24"/>
      <c r="U98" s="24"/>
      <c r="V98" s="24" t="str">
        <f>IF(AND('Catchment Area'!$X113&lt;&gt;0,Power!$U111&lt;&gt;0),1,"")</f>
        <v/>
      </c>
      <c r="W98" s="24"/>
      <c r="X98" s="24"/>
      <c r="Y98" s="24"/>
      <c r="Z98" s="24"/>
    </row>
    <row r="99">
      <c r="E99" s="34"/>
      <c r="S99" s="24" t="str">
        <f>IF(AND('Catchment Area'!$E114&lt;&gt;0,Power!$U112&lt;&gt;0),1,"")</f>
        <v/>
      </c>
      <c r="T99" s="24"/>
      <c r="U99" s="24"/>
      <c r="V99" s="24" t="str">
        <f>IF(AND('Catchment Area'!$X114&lt;&gt;0,Power!$U112&lt;&gt;0),1,"")</f>
        <v/>
      </c>
      <c r="W99" s="24"/>
      <c r="X99" s="24"/>
      <c r="Y99" s="24"/>
      <c r="Z99" s="24"/>
    </row>
    <row r="100">
      <c r="E100" s="34"/>
      <c r="S100" s="30" t="str">
        <f>IF(AND('Catchment Area'!$E115&lt;&gt;0,Power!$U113&lt;&gt;0),1,"")</f>
        <v/>
      </c>
      <c r="T100" s="24"/>
      <c r="U100" s="24"/>
      <c r="V100" s="30" t="str">
        <f>IF(AND('Catchment Area'!$X115&lt;&gt;0,Power!$U113&lt;&gt;0),1,"")</f>
        <v/>
      </c>
      <c r="W100" s="24"/>
      <c r="X100" s="24"/>
      <c r="Y100" s="24"/>
      <c r="Z100" s="24"/>
    </row>
    <row r="101">
      <c r="E101" s="34"/>
      <c r="S101" s="24" t="str">
        <f>IF(AND('Catchment Area'!$E116&lt;&gt;0,Power!$U114&lt;&gt;0),1,"")</f>
        <v/>
      </c>
      <c r="T101" s="24"/>
      <c r="U101" s="24"/>
      <c r="V101" s="24" t="str">
        <f>IF(AND('Catchment Area'!$X116&lt;&gt;0,Power!$U114&lt;&gt;0),1,"")</f>
        <v/>
      </c>
      <c r="W101" s="24"/>
      <c r="X101" s="24"/>
      <c r="Y101" s="24"/>
      <c r="Z101" s="24"/>
    </row>
    <row r="102">
      <c r="E102" s="34"/>
      <c r="S102" s="30" t="str">
        <f>IF(AND('Catchment Area'!$E117&lt;&gt;0,Power!$U115&lt;&gt;0),1,"")</f>
        <v/>
      </c>
      <c r="T102" s="24"/>
      <c r="U102" s="24"/>
      <c r="V102" s="30" t="str">
        <f>IF(AND('Catchment Area'!$X117&lt;&gt;0,Power!$U115&lt;&gt;0),1,"")</f>
        <v/>
      </c>
      <c r="W102" s="24"/>
      <c r="X102" s="24"/>
      <c r="Y102" s="24"/>
      <c r="Z102" s="24"/>
    </row>
    <row r="103">
      <c r="E103" s="34"/>
      <c r="S103" s="30" t="str">
        <f>IF(AND('Catchment Area'!$E118&lt;&gt;0,Power!$U116&lt;&gt;0),1,"")</f>
        <v/>
      </c>
      <c r="T103" s="24"/>
      <c r="U103" s="24"/>
      <c r="V103" s="30" t="str">
        <f>IF(AND('Catchment Area'!$X118&lt;&gt;0,Power!$U116&lt;&gt;0),1,"")</f>
        <v/>
      </c>
      <c r="W103" s="24"/>
      <c r="X103" s="24"/>
      <c r="Y103" s="24"/>
      <c r="Z103" s="24"/>
    </row>
    <row r="104">
      <c r="E104" s="34"/>
      <c r="S104" s="30" t="str">
        <f>IF(AND('Catchment Area'!$E119&lt;&gt;0,Power!$U117&lt;&gt;0),1,"")</f>
        <v/>
      </c>
      <c r="T104" s="24"/>
      <c r="U104" s="24"/>
      <c r="V104" s="30" t="str">
        <f>IF(AND('Catchment Area'!$X119&lt;&gt;0,Power!$U117&lt;&gt;0),1,"")</f>
        <v/>
      </c>
      <c r="W104" s="24"/>
      <c r="X104" s="24"/>
      <c r="Y104" s="24"/>
      <c r="Z104" s="24"/>
    </row>
    <row r="105">
      <c r="E105" s="34"/>
      <c r="S105" s="30" t="str">
        <f>IF(AND('Catchment Area'!$E120&lt;&gt;0,Power!$U118&lt;&gt;0),1,"")</f>
        <v/>
      </c>
      <c r="T105" s="24"/>
      <c r="U105" s="24"/>
      <c r="V105" s="30" t="str">
        <f>IF(AND('Catchment Area'!$X120&lt;&gt;0,Power!$U118&lt;&gt;0),1,"")</f>
        <v/>
      </c>
      <c r="W105" s="24"/>
      <c r="X105" s="24"/>
      <c r="Y105" s="24"/>
      <c r="Z105" s="24"/>
    </row>
    <row r="106">
      <c r="E106" s="34"/>
      <c r="S106" s="24" t="str">
        <f>IF(AND('Catchment Area'!$E121&lt;&gt;0,Power!$U119&lt;&gt;0),1,"")</f>
        <v/>
      </c>
      <c r="T106" s="24"/>
      <c r="U106" s="24"/>
      <c r="V106" s="24" t="str">
        <f>IF(AND('Catchment Area'!$X121&lt;&gt;0,Power!$U119&lt;&gt;0),1,"")</f>
        <v/>
      </c>
      <c r="W106" s="24"/>
      <c r="X106" s="24"/>
      <c r="Y106" s="24"/>
      <c r="Z106" s="24"/>
    </row>
    <row r="107">
      <c r="E107" s="34"/>
      <c r="S107" s="24" t="str">
        <f>IF(AND('Catchment Area'!$E122&lt;&gt;0,Power!$U120&lt;&gt;0),1,"")</f>
        <v/>
      </c>
      <c r="T107" s="24"/>
      <c r="U107" s="24"/>
      <c r="V107" s="24" t="str">
        <f>IF(AND('Catchment Area'!$X122&lt;&gt;0,Power!$U120&lt;&gt;0),1,"")</f>
        <v/>
      </c>
      <c r="W107" s="24"/>
      <c r="X107" s="24"/>
      <c r="Y107" s="24"/>
      <c r="Z107" s="24"/>
    </row>
    <row r="108">
      <c r="E108" s="34"/>
      <c r="S108" s="24" t="str">
        <f>IF(AND('Catchment Area'!$E123&lt;&gt;0,Power!$U121&lt;&gt;0),1,"")</f>
        <v/>
      </c>
      <c r="T108" s="24"/>
      <c r="U108" s="24"/>
      <c r="V108" s="24" t="str">
        <f>IF(AND('Catchment Area'!$X123&lt;&gt;0,Power!$U121&lt;&gt;0),1,"")</f>
        <v/>
      </c>
      <c r="W108" s="24"/>
      <c r="X108" s="24"/>
      <c r="Y108" s="24"/>
      <c r="Z108" s="24"/>
    </row>
    <row r="109">
      <c r="E109" s="34"/>
      <c r="S109" s="30" t="str">
        <f>IF(AND('Catchment Area'!$E124&lt;&gt;0,Power!$U122&lt;&gt;0),1,"")</f>
        <v/>
      </c>
      <c r="T109" s="24"/>
      <c r="U109" s="24"/>
      <c r="V109" s="30" t="str">
        <f>IF(AND('Catchment Area'!$X124&lt;&gt;0,Power!$U122&lt;&gt;0),1,"")</f>
        <v/>
      </c>
      <c r="W109" s="24"/>
      <c r="X109" s="24"/>
      <c r="Y109" s="24"/>
      <c r="Z109" s="24"/>
    </row>
    <row r="110">
      <c r="E110" s="34"/>
      <c r="S110" s="24" t="str">
        <f>IF(AND('Catchment Area'!$E125&lt;&gt;0,Power!$U123&lt;&gt;0),1,"")</f>
        <v/>
      </c>
      <c r="T110" s="24"/>
      <c r="U110" s="24"/>
      <c r="V110" s="24" t="str">
        <f>IF(AND('Catchment Area'!$X125&lt;&gt;0,Power!$U123&lt;&gt;0),1,"")</f>
        <v/>
      </c>
      <c r="W110" s="24"/>
      <c r="X110" s="24"/>
      <c r="Y110" s="24"/>
      <c r="Z110" s="24"/>
    </row>
    <row r="111">
      <c r="E111" s="34"/>
      <c r="S111" s="24" t="str">
        <f>IF(AND('Catchment Area'!$E126&lt;&gt;0,Power!$U124&lt;&gt;0),1,"")</f>
        <v/>
      </c>
      <c r="T111" s="24"/>
      <c r="U111" s="24"/>
      <c r="V111" s="24" t="str">
        <f>IF(AND('Catchment Area'!$X126&lt;&gt;0,Power!$U124&lt;&gt;0),1,"")</f>
        <v/>
      </c>
      <c r="W111" s="24"/>
      <c r="X111" s="24"/>
      <c r="Y111" s="24"/>
      <c r="Z111" s="24"/>
    </row>
    <row r="112">
      <c r="E112" s="34"/>
      <c r="S112" s="30" t="str">
        <f>IF(AND('Catchment Area'!$E127&lt;&gt;0,Power!$U125&lt;&gt;0),1,"")</f>
        <v/>
      </c>
      <c r="T112" s="24"/>
      <c r="U112" s="24"/>
      <c r="V112" s="30" t="str">
        <f>IF(AND('Catchment Area'!$X127&lt;&gt;0,Power!$U125&lt;&gt;0),1,"")</f>
        <v/>
      </c>
      <c r="W112" s="24"/>
      <c r="X112" s="24"/>
      <c r="Y112" s="24"/>
      <c r="Z112" s="24"/>
    </row>
    <row r="113">
      <c r="E113" s="34"/>
      <c r="S113" s="30" t="str">
        <f>IF(AND('Catchment Area'!$E128&lt;&gt;0,Power!$U126&lt;&gt;0),1,"")</f>
        <v/>
      </c>
      <c r="T113" s="24"/>
      <c r="U113" s="24"/>
      <c r="V113" s="30" t="str">
        <f>IF(AND('Catchment Area'!$X128&lt;&gt;0,Power!$U126&lt;&gt;0),1,"")</f>
        <v/>
      </c>
      <c r="W113" s="24"/>
      <c r="X113" s="24"/>
      <c r="Y113" s="24"/>
      <c r="Z113" s="24"/>
    </row>
    <row r="114">
      <c r="E114" s="34"/>
      <c r="S114" s="24" t="str">
        <f>IF(AND('Catchment Area'!$E129&lt;&gt;0,Power!$U127&lt;&gt;0),1,"")</f>
        <v/>
      </c>
      <c r="T114" s="24"/>
      <c r="U114" s="24"/>
      <c r="V114" s="24" t="str">
        <f>IF(AND('Catchment Area'!$X129&lt;&gt;0,Power!$U127&lt;&gt;0),1,"")</f>
        <v/>
      </c>
      <c r="W114" s="24"/>
      <c r="X114" s="24"/>
      <c r="Y114" s="24"/>
      <c r="Z114" s="24"/>
    </row>
    <row r="115">
      <c r="E115" s="34"/>
      <c r="S115" s="24" t="str">
        <f>IF(AND('Catchment Area'!$E130&lt;&gt;0,Power!$U128&lt;&gt;0),1,"")</f>
        <v/>
      </c>
      <c r="T115" s="24"/>
      <c r="U115" s="24"/>
      <c r="V115" s="24" t="str">
        <f>IF(AND('Catchment Area'!$X130&lt;&gt;0,Power!$U128&lt;&gt;0),1,"")</f>
        <v/>
      </c>
      <c r="W115" s="24"/>
      <c r="X115" s="24"/>
      <c r="Y115" s="24"/>
      <c r="Z115" s="24"/>
    </row>
    <row r="116">
      <c r="E116" s="34"/>
      <c r="S116" s="30" t="str">
        <f>IF(AND('Catchment Area'!$E131&lt;&gt;0,Power!$U129&lt;&gt;0),1,"")</f>
        <v/>
      </c>
      <c r="T116" s="24"/>
      <c r="U116" s="24"/>
      <c r="V116" s="30" t="str">
        <f>IF(AND('Catchment Area'!$X131&lt;&gt;0,Power!$U129&lt;&gt;0),1,"")</f>
        <v/>
      </c>
      <c r="W116" s="24"/>
      <c r="X116" s="24"/>
      <c r="Y116" s="24"/>
      <c r="Z116" s="24"/>
    </row>
    <row r="117">
      <c r="E117" s="34"/>
      <c r="S117" s="24" t="str">
        <f>IF(AND('Catchment Area'!$E132&lt;&gt;0,Power!$U130&lt;&gt;0),1,"")</f>
        <v/>
      </c>
      <c r="T117" s="24"/>
      <c r="U117" s="24"/>
      <c r="V117" s="24" t="str">
        <f>IF(AND('Catchment Area'!$X132&lt;&gt;0,Power!$U130&lt;&gt;0),1,"")</f>
        <v/>
      </c>
      <c r="W117" s="24"/>
      <c r="X117" s="24"/>
      <c r="Y117" s="24"/>
      <c r="Z117" s="24"/>
    </row>
    <row r="118">
      <c r="E118" s="34"/>
      <c r="S118" s="24" t="str">
        <f>IF(AND('Catchment Area'!$E133&lt;&gt;0,Power!$U131&lt;&gt;0),1,"")</f>
        <v/>
      </c>
      <c r="T118" s="24"/>
      <c r="U118" s="24"/>
      <c r="V118" s="24" t="str">
        <f>IF(AND('Catchment Area'!$X133&lt;&gt;0,Power!$U131&lt;&gt;0),1,"")</f>
        <v/>
      </c>
      <c r="W118" s="24"/>
      <c r="X118" s="24"/>
      <c r="Y118" s="24"/>
      <c r="Z118" s="24"/>
    </row>
    <row r="119">
      <c r="E119" s="34"/>
      <c r="S119" s="30" t="str">
        <f>IF(AND('Catchment Area'!$E134&lt;&gt;0,Power!$U132&lt;&gt;0),1,"")</f>
        <v/>
      </c>
      <c r="T119" s="24"/>
      <c r="U119" s="24"/>
      <c r="V119" s="30" t="str">
        <f>IF(AND('Catchment Area'!$X134&lt;&gt;0,Power!$U132&lt;&gt;0),1,"")</f>
        <v/>
      </c>
      <c r="W119" s="24"/>
      <c r="X119" s="24"/>
      <c r="Y119" s="24"/>
      <c r="Z119" s="24"/>
    </row>
    <row r="120">
      <c r="E120" s="34"/>
      <c r="S120" s="30" t="str">
        <f>IF(AND('Catchment Area'!$E135&lt;&gt;0,Power!$U133&lt;&gt;0),1,"")</f>
        <v/>
      </c>
      <c r="T120" s="24"/>
      <c r="U120" s="24"/>
      <c r="V120" s="30" t="str">
        <f>IF(AND('Catchment Area'!$X135&lt;&gt;0,Power!$U133&lt;&gt;0),1,"")</f>
        <v/>
      </c>
      <c r="W120" s="24"/>
      <c r="X120" s="24"/>
      <c r="Y120" s="24"/>
      <c r="Z120" s="24"/>
    </row>
    <row r="121">
      <c r="E121" s="34"/>
      <c r="S121" s="30" t="str">
        <f>IF(AND('Catchment Area'!$E136&lt;&gt;0,Power!$U134&lt;&gt;0),1,"")</f>
        <v/>
      </c>
      <c r="T121" s="24"/>
      <c r="U121" s="24"/>
      <c r="V121" s="30" t="str">
        <f>IF(AND('Catchment Area'!$X136&lt;&gt;0,Power!$U134&lt;&gt;0),1,"")</f>
        <v/>
      </c>
      <c r="W121" s="24"/>
      <c r="X121" s="24"/>
      <c r="Y121" s="24"/>
      <c r="Z121" s="24"/>
    </row>
    <row r="122">
      <c r="E122" s="34"/>
      <c r="S122" s="30" t="str">
        <f>IF(AND('Catchment Area'!$E137&lt;&gt;0,Power!$U135&lt;&gt;0),1,"")</f>
        <v/>
      </c>
      <c r="T122" s="24"/>
      <c r="U122" s="24"/>
      <c r="V122" s="30" t="str">
        <f>IF(AND('Catchment Area'!$X137&lt;&gt;0,Power!$U135&lt;&gt;0),1,"")</f>
        <v/>
      </c>
      <c r="W122" s="24"/>
      <c r="X122" s="24"/>
      <c r="Y122" s="24"/>
      <c r="Z122" s="24"/>
    </row>
    <row r="123">
      <c r="E123" s="34"/>
      <c r="S123" s="30" t="str">
        <f>IF(AND('Catchment Area'!$E138&lt;&gt;0,Power!$U136&lt;&gt;0),1,"")</f>
        <v/>
      </c>
      <c r="T123" s="24"/>
      <c r="U123" s="24"/>
      <c r="V123" s="30" t="str">
        <f>IF(AND('Catchment Area'!$X138&lt;&gt;0,Power!$U136&lt;&gt;0),1,"")</f>
        <v/>
      </c>
      <c r="W123" s="24"/>
      <c r="X123" s="24"/>
      <c r="Y123" s="24"/>
      <c r="Z123" s="24"/>
    </row>
    <row r="124">
      <c r="E124" s="34"/>
      <c r="S124" s="30" t="str">
        <f>IF(AND('Catchment Area'!$E139&lt;&gt;0,Power!$U137&lt;&gt;0),1,"")</f>
        <v/>
      </c>
      <c r="T124" s="24"/>
      <c r="U124" s="24"/>
      <c r="V124" s="30" t="str">
        <f>IF(AND('Catchment Area'!$X139&lt;&gt;0,Power!$U137&lt;&gt;0),1,"")</f>
        <v/>
      </c>
      <c r="W124" s="24"/>
      <c r="X124" s="24"/>
      <c r="Y124" s="24"/>
      <c r="Z124" s="24"/>
    </row>
    <row r="125">
      <c r="E125" s="34"/>
      <c r="S125" s="30" t="str">
        <f>IF(AND('Catchment Area'!$E140&lt;&gt;0,Power!$U138&lt;&gt;0),1,"")</f>
        <v/>
      </c>
      <c r="T125" s="24"/>
      <c r="U125" s="24"/>
      <c r="V125" s="30" t="str">
        <f>IF(AND('Catchment Area'!$X140&lt;&gt;0,Power!$U138&lt;&gt;0),1,"")</f>
        <v/>
      </c>
      <c r="W125" s="24"/>
      <c r="X125" s="24"/>
      <c r="Y125" s="24"/>
      <c r="Z125" s="24"/>
    </row>
    <row r="126">
      <c r="E126" s="34"/>
      <c r="S126" s="30" t="str">
        <f>IF(AND('Catchment Area'!$E141&lt;&gt;0,Power!$U139&lt;&gt;0),1,"")</f>
        <v/>
      </c>
      <c r="T126" s="24"/>
      <c r="U126" s="24"/>
      <c r="V126" s="30" t="str">
        <f>IF(AND('Catchment Area'!$X141&lt;&gt;0,Power!$U139&lt;&gt;0),1,"")</f>
        <v/>
      </c>
      <c r="W126" s="24"/>
      <c r="X126" s="24"/>
      <c r="Y126" s="24"/>
      <c r="Z126" s="24"/>
    </row>
    <row r="127">
      <c r="E127" s="34"/>
      <c r="S127" s="30" t="str">
        <f>IF(AND('Catchment Area'!$E142&lt;&gt;0,Power!$U140&lt;&gt;0),1,"")</f>
        <v/>
      </c>
      <c r="T127" s="24"/>
      <c r="U127" s="24"/>
      <c r="V127" s="30" t="str">
        <f>IF(AND('Catchment Area'!$X142&lt;&gt;0,Power!$U140&lt;&gt;0),1,"")</f>
        <v/>
      </c>
      <c r="W127" s="24"/>
      <c r="X127" s="24"/>
      <c r="Y127" s="24"/>
      <c r="Z127" s="24"/>
    </row>
    <row r="128">
      <c r="E128" s="34"/>
      <c r="S128" s="30" t="str">
        <f>IF(AND('Catchment Area'!$E143&lt;&gt;0,Power!$U141&lt;&gt;0),1,"")</f>
        <v/>
      </c>
      <c r="T128" s="24"/>
      <c r="U128" s="24"/>
      <c r="V128" s="30" t="str">
        <f>IF(AND('Catchment Area'!$X143&lt;&gt;0,Power!$U141&lt;&gt;0),1,"")</f>
        <v/>
      </c>
      <c r="W128" s="24"/>
      <c r="X128" s="24"/>
      <c r="Y128" s="24"/>
      <c r="Z128" s="24"/>
    </row>
    <row r="129">
      <c r="E129" s="34"/>
      <c r="S129" s="30" t="str">
        <f>IF(AND('Catchment Area'!$E144&lt;&gt;0,Power!$U142&lt;&gt;0),1,"")</f>
        <v/>
      </c>
      <c r="T129" s="24"/>
      <c r="U129" s="24"/>
      <c r="V129" s="30" t="str">
        <f>IF(AND('Catchment Area'!$X144&lt;&gt;0,Power!$U142&lt;&gt;0),1,"")</f>
        <v/>
      </c>
      <c r="W129" s="24"/>
      <c r="X129" s="24"/>
      <c r="Y129" s="24"/>
      <c r="Z129" s="24"/>
    </row>
    <row r="130">
      <c r="E130" s="34"/>
      <c r="S130" s="30" t="str">
        <f>IF(AND('Catchment Area'!$E145&lt;&gt;0,Power!$U143&lt;&gt;0),1,"")</f>
        <v/>
      </c>
      <c r="T130" s="24"/>
      <c r="U130" s="24"/>
      <c r="V130" s="30" t="str">
        <f>IF(AND('Catchment Area'!$X145&lt;&gt;0,Power!$U143&lt;&gt;0),1,"")</f>
        <v/>
      </c>
      <c r="W130" s="24"/>
      <c r="X130" s="24"/>
      <c r="Y130" s="24"/>
      <c r="Z130" s="24"/>
    </row>
    <row r="131">
      <c r="E131" s="34"/>
      <c r="S131" s="30" t="str">
        <f>IF(AND('Catchment Area'!$E146&lt;&gt;0,Power!$U144&lt;&gt;0),1,"")</f>
        <v/>
      </c>
      <c r="T131" s="24"/>
      <c r="U131" s="24"/>
      <c r="V131" s="30" t="str">
        <f>IF(AND('Catchment Area'!$X146&lt;&gt;0,Power!$U144&lt;&gt;0),1,"")</f>
        <v/>
      </c>
      <c r="W131" s="24"/>
      <c r="X131" s="24"/>
      <c r="Y131" s="24"/>
      <c r="Z131" s="24"/>
    </row>
    <row r="132">
      <c r="E132" s="34"/>
      <c r="S132" s="30" t="str">
        <f>IF(AND('Catchment Area'!$E147&lt;&gt;0,Power!$U145&lt;&gt;0),1,"")</f>
        <v/>
      </c>
      <c r="T132" s="24"/>
      <c r="U132" s="24"/>
      <c r="V132" s="30" t="str">
        <f>IF(AND('Catchment Area'!$X147&lt;&gt;0,Power!$U145&lt;&gt;0),1,"")</f>
        <v/>
      </c>
      <c r="W132" s="24"/>
      <c r="X132" s="24"/>
      <c r="Y132" s="24"/>
      <c r="Z132" s="24"/>
    </row>
    <row r="133">
      <c r="E133" s="34"/>
      <c r="S133" s="30" t="str">
        <f>IF(AND('Catchment Area'!$E148&lt;&gt;0,Power!$U146&lt;&gt;0),1,"")</f>
        <v/>
      </c>
      <c r="T133" s="24"/>
      <c r="U133" s="24"/>
      <c r="V133" s="30" t="str">
        <f>IF(AND('Catchment Area'!$X148&lt;&gt;0,Power!$U146&lt;&gt;0),1,"")</f>
        <v/>
      </c>
      <c r="W133" s="24"/>
      <c r="X133" s="24"/>
      <c r="Y133" s="24"/>
      <c r="Z133" s="24"/>
    </row>
    <row r="134">
      <c r="E134" s="34"/>
      <c r="S134" s="30" t="str">
        <f>IF(AND('Catchment Area'!$E149&lt;&gt;0,Power!$U147&lt;&gt;0),1,"")</f>
        <v/>
      </c>
      <c r="T134" s="24"/>
      <c r="U134" s="24"/>
      <c r="V134" s="30" t="str">
        <f>IF(AND('Catchment Area'!$X149&lt;&gt;0,Power!$U147&lt;&gt;0),1,"")</f>
        <v/>
      </c>
      <c r="W134" s="24"/>
      <c r="X134" s="24"/>
      <c r="Y134" s="24"/>
      <c r="Z134" s="24"/>
    </row>
    <row r="135">
      <c r="E135" s="34"/>
      <c r="S135" s="30" t="str">
        <f>IF(AND('Catchment Area'!$E150&lt;&gt;0,Power!$U148&lt;&gt;0),1,"")</f>
        <v/>
      </c>
      <c r="T135" s="24"/>
      <c r="U135" s="24"/>
      <c r="V135" s="30" t="str">
        <f>IF(AND('Catchment Area'!$X150&lt;&gt;0,Power!$U148&lt;&gt;0),1,"")</f>
        <v/>
      </c>
      <c r="W135" s="24"/>
      <c r="X135" s="24"/>
      <c r="Y135" s="24"/>
      <c r="Z135" s="24"/>
    </row>
    <row r="136">
      <c r="E136" s="34"/>
      <c r="S136" s="30" t="str">
        <f>IF(AND('Catchment Area'!$E151&lt;&gt;0,Power!$U149&lt;&gt;0),1,"")</f>
        <v/>
      </c>
      <c r="T136" s="24"/>
      <c r="U136" s="24"/>
      <c r="V136" s="30" t="str">
        <f>IF(AND('Catchment Area'!$X151&lt;&gt;0,Power!$U149&lt;&gt;0),1,"")</f>
        <v/>
      </c>
      <c r="W136" s="24"/>
      <c r="X136" s="24"/>
      <c r="Y136" s="24"/>
      <c r="Z136" s="24"/>
    </row>
    <row r="137">
      <c r="E137" s="34"/>
      <c r="S137" s="30" t="str">
        <f>IF(AND('Catchment Area'!$E152&lt;&gt;0,Power!$U150&lt;&gt;0),1,"")</f>
        <v/>
      </c>
      <c r="T137" s="24"/>
      <c r="U137" s="24"/>
      <c r="V137" s="30" t="str">
        <f>IF(AND('Catchment Area'!$X152&lt;&gt;0,Power!$U150&lt;&gt;0),1,"")</f>
        <v/>
      </c>
      <c r="W137" s="24"/>
      <c r="X137" s="24"/>
      <c r="Y137" s="24"/>
      <c r="Z137" s="24"/>
    </row>
    <row r="138">
      <c r="E138" s="34"/>
      <c r="S138" s="30" t="str">
        <f>IF(AND('Catchment Area'!$E153&lt;&gt;0,Power!$U151&lt;&gt;0),1,"")</f>
        <v/>
      </c>
      <c r="T138" s="24"/>
      <c r="U138" s="24"/>
      <c r="V138" s="30" t="str">
        <f>IF(AND('Catchment Area'!$X153&lt;&gt;0,Power!$U151&lt;&gt;0),1,"")</f>
        <v/>
      </c>
      <c r="W138" s="24"/>
      <c r="X138" s="24"/>
      <c r="Y138" s="24"/>
      <c r="Z138" s="24"/>
    </row>
    <row r="139">
      <c r="E139" s="34"/>
      <c r="S139" s="30" t="str">
        <f>IF(AND('Catchment Area'!$E154&lt;&gt;0,Power!$U152&lt;&gt;0),1,"")</f>
        <v/>
      </c>
      <c r="T139" s="24"/>
      <c r="U139" s="24"/>
      <c r="V139" s="30" t="str">
        <f>IF(AND('Catchment Area'!$X154&lt;&gt;0,Power!$U152&lt;&gt;0),1,"")</f>
        <v/>
      </c>
      <c r="W139" s="24"/>
      <c r="X139" s="24"/>
      <c r="Y139" s="24"/>
      <c r="Z139" s="24"/>
    </row>
    <row r="140">
      <c r="E140" s="34"/>
      <c r="S140" s="30" t="str">
        <f>IF(AND('Catchment Area'!$E155&lt;&gt;0,Power!$U153&lt;&gt;0),1,"")</f>
        <v/>
      </c>
      <c r="T140" s="24"/>
      <c r="U140" s="24"/>
      <c r="V140" s="30" t="str">
        <f>IF(AND('Catchment Area'!$X155&lt;&gt;0,Power!$U153&lt;&gt;0),1,"")</f>
        <v/>
      </c>
      <c r="W140" s="24"/>
      <c r="X140" s="24"/>
      <c r="Y140" s="24"/>
      <c r="Z140" s="24"/>
    </row>
    <row r="141">
      <c r="E141" s="34"/>
      <c r="S141" s="30" t="str">
        <f>IF(AND('Catchment Area'!$E156&lt;&gt;0,Power!$U154&lt;&gt;0),1,"")</f>
        <v/>
      </c>
      <c r="T141" s="24"/>
      <c r="U141" s="24"/>
      <c r="V141" s="30" t="str">
        <f>IF(AND('Catchment Area'!$X156&lt;&gt;0,Power!$U154&lt;&gt;0),1,"")</f>
        <v/>
      </c>
      <c r="W141" s="24"/>
      <c r="X141" s="24"/>
      <c r="Y141" s="24"/>
      <c r="Z141" s="24"/>
    </row>
    <row r="142">
      <c r="E142" s="34"/>
      <c r="S142" s="30" t="str">
        <f>IF(AND('Catchment Area'!$E157&lt;&gt;0,Power!$U155&lt;&gt;0),1,"")</f>
        <v/>
      </c>
      <c r="T142" s="24"/>
      <c r="U142" s="24"/>
      <c r="V142" s="30" t="str">
        <f>IF(AND('Catchment Area'!$X157&lt;&gt;0,Power!$U155&lt;&gt;0),1,"")</f>
        <v/>
      </c>
      <c r="W142" s="24"/>
      <c r="X142" s="24"/>
      <c r="Y142" s="24"/>
      <c r="Z142" s="24"/>
    </row>
    <row r="143">
      <c r="E143" s="34"/>
      <c r="S143" s="30" t="str">
        <f>IF(AND('Catchment Area'!$E158&lt;&gt;0,Power!$U156&lt;&gt;0),1,"")</f>
        <v/>
      </c>
      <c r="T143" s="24"/>
      <c r="U143" s="24"/>
      <c r="V143" s="30" t="str">
        <f>IF(AND('Catchment Area'!$X158&lt;&gt;0,Power!$U156&lt;&gt;0),1,"")</f>
        <v/>
      </c>
      <c r="W143" s="24"/>
      <c r="X143" s="24"/>
      <c r="Y143" s="24"/>
      <c r="Z143" s="24"/>
    </row>
    <row r="144">
      <c r="E144" s="34"/>
      <c r="S144" s="30" t="str">
        <f>IF(AND('Catchment Area'!$E159&lt;&gt;0,Power!$U157&lt;&gt;0),1,"")</f>
        <v/>
      </c>
      <c r="T144" s="24"/>
      <c r="U144" s="24"/>
      <c r="V144" s="30" t="str">
        <f>IF(AND('Catchment Area'!$X159&lt;&gt;0,Power!$U157&lt;&gt;0),1,"")</f>
        <v/>
      </c>
      <c r="W144" s="24"/>
      <c r="X144" s="24"/>
      <c r="Y144" s="24"/>
      <c r="Z144" s="24"/>
    </row>
    <row r="145">
      <c r="E145" s="34"/>
      <c r="S145" s="30" t="str">
        <f>IF(AND('Catchment Area'!$E160&lt;&gt;0,Power!$U158&lt;&gt;0),1,"")</f>
        <v/>
      </c>
      <c r="T145" s="24"/>
      <c r="U145" s="24"/>
      <c r="V145" s="30" t="str">
        <f>IF(AND('Catchment Area'!$X160&lt;&gt;0,Power!$U158&lt;&gt;0),1,"")</f>
        <v/>
      </c>
      <c r="W145" s="24"/>
      <c r="X145" s="24"/>
      <c r="Y145" s="24"/>
      <c r="Z145" s="24"/>
    </row>
    <row r="146">
      <c r="E146" s="34"/>
      <c r="S146" s="30" t="str">
        <f>IF(AND('Catchment Area'!$E161&lt;&gt;0,Power!$U159&lt;&gt;0),1,"")</f>
        <v/>
      </c>
      <c r="T146" s="24"/>
      <c r="U146" s="24"/>
      <c r="V146" s="30" t="str">
        <f>IF(AND('Catchment Area'!$X161&lt;&gt;0,Power!$U159&lt;&gt;0),1,"")</f>
        <v/>
      </c>
      <c r="W146" s="24"/>
      <c r="X146" s="24"/>
      <c r="Y146" s="24"/>
      <c r="Z146" s="24"/>
    </row>
    <row r="147">
      <c r="E147" s="34"/>
      <c r="S147" s="30" t="str">
        <f>IF(AND('Catchment Area'!$E162&lt;&gt;0,Power!$U160&lt;&gt;0),1,"")</f>
        <v/>
      </c>
      <c r="T147" s="24"/>
      <c r="U147" s="24"/>
      <c r="V147" s="30" t="str">
        <f>IF(AND('Catchment Area'!$X162&lt;&gt;0,Power!$U160&lt;&gt;0),1,"")</f>
        <v/>
      </c>
      <c r="W147" s="24"/>
      <c r="X147" s="24"/>
      <c r="Y147" s="24"/>
      <c r="Z147" s="24"/>
    </row>
    <row r="148">
      <c r="E148" s="34"/>
      <c r="S148" s="30" t="str">
        <f>IF(AND('Catchment Area'!$E163&lt;&gt;0,Power!$U161&lt;&gt;0),1,"")</f>
        <v/>
      </c>
      <c r="T148" s="24"/>
      <c r="U148" s="24"/>
      <c r="V148" s="30" t="str">
        <f>IF(AND('Catchment Area'!$X163&lt;&gt;0,Power!$U161&lt;&gt;0),1,"")</f>
        <v/>
      </c>
      <c r="W148" s="24"/>
      <c r="X148" s="24"/>
      <c r="Y148" s="24"/>
      <c r="Z148" s="24"/>
    </row>
    <row r="149">
      <c r="E149" s="34"/>
      <c r="S149" s="30" t="str">
        <f>IF(AND('Catchment Area'!$E164&lt;&gt;0,Power!$U162&lt;&gt;0),1,"")</f>
        <v/>
      </c>
      <c r="T149" s="24"/>
      <c r="U149" s="24"/>
      <c r="V149" s="30" t="str">
        <f>IF(AND('Catchment Area'!$X164&lt;&gt;0,Power!$U162&lt;&gt;0),1,"")</f>
        <v/>
      </c>
      <c r="W149" s="24"/>
      <c r="X149" s="24"/>
      <c r="Y149" s="24"/>
      <c r="Z149" s="24"/>
    </row>
    <row r="150">
      <c r="E150" s="34"/>
      <c r="S150" s="30" t="str">
        <f>IF(AND('Catchment Area'!$E165&lt;&gt;0,Power!$U163&lt;&gt;0),1,"")</f>
        <v/>
      </c>
      <c r="T150" s="24"/>
      <c r="U150" s="24"/>
      <c r="V150" s="30" t="str">
        <f>IF(AND('Catchment Area'!$X165&lt;&gt;0,Power!$U163&lt;&gt;0),1,"")</f>
        <v/>
      </c>
      <c r="W150" s="24"/>
      <c r="X150" s="24"/>
      <c r="Y150" s="24"/>
      <c r="Z150" s="24"/>
    </row>
    <row r="151">
      <c r="E151" s="34"/>
      <c r="S151" s="30" t="str">
        <f>IF(AND('Catchment Area'!$E166&lt;&gt;0,Power!$U164&lt;&gt;0),1,"")</f>
        <v/>
      </c>
      <c r="T151" s="24"/>
      <c r="U151" s="24"/>
      <c r="V151" s="30" t="str">
        <f>IF(AND('Catchment Area'!$X166&lt;&gt;0,Power!$U164&lt;&gt;0),1,"")</f>
        <v/>
      </c>
      <c r="W151" s="24"/>
      <c r="X151" s="24"/>
      <c r="Y151" s="24"/>
      <c r="Z151" s="24"/>
    </row>
    <row r="152">
      <c r="E152" s="34"/>
      <c r="S152" s="30" t="str">
        <f>IF(AND('Catchment Area'!$E167&lt;&gt;0,Power!$U165&lt;&gt;0),1,"")</f>
        <v/>
      </c>
      <c r="T152" s="24"/>
      <c r="U152" s="24"/>
      <c r="V152" s="30" t="str">
        <f>IF(AND('Catchment Area'!$X167&lt;&gt;0,Power!$U165&lt;&gt;0),1,"")</f>
        <v/>
      </c>
      <c r="W152" s="24"/>
      <c r="X152" s="24"/>
      <c r="Y152" s="24"/>
      <c r="Z152" s="24"/>
    </row>
    <row r="153">
      <c r="E153" s="34"/>
      <c r="S153" s="30" t="str">
        <f>IF(AND('Catchment Area'!$E168&lt;&gt;0,Power!$U166&lt;&gt;0),1,"")</f>
        <v/>
      </c>
      <c r="T153" s="24"/>
      <c r="U153" s="24"/>
      <c r="V153" s="30" t="str">
        <f>IF(AND('Catchment Area'!$X168&lt;&gt;0,Power!$U166&lt;&gt;0),1,"")</f>
        <v/>
      </c>
      <c r="W153" s="24"/>
      <c r="X153" s="24"/>
      <c r="Y153" s="24"/>
      <c r="Z153" s="24"/>
    </row>
    <row r="154">
      <c r="E154" s="34"/>
      <c r="S154" s="30" t="str">
        <f>IF(AND('Catchment Area'!$E169&lt;&gt;0,Power!$U167&lt;&gt;0),1,"")</f>
        <v/>
      </c>
      <c r="T154" s="24"/>
      <c r="U154" s="24"/>
      <c r="V154" s="30" t="str">
        <f>IF(AND('Catchment Area'!$X169&lt;&gt;0,Power!$U167&lt;&gt;0),1,"")</f>
        <v/>
      </c>
      <c r="W154" s="24"/>
      <c r="X154" s="24"/>
      <c r="Y154" s="24"/>
      <c r="Z154" s="24"/>
    </row>
    <row r="155">
      <c r="E155" s="34"/>
      <c r="S155" s="30" t="str">
        <f>IF(AND('Catchment Area'!$E170&lt;&gt;0,Power!$U168&lt;&gt;0),1,"")</f>
        <v/>
      </c>
      <c r="T155" s="24"/>
      <c r="U155" s="24"/>
      <c r="V155" s="30" t="str">
        <f>IF(AND('Catchment Area'!$X170&lt;&gt;0,Power!$U168&lt;&gt;0),1,"")</f>
        <v/>
      </c>
      <c r="W155" s="24"/>
      <c r="X155" s="24"/>
      <c r="Y155" s="24"/>
      <c r="Z155" s="24"/>
    </row>
    <row r="156">
      <c r="E156" s="34"/>
      <c r="S156" s="30" t="str">
        <f>IF(AND('Catchment Area'!$E171&lt;&gt;0,Power!$U169&lt;&gt;0),1,"")</f>
        <v/>
      </c>
      <c r="T156" s="24"/>
      <c r="U156" s="24"/>
      <c r="V156" s="30" t="str">
        <f>IF(AND('Catchment Area'!$X171&lt;&gt;0,Power!$U169&lt;&gt;0),1,"")</f>
        <v/>
      </c>
      <c r="W156" s="24"/>
      <c r="X156" s="24"/>
      <c r="Y156" s="24"/>
      <c r="Z156" s="24"/>
    </row>
    <row r="157">
      <c r="E157" s="34"/>
      <c r="S157" s="30" t="str">
        <f>IF(AND('Catchment Area'!$E172&lt;&gt;0,Power!$U170&lt;&gt;0),1,"")</f>
        <v/>
      </c>
      <c r="T157" s="24"/>
      <c r="U157" s="24"/>
      <c r="V157" s="30" t="str">
        <f>IF(AND('Catchment Area'!$X172&lt;&gt;0,Power!$U170&lt;&gt;0),1,"")</f>
        <v/>
      </c>
      <c r="W157" s="24"/>
      <c r="X157" s="24"/>
      <c r="Y157" s="24"/>
      <c r="Z157" s="24"/>
    </row>
    <row r="158">
      <c r="E158" s="34"/>
      <c r="S158" s="30" t="str">
        <f>IF(AND('Catchment Area'!$E173&lt;&gt;0,Power!$U171&lt;&gt;0),1,"")</f>
        <v/>
      </c>
      <c r="T158" s="24"/>
      <c r="U158" s="24"/>
      <c r="V158" s="30" t="str">
        <f>IF(AND('Catchment Area'!$X173&lt;&gt;0,Power!$U171&lt;&gt;0),1,"")</f>
        <v/>
      </c>
      <c r="W158" s="24"/>
      <c r="X158" s="24"/>
      <c r="Y158" s="24"/>
      <c r="Z158" s="24"/>
    </row>
    <row r="159">
      <c r="E159" s="34"/>
      <c r="S159" s="30" t="str">
        <f>IF(AND('Catchment Area'!$E174&lt;&gt;0,Power!$U172&lt;&gt;0),1,"")</f>
        <v/>
      </c>
      <c r="T159" s="24"/>
      <c r="U159" s="24"/>
      <c r="V159" s="30" t="str">
        <f>IF(AND('Catchment Area'!$X174&lt;&gt;0,Power!$U172&lt;&gt;0),1,"")</f>
        <v/>
      </c>
      <c r="W159" s="24"/>
      <c r="X159" s="24"/>
      <c r="Y159" s="24"/>
      <c r="Z159" s="24"/>
    </row>
    <row r="160">
      <c r="E160" s="34"/>
      <c r="S160" s="30" t="str">
        <f>IF(AND('Catchment Area'!$E175&lt;&gt;0,Power!$U173&lt;&gt;0),1,"")</f>
        <v/>
      </c>
      <c r="T160" s="24"/>
      <c r="U160" s="24"/>
      <c r="V160" s="30" t="str">
        <f>IF(AND('Catchment Area'!$X175&lt;&gt;0,Power!$U173&lt;&gt;0),1,"")</f>
        <v/>
      </c>
      <c r="W160" s="24"/>
      <c r="X160" s="24"/>
      <c r="Y160" s="24"/>
      <c r="Z160" s="24"/>
    </row>
    <row r="161">
      <c r="E161" s="34"/>
      <c r="S161" s="30" t="str">
        <f>IF(AND('Catchment Area'!$E176&lt;&gt;0,Power!$U174&lt;&gt;0),1,"")</f>
        <v/>
      </c>
      <c r="T161" s="24"/>
      <c r="U161" s="24"/>
      <c r="V161" s="30" t="str">
        <f>IF(AND('Catchment Area'!$X176&lt;&gt;0,Power!$U174&lt;&gt;0),1,"")</f>
        <v/>
      </c>
      <c r="W161" s="24"/>
      <c r="X161" s="24"/>
      <c r="Y161" s="24"/>
      <c r="Z161" s="24"/>
    </row>
    <row r="162">
      <c r="E162" s="34"/>
      <c r="S162" s="30" t="str">
        <f>IF(AND('Catchment Area'!$E177&lt;&gt;0,Power!$U175&lt;&gt;0),1,"")</f>
        <v/>
      </c>
      <c r="T162" s="24"/>
      <c r="U162" s="24"/>
      <c r="V162" s="30" t="str">
        <f>IF(AND('Catchment Area'!$X177&lt;&gt;0,Power!$U175&lt;&gt;0),1,"")</f>
        <v/>
      </c>
      <c r="W162" s="24"/>
      <c r="X162" s="24"/>
      <c r="Y162" s="24"/>
      <c r="Z162" s="24"/>
    </row>
    <row r="163">
      <c r="E163" s="34"/>
      <c r="S163" s="30" t="str">
        <f>IF(AND('Catchment Area'!$E178&lt;&gt;0,Power!$U176&lt;&gt;0),1,"")</f>
        <v/>
      </c>
      <c r="T163" s="24"/>
      <c r="U163" s="24"/>
      <c r="V163" s="30" t="str">
        <f>IF(AND('Catchment Area'!$X178&lt;&gt;0,Power!$U176&lt;&gt;0),1,"")</f>
        <v/>
      </c>
      <c r="W163" s="24"/>
      <c r="X163" s="24"/>
      <c r="Y163" s="24"/>
      <c r="Z163" s="24"/>
    </row>
    <row r="164">
      <c r="E164" s="34"/>
      <c r="S164" s="30" t="str">
        <f>IF(AND('Catchment Area'!$E179&lt;&gt;0,Power!$U177&lt;&gt;0),1,"")</f>
        <v/>
      </c>
      <c r="T164" s="24"/>
      <c r="U164" s="24"/>
      <c r="V164" s="30" t="str">
        <f>IF(AND('Catchment Area'!$X179&lt;&gt;0,Power!$U177&lt;&gt;0),1,"")</f>
        <v/>
      </c>
      <c r="W164" s="24"/>
      <c r="X164" s="24"/>
      <c r="Y164" s="24"/>
      <c r="Z164" s="24"/>
    </row>
    <row r="165">
      <c r="E165" s="34"/>
      <c r="S165" s="30" t="str">
        <f>IF(AND('Catchment Area'!$E180&lt;&gt;0,Power!$U178&lt;&gt;0),1,"")</f>
        <v/>
      </c>
      <c r="T165" s="24"/>
      <c r="U165" s="24"/>
      <c r="V165" s="30" t="str">
        <f>IF(AND('Catchment Area'!$X180&lt;&gt;0,Power!$U178&lt;&gt;0),1,"")</f>
        <v/>
      </c>
      <c r="W165" s="24"/>
      <c r="X165" s="24"/>
      <c r="Y165" s="24"/>
      <c r="Z165" s="24"/>
    </row>
    <row r="166">
      <c r="E166" s="34"/>
      <c r="S166" s="30" t="str">
        <f>IF(AND('Catchment Area'!$E181&lt;&gt;0,Power!$U179&lt;&gt;0),1,"")</f>
        <v/>
      </c>
      <c r="T166" s="24"/>
      <c r="U166" s="24"/>
      <c r="V166" s="30" t="str">
        <f>IF(AND('Catchment Area'!$X181&lt;&gt;0,Power!$U179&lt;&gt;0),1,"")</f>
        <v/>
      </c>
      <c r="W166" s="24"/>
      <c r="X166" s="24"/>
      <c r="Y166" s="24"/>
      <c r="Z166" s="24"/>
    </row>
    <row r="167">
      <c r="E167" s="34"/>
      <c r="S167" s="30" t="str">
        <f>IF(AND('Catchment Area'!$E182&lt;&gt;0,Power!$U180&lt;&gt;0),1,"")</f>
        <v/>
      </c>
      <c r="T167" s="24"/>
      <c r="U167" s="24"/>
      <c r="V167" s="30" t="str">
        <f>IF(AND('Catchment Area'!$X182&lt;&gt;0,Power!$U180&lt;&gt;0),1,"")</f>
        <v/>
      </c>
      <c r="W167" s="24"/>
      <c r="X167" s="24"/>
      <c r="Y167" s="24"/>
      <c r="Z167" s="24"/>
    </row>
    <row r="168">
      <c r="E168" s="34"/>
      <c r="S168" s="30" t="str">
        <f>IF(AND('Catchment Area'!$E183&lt;&gt;0,Power!$U181&lt;&gt;0),1,"")</f>
        <v/>
      </c>
      <c r="T168" s="24"/>
      <c r="U168" s="24"/>
      <c r="V168" s="30" t="str">
        <f>IF(AND('Catchment Area'!$X183&lt;&gt;0,Power!$U181&lt;&gt;0),1,"")</f>
        <v/>
      </c>
      <c r="W168" s="24"/>
      <c r="X168" s="24"/>
      <c r="Y168" s="24"/>
      <c r="Z168" s="24"/>
    </row>
    <row r="169">
      <c r="E169" s="34"/>
      <c r="S169" s="30" t="str">
        <f>IF(AND('Catchment Area'!$E184&lt;&gt;0,Power!$U182&lt;&gt;0),1,"")</f>
        <v/>
      </c>
      <c r="T169" s="24"/>
      <c r="U169" s="24"/>
      <c r="V169" s="30" t="str">
        <f>IF(AND('Catchment Area'!$X184&lt;&gt;0,Power!$U182&lt;&gt;0),1,"")</f>
        <v/>
      </c>
      <c r="W169" s="24"/>
      <c r="X169" s="24"/>
      <c r="Y169" s="24"/>
      <c r="Z169" s="24"/>
    </row>
    <row r="170">
      <c r="E170" s="34"/>
      <c r="S170" s="30" t="str">
        <f>IF(AND('Catchment Area'!$E185&lt;&gt;0,Power!$U183&lt;&gt;0),1,"")</f>
        <v/>
      </c>
      <c r="T170" s="24"/>
      <c r="U170" s="24"/>
      <c r="V170" s="30" t="str">
        <f>IF(AND('Catchment Area'!$X185&lt;&gt;0,Power!$U183&lt;&gt;0),1,"")</f>
        <v/>
      </c>
      <c r="W170" s="24"/>
      <c r="X170" s="24"/>
      <c r="Y170" s="24"/>
      <c r="Z170" s="24"/>
    </row>
    <row r="171">
      <c r="E171" s="34"/>
      <c r="S171" s="30" t="str">
        <f>IF(AND('Catchment Area'!$E186&lt;&gt;0,Power!$U184&lt;&gt;0),1,"")</f>
        <v/>
      </c>
      <c r="T171" s="24"/>
      <c r="U171" s="24"/>
      <c r="V171" s="30" t="str">
        <f>IF(AND('Catchment Area'!$X186&lt;&gt;0,Power!$U184&lt;&gt;0),1,"")</f>
        <v/>
      </c>
      <c r="W171" s="24"/>
      <c r="X171" s="24"/>
      <c r="Y171" s="24"/>
      <c r="Z171" s="24"/>
    </row>
    <row r="172">
      <c r="E172" s="34"/>
      <c r="S172" s="30" t="str">
        <f>IF(AND('Catchment Area'!$E187&lt;&gt;0,Power!$U185&lt;&gt;0),1,"")</f>
        <v/>
      </c>
      <c r="T172" s="24"/>
      <c r="U172" s="24"/>
      <c r="V172" s="30" t="str">
        <f>IF(AND('Catchment Area'!$X187&lt;&gt;0,Power!$U185&lt;&gt;0),1,"")</f>
        <v/>
      </c>
      <c r="W172" s="24"/>
      <c r="X172" s="24"/>
      <c r="Y172" s="24"/>
      <c r="Z172" s="24"/>
    </row>
    <row r="173">
      <c r="E173" s="34"/>
      <c r="S173" s="30" t="str">
        <f>IF(AND('Catchment Area'!$E188&lt;&gt;0,Power!$U186&lt;&gt;0),1,"")</f>
        <v/>
      </c>
      <c r="T173" s="24"/>
      <c r="U173" s="24"/>
      <c r="V173" s="30" t="str">
        <f>IF(AND('Catchment Area'!$X188&lt;&gt;0,Power!$U186&lt;&gt;0),1,"")</f>
        <v/>
      </c>
      <c r="W173" s="24"/>
      <c r="X173" s="24"/>
      <c r="Y173" s="24"/>
      <c r="Z173" s="24"/>
    </row>
    <row r="174">
      <c r="E174" s="34"/>
      <c r="S174" s="30" t="str">
        <f>IF(AND('Catchment Area'!$E189&lt;&gt;0,Power!$U187&lt;&gt;0),1,"")</f>
        <v/>
      </c>
      <c r="T174" s="24"/>
      <c r="U174" s="24"/>
      <c r="V174" s="30" t="str">
        <f>IF(AND('Catchment Area'!$X189&lt;&gt;0,Power!$U187&lt;&gt;0),1,"")</f>
        <v/>
      </c>
      <c r="W174" s="24"/>
      <c r="X174" s="24"/>
      <c r="Y174" s="24"/>
      <c r="Z174" s="24"/>
    </row>
    <row r="175">
      <c r="E175" s="34"/>
      <c r="S175" s="30" t="str">
        <f>IF(AND('Catchment Area'!$E190&lt;&gt;0,Power!$U188&lt;&gt;0),1,"")</f>
        <v/>
      </c>
      <c r="T175" s="24"/>
      <c r="U175" s="24"/>
      <c r="V175" s="30" t="str">
        <f>IF(AND('Catchment Area'!$X190&lt;&gt;0,Power!$U188&lt;&gt;0),1,"")</f>
        <v/>
      </c>
      <c r="W175" s="24"/>
      <c r="X175" s="24"/>
      <c r="Y175" s="24"/>
      <c r="Z175" s="24"/>
    </row>
    <row r="176">
      <c r="E176" s="34"/>
      <c r="S176" s="30" t="str">
        <f>IF(AND('Catchment Area'!$E191&lt;&gt;0,Power!$U189&lt;&gt;0),1,"")</f>
        <v/>
      </c>
      <c r="T176" s="24"/>
      <c r="U176" s="24"/>
      <c r="V176" s="30" t="str">
        <f>IF(AND('Catchment Area'!$X191&lt;&gt;0,Power!$U189&lt;&gt;0),1,"")</f>
        <v/>
      </c>
      <c r="W176" s="24"/>
      <c r="X176" s="24"/>
      <c r="Y176" s="24"/>
      <c r="Z176" s="24"/>
    </row>
    <row r="177">
      <c r="E177" s="34"/>
      <c r="S177" s="30" t="str">
        <f>IF(AND('Catchment Area'!$E192&lt;&gt;0,Power!$U190&lt;&gt;0),1,"")</f>
        <v/>
      </c>
      <c r="T177" s="24"/>
      <c r="U177" s="24"/>
      <c r="V177" s="30" t="str">
        <f>IF(AND('Catchment Area'!$X192&lt;&gt;0,Power!$U190&lt;&gt;0),1,"")</f>
        <v/>
      </c>
      <c r="W177" s="24"/>
      <c r="X177" s="24"/>
      <c r="Y177" s="24"/>
      <c r="Z177" s="24"/>
    </row>
    <row r="178">
      <c r="E178" s="34"/>
      <c r="S178" s="30" t="str">
        <f>IF(AND('Catchment Area'!$E193&lt;&gt;0,Power!$U191&lt;&gt;0),1,"")</f>
        <v/>
      </c>
      <c r="T178" s="24"/>
      <c r="U178" s="24"/>
      <c r="V178" s="30" t="str">
        <f>IF(AND('Catchment Area'!$X193&lt;&gt;0,Power!$U191&lt;&gt;0),1,"")</f>
        <v/>
      </c>
      <c r="W178" s="24"/>
      <c r="X178" s="24"/>
      <c r="Y178" s="24"/>
      <c r="Z178" s="24"/>
    </row>
    <row r="179">
      <c r="E179" s="34"/>
      <c r="S179" s="30" t="str">
        <f>IF(AND('Catchment Area'!$E194&lt;&gt;0,Power!$U192&lt;&gt;0),1,"")</f>
        <v/>
      </c>
      <c r="T179" s="24"/>
      <c r="U179" s="24"/>
      <c r="V179" s="30" t="str">
        <f>IF(AND('Catchment Area'!$X194&lt;&gt;0,Power!$U192&lt;&gt;0),1,"")</f>
        <v/>
      </c>
      <c r="W179" s="24"/>
      <c r="X179" s="24"/>
      <c r="Y179" s="24"/>
      <c r="Z179" s="24"/>
    </row>
    <row r="180">
      <c r="E180" s="34"/>
      <c r="S180" s="30" t="str">
        <f>IF(AND('Catchment Area'!$E195&lt;&gt;0,Power!$U193&lt;&gt;0),1,"")</f>
        <v/>
      </c>
      <c r="T180" s="24"/>
      <c r="U180" s="24"/>
      <c r="V180" s="30" t="str">
        <f>IF(AND('Catchment Area'!$X195&lt;&gt;0,Power!$U193&lt;&gt;0),1,"")</f>
        <v/>
      </c>
      <c r="W180" s="24"/>
      <c r="X180" s="24"/>
      <c r="Y180" s="24"/>
      <c r="Z180" s="24"/>
    </row>
    <row r="181">
      <c r="E181" s="34"/>
      <c r="S181" s="30" t="str">
        <f>IF(AND('Catchment Area'!$E196&lt;&gt;0,Power!$U194&lt;&gt;0),1,"")</f>
        <v/>
      </c>
      <c r="T181" s="24"/>
      <c r="U181" s="24"/>
      <c r="V181" s="30" t="str">
        <f>IF(AND('Catchment Area'!$X196&lt;&gt;0,Power!$U194&lt;&gt;0),1,"")</f>
        <v/>
      </c>
      <c r="W181" s="24"/>
      <c r="X181" s="24"/>
      <c r="Y181" s="24"/>
      <c r="Z181" s="24"/>
    </row>
    <row r="182">
      <c r="E182" s="34"/>
      <c r="S182" s="30" t="str">
        <f>IF(AND('Catchment Area'!$E197&lt;&gt;0,Power!$U195&lt;&gt;0),1,"")</f>
        <v/>
      </c>
      <c r="T182" s="24"/>
      <c r="U182" s="24"/>
      <c r="V182" s="30" t="str">
        <f>IF(AND('Catchment Area'!$X197&lt;&gt;0,Power!$U195&lt;&gt;0),1,"")</f>
        <v/>
      </c>
      <c r="W182" s="24"/>
      <c r="X182" s="24"/>
      <c r="Y182" s="24"/>
      <c r="Z182" s="24"/>
    </row>
    <row r="183">
      <c r="E183" s="34"/>
      <c r="S183" s="30" t="str">
        <f>IF(AND('Catchment Area'!$E198&lt;&gt;0,Power!$U196&lt;&gt;0),1,"")</f>
        <v/>
      </c>
      <c r="T183" s="24"/>
      <c r="U183" s="24"/>
      <c r="V183" s="30" t="str">
        <f>IF(AND('Catchment Area'!$X198&lt;&gt;0,Power!$U196&lt;&gt;0),1,"")</f>
        <v/>
      </c>
      <c r="W183" s="24"/>
      <c r="X183" s="24"/>
      <c r="Y183" s="24"/>
      <c r="Z183" s="24"/>
    </row>
    <row r="184">
      <c r="E184" s="34"/>
      <c r="S184" s="30" t="str">
        <f>IF(AND('Catchment Area'!$E199&lt;&gt;0,Power!$U197&lt;&gt;0),1,"")</f>
        <v/>
      </c>
      <c r="T184" s="24"/>
      <c r="U184" s="24"/>
      <c r="V184" s="30" t="str">
        <f>IF(AND('Catchment Area'!$X199&lt;&gt;0,Power!$U197&lt;&gt;0),1,"")</f>
        <v/>
      </c>
      <c r="W184" s="24"/>
      <c r="X184" s="24"/>
      <c r="Y184" s="24"/>
      <c r="Z184" s="24"/>
    </row>
    <row r="185">
      <c r="E185" s="34"/>
      <c r="S185" s="30" t="str">
        <f>IF(AND('Catchment Area'!$E200&lt;&gt;0,Power!$U198&lt;&gt;0),1,"")</f>
        <v/>
      </c>
      <c r="T185" s="24"/>
      <c r="U185" s="24"/>
      <c r="V185" s="30" t="str">
        <f>IF(AND('Catchment Area'!$X200&lt;&gt;0,Power!$U198&lt;&gt;0),1,"")</f>
        <v/>
      </c>
      <c r="W185" s="24"/>
      <c r="X185" s="24"/>
      <c r="Y185" s="24"/>
      <c r="Z185" s="24"/>
    </row>
    <row r="186">
      <c r="E186" s="34"/>
      <c r="S186" s="30" t="str">
        <f>IF(AND('Catchment Area'!$E201&lt;&gt;0,Power!$U199&lt;&gt;0),1,"")</f>
        <v/>
      </c>
      <c r="T186" s="24"/>
      <c r="U186" s="24"/>
      <c r="V186" s="30" t="str">
        <f>IF(AND('Catchment Area'!$X201&lt;&gt;0,Power!$U199&lt;&gt;0),1,"")</f>
        <v/>
      </c>
      <c r="W186" s="24"/>
      <c r="X186" s="24"/>
      <c r="Y186" s="24"/>
      <c r="Z186" s="24"/>
    </row>
    <row r="187">
      <c r="E187" s="34"/>
      <c r="S187" s="30" t="str">
        <f>IF(AND('Catchment Area'!$E202&lt;&gt;0,Power!$U200&lt;&gt;0),1,"")</f>
        <v/>
      </c>
      <c r="T187" s="24"/>
      <c r="U187" s="24"/>
      <c r="V187" s="30" t="str">
        <f>IF(AND('Catchment Area'!$X202&lt;&gt;0,Power!$U200&lt;&gt;0),1,"")</f>
        <v/>
      </c>
      <c r="W187" s="24"/>
      <c r="X187" s="24"/>
      <c r="Y187" s="24"/>
      <c r="Z187" s="24"/>
    </row>
    <row r="188">
      <c r="E188" s="34"/>
      <c r="S188" s="30" t="str">
        <f>IF(AND('Catchment Area'!$E203&lt;&gt;0,Power!$U201&lt;&gt;0),1,"")</f>
        <v/>
      </c>
      <c r="T188" s="24"/>
      <c r="U188" s="24"/>
      <c r="V188" s="30" t="str">
        <f>IF(AND('Catchment Area'!$X203&lt;&gt;0,Power!$U201&lt;&gt;0),1,"")</f>
        <v/>
      </c>
      <c r="W188" s="24"/>
      <c r="X188" s="24"/>
      <c r="Y188" s="24"/>
      <c r="Z188" s="24"/>
    </row>
    <row r="189">
      <c r="E189" s="34"/>
      <c r="S189" s="30" t="str">
        <f>IF(AND('Catchment Area'!$E204&lt;&gt;0,Power!$U202&lt;&gt;0),1,"")</f>
        <v/>
      </c>
      <c r="T189" s="24"/>
      <c r="U189" s="24"/>
      <c r="V189" s="30" t="str">
        <f>IF(AND('Catchment Area'!$X204&lt;&gt;0,Power!$U202&lt;&gt;0),1,"")</f>
        <v/>
      </c>
      <c r="W189" s="24"/>
      <c r="X189" s="24"/>
      <c r="Y189" s="24"/>
      <c r="Z189" s="24"/>
    </row>
    <row r="190">
      <c r="E190" s="34"/>
      <c r="S190" s="30" t="str">
        <f>IF(AND('Catchment Area'!$E205&lt;&gt;0,Power!$U203&lt;&gt;0),1,"")</f>
        <v/>
      </c>
      <c r="T190" s="24"/>
      <c r="U190" s="24"/>
      <c r="V190" s="30" t="str">
        <f>IF(AND('Catchment Area'!$X205&lt;&gt;0,Power!$U203&lt;&gt;0),1,"")</f>
        <v/>
      </c>
      <c r="W190" s="24"/>
      <c r="X190" s="24"/>
      <c r="Y190" s="24"/>
      <c r="Z190" s="24"/>
    </row>
    <row r="191">
      <c r="E191" s="34"/>
      <c r="S191" s="30" t="str">
        <f>IF(AND('Catchment Area'!$E206&lt;&gt;0,Power!$U204&lt;&gt;0),1,"")</f>
        <v/>
      </c>
      <c r="T191" s="24"/>
      <c r="U191" s="24"/>
      <c r="V191" s="30" t="str">
        <f>IF(AND('Catchment Area'!$X206&lt;&gt;0,Power!$U204&lt;&gt;0),1,"")</f>
        <v/>
      </c>
      <c r="W191" s="24"/>
      <c r="X191" s="24"/>
      <c r="Y191" s="24"/>
      <c r="Z191" s="24"/>
    </row>
    <row r="192">
      <c r="E192" s="34"/>
      <c r="S192" s="30" t="str">
        <f>IF(AND('Catchment Area'!$E207&lt;&gt;0,Power!$U205&lt;&gt;0),1,"")</f>
        <v/>
      </c>
      <c r="T192" s="24"/>
      <c r="U192" s="24"/>
      <c r="V192" s="30" t="str">
        <f>IF(AND('Catchment Area'!$X207&lt;&gt;0,Power!$U205&lt;&gt;0),1,"")</f>
        <v/>
      </c>
      <c r="W192" s="24"/>
      <c r="X192" s="24"/>
      <c r="Y192" s="24"/>
      <c r="Z192" s="24"/>
    </row>
    <row r="193">
      <c r="E193" s="34"/>
      <c r="S193" s="30" t="str">
        <f>IF(AND('Catchment Area'!$E208&lt;&gt;0,Power!$U206&lt;&gt;0),1,"")</f>
        <v/>
      </c>
      <c r="T193" s="24"/>
      <c r="U193" s="24"/>
      <c r="V193" s="30" t="str">
        <f>IF(AND('Catchment Area'!$X208&lt;&gt;0,Power!$U206&lt;&gt;0),1,"")</f>
        <v/>
      </c>
      <c r="W193" s="24"/>
      <c r="X193" s="24"/>
      <c r="Y193" s="24"/>
      <c r="Z193" s="24"/>
    </row>
    <row r="194">
      <c r="E194" s="34"/>
      <c r="S194" s="30" t="str">
        <f>IF(AND('Catchment Area'!$E209&lt;&gt;0,Power!$U207&lt;&gt;0),1,"")</f>
        <v/>
      </c>
      <c r="T194" s="24"/>
      <c r="U194" s="24"/>
      <c r="V194" s="30" t="str">
        <f>IF(AND('Catchment Area'!$X209&lt;&gt;0,Power!$U207&lt;&gt;0),1,"")</f>
        <v/>
      </c>
      <c r="W194" s="24"/>
      <c r="X194" s="24"/>
      <c r="Y194" s="24"/>
      <c r="Z194" s="24"/>
    </row>
    <row r="195">
      <c r="E195" s="34"/>
      <c r="S195" s="30" t="str">
        <f>IF(AND('Catchment Area'!$E210&lt;&gt;0,Power!$U208&lt;&gt;0),1,"")</f>
        <v/>
      </c>
      <c r="T195" s="24"/>
      <c r="U195" s="24"/>
      <c r="V195" s="30" t="str">
        <f>IF(AND('Catchment Area'!$X210&lt;&gt;0,Power!$U208&lt;&gt;0),1,"")</f>
        <v/>
      </c>
      <c r="W195" s="24"/>
      <c r="X195" s="24"/>
      <c r="Y195" s="24"/>
      <c r="Z195" s="24"/>
    </row>
    <row r="196">
      <c r="E196" s="34"/>
      <c r="S196" s="30" t="str">
        <f>IF(AND('Catchment Area'!$E211&lt;&gt;0,Power!$U209&lt;&gt;0),1,"")</f>
        <v/>
      </c>
      <c r="T196" s="24"/>
      <c r="U196" s="24"/>
      <c r="V196" s="30" t="str">
        <f>IF(AND('Catchment Area'!$X211&lt;&gt;0,Power!$U209&lt;&gt;0),1,"")</f>
        <v/>
      </c>
      <c r="W196" s="24"/>
      <c r="X196" s="24"/>
      <c r="Y196" s="24"/>
      <c r="Z196" s="24"/>
    </row>
    <row r="197">
      <c r="E197" s="34"/>
      <c r="S197" s="30" t="str">
        <f>IF(AND('Catchment Area'!$E212&lt;&gt;0,Power!$U210&lt;&gt;0),1,"")</f>
        <v/>
      </c>
      <c r="T197" s="24"/>
      <c r="U197" s="24"/>
      <c r="V197" s="30" t="str">
        <f>IF(AND('Catchment Area'!$X212&lt;&gt;0,Power!$U210&lt;&gt;0),1,"")</f>
        <v/>
      </c>
      <c r="W197" s="24"/>
      <c r="X197" s="24"/>
      <c r="Y197" s="24"/>
      <c r="Z197" s="24"/>
    </row>
    <row r="198">
      <c r="E198" s="34"/>
      <c r="S198" s="30" t="str">
        <f>IF(AND('Catchment Area'!$E213&lt;&gt;0,Power!$U211&lt;&gt;0),1,"")</f>
        <v/>
      </c>
      <c r="T198" s="24"/>
      <c r="U198" s="24"/>
      <c r="V198" s="30" t="str">
        <f>IF(AND('Catchment Area'!$X213&lt;&gt;0,Power!$U211&lt;&gt;0),1,"")</f>
        <v/>
      </c>
      <c r="W198" s="24"/>
      <c r="X198" s="24"/>
      <c r="Y198" s="24"/>
      <c r="Z198" s="24"/>
    </row>
    <row r="199">
      <c r="E199" s="34"/>
      <c r="S199" s="30" t="str">
        <f>IF(AND('Catchment Area'!$E214&lt;&gt;0,Power!$U212&lt;&gt;0),1,"")</f>
        <v/>
      </c>
      <c r="T199" s="24"/>
      <c r="U199" s="24"/>
      <c r="V199" s="30" t="str">
        <f>IF(AND('Catchment Area'!$X214&lt;&gt;0,Power!$U212&lt;&gt;0),1,"")</f>
        <v/>
      </c>
      <c r="W199" s="24"/>
      <c r="X199" s="24"/>
      <c r="Y199" s="24"/>
      <c r="Z199" s="24"/>
    </row>
    <row r="200">
      <c r="E200" s="34"/>
      <c r="S200" s="30" t="str">
        <f>IF(AND('Catchment Area'!$E215&lt;&gt;0,Power!$U213&lt;&gt;0),1,"")</f>
        <v/>
      </c>
      <c r="T200" s="24"/>
      <c r="U200" s="24"/>
      <c r="V200" s="30" t="str">
        <f>IF(AND('Catchment Area'!$X215&lt;&gt;0,Power!$U213&lt;&gt;0),1,"")</f>
        <v/>
      </c>
      <c r="W200" s="24"/>
      <c r="X200" s="24"/>
      <c r="Y200" s="24"/>
      <c r="Z200" s="24"/>
    </row>
    <row r="201">
      <c r="E201" s="34"/>
      <c r="S201" s="30" t="str">
        <f>IF(AND('Catchment Area'!$E216&lt;&gt;0,Power!$U214&lt;&gt;0),1,"")</f>
        <v/>
      </c>
      <c r="T201" s="24"/>
      <c r="U201" s="24"/>
      <c r="V201" s="30" t="str">
        <f>IF(AND('Catchment Area'!$X216&lt;&gt;0,Power!$U214&lt;&gt;0),1,"")</f>
        <v/>
      </c>
      <c r="W201" s="24"/>
      <c r="X201" s="24"/>
      <c r="Y201" s="24"/>
      <c r="Z201" s="24"/>
    </row>
    <row r="202">
      <c r="E202" s="34"/>
      <c r="S202" s="30" t="str">
        <f>IF(AND('Catchment Area'!$E217&lt;&gt;0,Power!$U215&lt;&gt;0),1,"")</f>
        <v/>
      </c>
      <c r="T202" s="24"/>
      <c r="U202" s="24"/>
      <c r="V202" s="30" t="str">
        <f>IF(AND('Catchment Area'!$X217&lt;&gt;0,Power!$U215&lt;&gt;0),1,"")</f>
        <v/>
      </c>
      <c r="W202" s="24"/>
      <c r="X202" s="24"/>
      <c r="Y202" s="24"/>
      <c r="Z202" s="24"/>
    </row>
    <row r="203">
      <c r="E203" s="34"/>
      <c r="S203" s="30" t="str">
        <f>IF(AND('Catchment Area'!$E218&lt;&gt;0,Power!$U216&lt;&gt;0),1,"")</f>
        <v/>
      </c>
      <c r="T203" s="24"/>
      <c r="U203" s="24"/>
      <c r="V203" s="30" t="str">
        <f>IF(AND('Catchment Area'!$X218&lt;&gt;0,Power!$U216&lt;&gt;0),1,"")</f>
        <v/>
      </c>
      <c r="W203" s="24"/>
      <c r="X203" s="24"/>
      <c r="Y203" s="24"/>
      <c r="Z203" s="24"/>
    </row>
    <row r="204">
      <c r="E204" s="34"/>
      <c r="S204" s="30" t="str">
        <f>IF(AND('Catchment Area'!$E219&lt;&gt;0,Power!$U217&lt;&gt;0),1,"")</f>
        <v/>
      </c>
      <c r="T204" s="24"/>
      <c r="U204" s="24"/>
      <c r="V204" s="30" t="str">
        <f>IF(AND('Catchment Area'!$X219&lt;&gt;0,Power!$U217&lt;&gt;0),1,"")</f>
        <v/>
      </c>
      <c r="W204" s="24"/>
      <c r="X204" s="24"/>
      <c r="Y204" s="24"/>
      <c r="Z204" s="24"/>
    </row>
    <row r="205">
      <c r="E205" s="34"/>
      <c r="S205" s="30" t="str">
        <f>IF(AND('Catchment Area'!$E220&lt;&gt;0,Power!$U218&lt;&gt;0),1,"")</f>
        <v/>
      </c>
      <c r="T205" s="24"/>
      <c r="U205" s="24"/>
      <c r="V205" s="30" t="str">
        <f>IF(AND('Catchment Area'!$X220&lt;&gt;0,Power!$U218&lt;&gt;0),1,"")</f>
        <v/>
      </c>
      <c r="W205" s="24"/>
      <c r="X205" s="24"/>
      <c r="Y205" s="24"/>
      <c r="Z205" s="24"/>
    </row>
    <row r="206">
      <c r="E206" s="34"/>
      <c r="S206" s="30" t="str">
        <f>IF(AND('Catchment Area'!$E221&lt;&gt;0,Power!$U219&lt;&gt;0),1,"")</f>
        <v/>
      </c>
      <c r="T206" s="24"/>
      <c r="U206" s="24"/>
      <c r="V206" s="30" t="str">
        <f>IF(AND('Catchment Area'!$X221&lt;&gt;0,Power!$U219&lt;&gt;0),1,"")</f>
        <v/>
      </c>
      <c r="W206" s="24"/>
      <c r="X206" s="24"/>
      <c r="Y206" s="24"/>
      <c r="Z206" s="24"/>
    </row>
    <row r="207">
      <c r="E207" s="34"/>
      <c r="S207" s="30" t="str">
        <f>IF(AND('Catchment Area'!$E222&lt;&gt;0,Power!$U220&lt;&gt;0),1,"")</f>
        <v/>
      </c>
      <c r="T207" s="24"/>
      <c r="U207" s="24"/>
      <c r="V207" s="30" t="str">
        <f>IF(AND('Catchment Area'!$X222&lt;&gt;0,Power!$U220&lt;&gt;0),1,"")</f>
        <v/>
      </c>
      <c r="W207" s="24"/>
      <c r="X207" s="24"/>
      <c r="Y207" s="24"/>
      <c r="Z207" s="24"/>
    </row>
    <row r="208">
      <c r="E208" s="34"/>
      <c r="S208" s="30" t="str">
        <f>IF(AND('Catchment Area'!$E223&lt;&gt;0,Power!$U221&lt;&gt;0),1,"")</f>
        <v/>
      </c>
      <c r="T208" s="24"/>
      <c r="U208" s="24"/>
      <c r="V208" s="30" t="str">
        <f>IF(AND('Catchment Area'!$X223&lt;&gt;0,Power!$U221&lt;&gt;0),1,"")</f>
        <v/>
      </c>
      <c r="W208" s="24"/>
      <c r="X208" s="24"/>
      <c r="Y208" s="24"/>
      <c r="Z208" s="24"/>
    </row>
    <row r="209">
      <c r="E209" s="34"/>
      <c r="S209" s="30" t="str">
        <f>IF(AND('Catchment Area'!$E224&lt;&gt;0,Power!$U222&lt;&gt;0),1,"")</f>
        <v/>
      </c>
      <c r="T209" s="24"/>
      <c r="U209" s="24"/>
      <c r="V209" s="30" t="str">
        <f>IF(AND('Catchment Area'!$X224&lt;&gt;0,Power!$U222&lt;&gt;0),1,"")</f>
        <v/>
      </c>
      <c r="W209" s="24"/>
      <c r="X209" s="24"/>
      <c r="Y209" s="24"/>
      <c r="Z209" s="24"/>
    </row>
    <row r="210">
      <c r="E210" s="34"/>
      <c r="S210" s="30" t="str">
        <f>IF(AND('Catchment Area'!$E225&lt;&gt;0,Power!$U223&lt;&gt;0),1,"")</f>
        <v/>
      </c>
      <c r="T210" s="24"/>
      <c r="U210" s="24"/>
      <c r="V210" s="30" t="str">
        <f>IF(AND('Catchment Area'!$X225&lt;&gt;0,Power!$U223&lt;&gt;0),1,"")</f>
        <v/>
      </c>
      <c r="W210" s="24"/>
      <c r="X210" s="24"/>
      <c r="Y210" s="24"/>
      <c r="Z210" s="24"/>
    </row>
    <row r="211">
      <c r="E211" s="34"/>
      <c r="S211" s="30" t="str">
        <f>IF(AND('Catchment Area'!$E226&lt;&gt;0,Power!$U224&lt;&gt;0),1,"")</f>
        <v/>
      </c>
      <c r="T211" s="24"/>
      <c r="U211" s="24"/>
      <c r="V211" s="30" t="str">
        <f>IF(AND('Catchment Area'!$X226&lt;&gt;0,Power!$U224&lt;&gt;0),1,"")</f>
        <v/>
      </c>
      <c r="W211" s="24"/>
      <c r="X211" s="24"/>
      <c r="Y211" s="24"/>
      <c r="Z211" s="24"/>
    </row>
    <row r="212">
      <c r="E212" s="34"/>
      <c r="S212" s="30" t="str">
        <f>IF(AND('Catchment Area'!$E227&lt;&gt;0,Power!$U225&lt;&gt;0),1,"")</f>
        <v/>
      </c>
      <c r="T212" s="24"/>
      <c r="U212" s="24"/>
      <c r="V212" s="24" t="str">
        <f>IF(AND('Catchment Area'!$X227&lt;&gt;0,Power!$U225&lt;&gt;0),1,"")</f>
        <v/>
      </c>
      <c r="W212" s="24"/>
      <c r="X212" s="24"/>
      <c r="Y212" s="24"/>
      <c r="Z212" s="24"/>
    </row>
    <row r="213">
      <c r="E213" s="34"/>
      <c r="S213" s="30" t="str">
        <f>IF(AND('Catchment Area'!$E228&lt;&gt;0,Power!$U226&lt;&gt;0),1,"")</f>
        <v/>
      </c>
      <c r="T213" s="24"/>
      <c r="U213" s="24"/>
      <c r="V213" s="24" t="str">
        <f>IF(AND('Catchment Area'!$X228&lt;&gt;0,Power!$U226&lt;&gt;0),1,"")</f>
        <v/>
      </c>
      <c r="W213" s="24"/>
      <c r="X213" s="24"/>
      <c r="Y213" s="24"/>
      <c r="Z213" s="24"/>
    </row>
    <row r="214">
      <c r="E214" s="34"/>
      <c r="S214" s="30" t="str">
        <f>IF(AND('Catchment Area'!$E229&lt;&gt;0,Power!$U227&lt;&gt;0),1,"")</f>
        <v/>
      </c>
      <c r="T214" s="24"/>
      <c r="U214" s="24"/>
      <c r="V214" s="24" t="str">
        <f>IF(AND('Catchment Area'!$X229&lt;&gt;0,Power!$U227&lt;&gt;0),1,"")</f>
        <v/>
      </c>
      <c r="W214" s="24"/>
      <c r="X214" s="24"/>
      <c r="Y214" s="24"/>
      <c r="Z214" s="24"/>
    </row>
    <row r="215">
      <c r="E215" s="34"/>
      <c r="S215" s="30" t="str">
        <f>IF(AND('Catchment Area'!$E230&lt;&gt;0,Power!$U228&lt;&gt;0),1,"")</f>
        <v/>
      </c>
      <c r="T215" s="24"/>
      <c r="U215" s="24"/>
      <c r="V215" s="24" t="str">
        <f>IF(AND('Catchment Area'!$X230&lt;&gt;0,Power!$U228&lt;&gt;0),1,"")</f>
        <v/>
      </c>
      <c r="W215" s="24"/>
      <c r="X215" s="24"/>
      <c r="Y215" s="24"/>
      <c r="Z215" s="24"/>
    </row>
    <row r="216">
      <c r="E216" s="34"/>
      <c r="S216" s="30" t="str">
        <f>IF(AND('Catchment Area'!$E231&lt;&gt;0,Power!$U229&lt;&gt;0),1,"")</f>
        <v/>
      </c>
      <c r="T216" s="24"/>
      <c r="U216" s="24"/>
      <c r="V216" s="24" t="str">
        <f>IF(AND('Catchment Area'!$X231&lt;&gt;0,Power!$U229&lt;&gt;0),1,"")</f>
        <v/>
      </c>
      <c r="W216" s="24"/>
      <c r="X216" s="24"/>
      <c r="Y216" s="24"/>
      <c r="Z216" s="24"/>
    </row>
    <row r="217">
      <c r="E217" s="34"/>
      <c r="S217" s="30" t="str">
        <f>IF(AND('Catchment Area'!$E232&lt;&gt;0,Power!$U230&lt;&gt;0),1,"")</f>
        <v/>
      </c>
      <c r="T217" s="24"/>
      <c r="U217" s="24"/>
      <c r="V217" s="24" t="str">
        <f>IF(AND('Catchment Area'!$X232&lt;&gt;0,Power!$U230&lt;&gt;0),1,"")</f>
        <v/>
      </c>
      <c r="W217" s="24"/>
      <c r="X217" s="24"/>
      <c r="Y217" s="24"/>
      <c r="Z217" s="24"/>
    </row>
    <row r="218">
      <c r="E218" s="34"/>
      <c r="S218" s="30" t="str">
        <f>IF(AND('Catchment Area'!$E233&lt;&gt;0,Power!$U231&lt;&gt;0),1,"")</f>
        <v/>
      </c>
      <c r="T218" s="24"/>
      <c r="U218" s="24"/>
      <c r="V218" s="24" t="str">
        <f>IF(AND('Catchment Area'!$X233&lt;&gt;0,Power!$U231&lt;&gt;0),1,"")</f>
        <v/>
      </c>
      <c r="W218" s="24"/>
      <c r="X218" s="24"/>
      <c r="Y218" s="24"/>
      <c r="Z218" s="24"/>
    </row>
    <row r="219">
      <c r="E219" s="34"/>
      <c r="S219" s="30" t="str">
        <f>IF(AND('Catchment Area'!$E234&lt;&gt;0,Power!$U232&lt;&gt;0),1,"")</f>
        <v/>
      </c>
      <c r="T219" s="24"/>
      <c r="U219" s="24"/>
      <c r="V219" s="24" t="str">
        <f>IF(AND('Catchment Area'!$X234&lt;&gt;0,Power!$U232&lt;&gt;0),1,"")</f>
        <v/>
      </c>
      <c r="W219" s="24"/>
      <c r="X219" s="24"/>
      <c r="Y219" s="24"/>
      <c r="Z219" s="24"/>
    </row>
    <row r="220">
      <c r="E220" s="34"/>
      <c r="S220" s="30" t="str">
        <f>IF(AND('Catchment Area'!$E235&lt;&gt;0,Power!$U233&lt;&gt;0),1,"")</f>
        <v/>
      </c>
      <c r="T220" s="24"/>
      <c r="U220" s="24"/>
      <c r="V220" s="30" t="str">
        <f>IF(AND('Catchment Area'!$X235&lt;&gt;0,Power!$U233&lt;&gt;0),1,"")</f>
        <v/>
      </c>
      <c r="W220" s="24"/>
      <c r="X220" s="24"/>
      <c r="Y220" s="24"/>
      <c r="Z220" s="24"/>
    </row>
    <row r="221">
      <c r="E221" s="34"/>
      <c r="S221" s="30" t="str">
        <f>IF(AND('Catchment Area'!$E236&lt;&gt;0,Power!$U234&lt;&gt;0),1,"")</f>
        <v/>
      </c>
      <c r="T221" s="24"/>
      <c r="U221" s="24"/>
      <c r="V221" s="30" t="str">
        <f>IF(AND('Catchment Area'!$X236&lt;&gt;0,Power!$U234&lt;&gt;0),1,"")</f>
        <v/>
      </c>
      <c r="W221" s="24"/>
      <c r="X221" s="24"/>
      <c r="Y221" s="24"/>
      <c r="Z221" s="24"/>
    </row>
    <row r="222">
      <c r="E222" s="34"/>
      <c r="S222" s="30" t="str">
        <f>IF(AND('Catchment Area'!$E237&lt;&gt;0,Power!$U235&lt;&gt;0),1,"")</f>
        <v/>
      </c>
      <c r="T222" s="24"/>
      <c r="U222" s="24"/>
      <c r="V222" s="30" t="str">
        <f>IF(AND('Catchment Area'!$X237&lt;&gt;0,Power!$U235&lt;&gt;0),1,"")</f>
        <v/>
      </c>
      <c r="W222" s="24"/>
      <c r="X222" s="24"/>
      <c r="Y222" s="24"/>
      <c r="Z222" s="24"/>
    </row>
    <row r="223">
      <c r="E223" s="34"/>
      <c r="S223" s="30" t="str">
        <f>IF(AND('Catchment Area'!$E238&lt;&gt;0,Power!$U236&lt;&gt;0),1,"")</f>
        <v/>
      </c>
      <c r="T223" s="24"/>
      <c r="U223" s="24"/>
      <c r="V223" s="30" t="str">
        <f>IF(AND('Catchment Area'!$X238&lt;&gt;0,Power!$U236&lt;&gt;0),1,"")</f>
        <v/>
      </c>
      <c r="W223" s="24"/>
      <c r="X223" s="24"/>
      <c r="Y223" s="24"/>
      <c r="Z223" s="24"/>
    </row>
    <row r="224">
      <c r="E224" s="34"/>
      <c r="S224" s="30" t="str">
        <f>IF(AND('Catchment Area'!$E239&lt;&gt;0,Power!$U237&lt;&gt;0),1,"")</f>
        <v/>
      </c>
      <c r="T224" s="24"/>
      <c r="U224" s="24"/>
      <c r="V224" s="30" t="str">
        <f>IF(AND('Catchment Area'!$X239&lt;&gt;0,Power!$U237&lt;&gt;0),1,"")</f>
        <v/>
      </c>
      <c r="W224" s="24"/>
      <c r="X224" s="24"/>
      <c r="Y224" s="24"/>
      <c r="Z224" s="24"/>
    </row>
    <row r="225">
      <c r="E225" s="34"/>
      <c r="S225" s="30" t="str">
        <f>IF(AND('Catchment Area'!$E240&lt;&gt;0,Power!$U238&lt;&gt;0),1,"")</f>
        <v/>
      </c>
      <c r="T225" s="24"/>
      <c r="U225" s="24"/>
      <c r="V225" s="30" t="str">
        <f>IF(AND('Catchment Area'!$X240&lt;&gt;0,Power!$U238&lt;&gt;0),1,"")</f>
        <v/>
      </c>
      <c r="W225" s="24"/>
      <c r="X225" s="24"/>
      <c r="Y225" s="24"/>
      <c r="Z225" s="24"/>
    </row>
    <row r="226">
      <c r="E226" s="34"/>
      <c r="S226" s="30" t="str">
        <f>IF(AND('Catchment Area'!$E241&lt;&gt;0,Power!$U239&lt;&gt;0),1,"")</f>
        <v/>
      </c>
      <c r="T226" s="24"/>
      <c r="U226" s="24"/>
      <c r="V226" s="30" t="str">
        <f>IF(AND('Catchment Area'!$X241&lt;&gt;0,Power!$U239&lt;&gt;0),1,"")</f>
        <v/>
      </c>
      <c r="W226" s="24"/>
      <c r="X226" s="24"/>
      <c r="Y226" s="24"/>
      <c r="Z226" s="24"/>
    </row>
    <row r="227">
      <c r="E227" s="34"/>
      <c r="S227" s="30" t="str">
        <f>IF(AND('Catchment Area'!$E242&lt;&gt;0,Power!$U240&lt;&gt;0),1,"")</f>
        <v/>
      </c>
      <c r="T227" s="24"/>
      <c r="U227" s="24"/>
      <c r="V227" s="30" t="str">
        <f>IF(AND('Catchment Area'!$X242&lt;&gt;0,Power!$U240&lt;&gt;0),1,"")</f>
        <v/>
      </c>
      <c r="W227" s="24"/>
      <c r="X227" s="24"/>
      <c r="Y227" s="24"/>
      <c r="Z227" s="24"/>
    </row>
    <row r="228">
      <c r="E228" s="34"/>
      <c r="S228" s="30" t="str">
        <f>IF(AND('Catchment Area'!$E243&lt;&gt;0,Power!$U241&lt;&gt;0),1,"")</f>
        <v/>
      </c>
      <c r="T228" s="24"/>
      <c r="U228" s="24"/>
      <c r="V228" s="24" t="str">
        <f>IF(AND('Catchment Area'!$X243&lt;&gt;0,Power!$U241&lt;&gt;0),1,"")</f>
        <v/>
      </c>
      <c r="W228" s="24"/>
      <c r="X228" s="24"/>
      <c r="Y228" s="24"/>
      <c r="Z228" s="24"/>
    </row>
    <row r="229">
      <c r="E229" s="34"/>
      <c r="S229" s="30" t="str">
        <f>IF(AND('Catchment Area'!$E244&lt;&gt;0,Power!$U242&lt;&gt;0),1,"")</f>
        <v/>
      </c>
      <c r="T229" s="24"/>
      <c r="U229" s="24"/>
      <c r="V229" s="24" t="str">
        <f>IF(AND('Catchment Area'!$X244&lt;&gt;0,Power!$U242&lt;&gt;0),1,"")</f>
        <v/>
      </c>
      <c r="W229" s="24"/>
      <c r="X229" s="24"/>
      <c r="Y229" s="24"/>
      <c r="Z229" s="24"/>
    </row>
    <row r="230">
      <c r="E230" s="34"/>
      <c r="S230" s="30" t="str">
        <f>IF(AND('Catchment Area'!$E245&lt;&gt;0,Power!$U243&lt;&gt;0),1,"")</f>
        <v/>
      </c>
      <c r="T230" s="24"/>
      <c r="U230" s="24"/>
      <c r="V230" s="24" t="str">
        <f>IF(AND('Catchment Area'!$X245&lt;&gt;0,Power!$U243&lt;&gt;0),1,"")</f>
        <v/>
      </c>
      <c r="W230" s="24"/>
      <c r="X230" s="24"/>
      <c r="Y230" s="24"/>
      <c r="Z230" s="24"/>
    </row>
    <row r="231">
      <c r="E231" s="34"/>
      <c r="S231" s="30" t="str">
        <f>IF(AND('Catchment Area'!$E246&lt;&gt;0,Power!$U244&lt;&gt;0),1,"")</f>
        <v/>
      </c>
      <c r="T231" s="24"/>
      <c r="U231" s="24"/>
      <c r="V231" s="24" t="str">
        <f>IF(AND('Catchment Area'!$X246&lt;&gt;0,Power!$U244&lt;&gt;0),1,"")</f>
        <v/>
      </c>
      <c r="W231" s="24"/>
      <c r="X231" s="24"/>
      <c r="Y231" s="24"/>
      <c r="Z231" s="24"/>
    </row>
    <row r="232">
      <c r="E232" s="34"/>
      <c r="S232" s="30" t="str">
        <f>IF(AND('Catchment Area'!$E247&lt;&gt;0,Power!$U245&lt;&gt;0),1,"")</f>
        <v/>
      </c>
      <c r="T232" s="24"/>
      <c r="U232" s="24"/>
      <c r="V232" s="24" t="str">
        <f>IF(AND('Catchment Area'!$X247&lt;&gt;0,Power!$U245&lt;&gt;0),1,"")</f>
        <v/>
      </c>
      <c r="W232" s="24"/>
      <c r="X232" s="24"/>
      <c r="Y232" s="24"/>
      <c r="Z232" s="24"/>
    </row>
    <row r="233">
      <c r="E233" s="34"/>
      <c r="S233" s="30" t="str">
        <f>IF(AND('Catchment Area'!$E248&lt;&gt;0,Power!$U246&lt;&gt;0),1,"")</f>
        <v/>
      </c>
      <c r="T233" s="24"/>
      <c r="U233" s="24"/>
      <c r="V233" s="24" t="str">
        <f>IF(AND('Catchment Area'!$X248&lt;&gt;0,Power!$U246&lt;&gt;0),1,"")</f>
        <v/>
      </c>
      <c r="W233" s="24"/>
      <c r="X233" s="24"/>
      <c r="Y233" s="24"/>
      <c r="Z233" s="24"/>
    </row>
    <row r="234">
      <c r="E234" s="34"/>
      <c r="S234" s="30" t="str">
        <f>IF(AND('Catchment Area'!$E249&lt;&gt;0,Power!$U247&lt;&gt;0),1,"")</f>
        <v/>
      </c>
      <c r="T234" s="24"/>
      <c r="U234" s="24"/>
      <c r="V234" s="24" t="str">
        <f>IF(AND('Catchment Area'!$X249&lt;&gt;0,Power!$U247&lt;&gt;0),1,"")</f>
        <v/>
      </c>
      <c r="W234" s="24"/>
      <c r="X234" s="24"/>
      <c r="Y234" s="24"/>
      <c r="Z234" s="24"/>
    </row>
    <row r="235">
      <c r="E235" s="34"/>
      <c r="S235" s="30" t="str">
        <f>IF(AND('Catchment Area'!$E250&lt;&gt;0,Power!$U248&lt;&gt;0),1,"")</f>
        <v/>
      </c>
      <c r="T235" s="24"/>
      <c r="U235" s="24"/>
      <c r="V235" s="24" t="str">
        <f>IF(AND('Catchment Area'!$X250&lt;&gt;0,Power!$U248&lt;&gt;0),1,"")</f>
        <v/>
      </c>
      <c r="W235" s="24"/>
      <c r="X235" s="24"/>
      <c r="Y235" s="24"/>
      <c r="Z235" s="24"/>
    </row>
    <row r="236">
      <c r="E236" s="34"/>
      <c r="S236" s="30" t="str">
        <f>IF(AND('Catchment Area'!$E251&lt;&gt;0,Power!$U249&lt;&gt;0),1,"")</f>
        <v/>
      </c>
      <c r="T236" s="24"/>
      <c r="U236" s="24"/>
      <c r="V236" s="24" t="str">
        <f>IF(AND('Catchment Area'!$X251&lt;&gt;0,Power!$U249&lt;&gt;0),1,"")</f>
        <v/>
      </c>
      <c r="W236" s="24"/>
      <c r="X236" s="24"/>
      <c r="Y236" s="24"/>
      <c r="Z236" s="24"/>
    </row>
    <row r="237">
      <c r="E237" s="34"/>
      <c r="S237" s="30" t="str">
        <f>IF(AND('Catchment Area'!$E252&lt;&gt;0,Power!$U250&lt;&gt;0),1,"")</f>
        <v/>
      </c>
      <c r="T237" s="24"/>
      <c r="U237" s="24"/>
      <c r="V237" s="24" t="str">
        <f>IF(AND('Catchment Area'!$X252&lt;&gt;0,Power!$U250&lt;&gt;0),1,"")</f>
        <v/>
      </c>
      <c r="W237" s="24"/>
      <c r="X237" s="24"/>
      <c r="Y237" s="24"/>
      <c r="Z237" s="24"/>
    </row>
    <row r="238">
      <c r="E238" s="34"/>
      <c r="S238" s="30" t="str">
        <f>IF(AND('Catchment Area'!$E253&lt;&gt;0,Power!$U251&lt;&gt;0),1,"")</f>
        <v/>
      </c>
      <c r="T238" s="24"/>
      <c r="U238" s="24"/>
      <c r="V238" s="24" t="str">
        <f>IF(AND('Catchment Area'!$X253&lt;&gt;0,Power!$U251&lt;&gt;0),1,"")</f>
        <v/>
      </c>
      <c r="W238" s="24"/>
      <c r="X238" s="24"/>
      <c r="Y238" s="24"/>
      <c r="Z238" s="24"/>
    </row>
    <row r="239">
      <c r="E239" s="34"/>
      <c r="S239" s="30" t="str">
        <f>IF(AND('Catchment Area'!$E254&lt;&gt;0,Power!$U252&lt;&gt;0),1,"")</f>
        <v/>
      </c>
      <c r="T239" s="24"/>
      <c r="U239" s="24"/>
      <c r="V239" s="24" t="str">
        <f>IF(AND('Catchment Area'!$X254&lt;&gt;0,Power!$U252&lt;&gt;0),1,"")</f>
        <v/>
      </c>
      <c r="W239" s="24"/>
      <c r="X239" s="24"/>
      <c r="Y239" s="24"/>
      <c r="Z239" s="24"/>
    </row>
    <row r="240">
      <c r="E240" s="34"/>
      <c r="S240" s="30" t="str">
        <f>IF(AND('Catchment Area'!$E255&lt;&gt;0,Power!$U253&lt;&gt;0),1,"")</f>
        <v/>
      </c>
      <c r="T240" s="24"/>
      <c r="U240" s="24"/>
      <c r="V240" s="24" t="str">
        <f>IF(AND('Catchment Area'!$X255&lt;&gt;0,Power!$U253&lt;&gt;0),1,"")</f>
        <v/>
      </c>
      <c r="W240" s="24"/>
      <c r="X240" s="24"/>
      <c r="Y240" s="24"/>
      <c r="Z240" s="24"/>
    </row>
    <row r="241">
      <c r="E241" s="34"/>
      <c r="S241" s="30" t="str">
        <f>IF(AND('Catchment Area'!$E256&lt;&gt;0,Power!$U254&lt;&gt;0),1,"")</f>
        <v/>
      </c>
      <c r="T241" s="24"/>
      <c r="U241" s="24"/>
      <c r="V241" s="30" t="str">
        <f>IF(AND('Catchment Area'!$X256&lt;&gt;0,Power!$U254&lt;&gt;0),1,"")</f>
        <v/>
      </c>
      <c r="W241" s="24"/>
      <c r="X241" s="24"/>
      <c r="Y241" s="24"/>
      <c r="Z241" s="24"/>
    </row>
    <row r="242">
      <c r="E242" s="34"/>
      <c r="S242" s="30" t="str">
        <f>IF(AND('Catchment Area'!$E257&lt;&gt;0,Power!$U255&lt;&gt;0),1,"")</f>
        <v/>
      </c>
      <c r="T242" s="24"/>
      <c r="U242" s="24"/>
      <c r="V242" s="30" t="str">
        <f>IF(AND('Catchment Area'!$X257&lt;&gt;0,Power!$U255&lt;&gt;0),1,"")</f>
        <v/>
      </c>
      <c r="W242" s="24"/>
      <c r="X242" s="24"/>
      <c r="Y242" s="24"/>
      <c r="Z242" s="24"/>
    </row>
    <row r="243">
      <c r="E243" s="34"/>
      <c r="S243" s="30" t="str">
        <f>IF(AND('Catchment Area'!$E258&lt;&gt;0,Power!$U256&lt;&gt;0),1,"")</f>
        <v/>
      </c>
      <c r="T243" s="24"/>
      <c r="U243" s="24"/>
      <c r="V243" s="30" t="str">
        <f>IF(AND('Catchment Area'!$X258&lt;&gt;0,Power!$U256&lt;&gt;0),1,"")</f>
        <v/>
      </c>
      <c r="W243" s="24"/>
      <c r="X243" s="24"/>
      <c r="Y243" s="24"/>
      <c r="Z243" s="24"/>
    </row>
    <row r="244">
      <c r="E244" s="34"/>
      <c r="S244" s="30" t="str">
        <f>IF(AND('Catchment Area'!$E259&lt;&gt;0,Power!$U257&lt;&gt;0),1,"")</f>
        <v/>
      </c>
      <c r="T244" s="24"/>
      <c r="U244" s="24"/>
      <c r="V244" s="30" t="str">
        <f>IF(AND('Catchment Area'!$X259&lt;&gt;0,Power!$U257&lt;&gt;0),1,"")</f>
        <v/>
      </c>
      <c r="W244" s="24"/>
      <c r="X244" s="24"/>
      <c r="Y244" s="24"/>
      <c r="Z244" s="24"/>
    </row>
    <row r="245">
      <c r="E245" s="34"/>
      <c r="S245" s="30" t="str">
        <f>IF(AND('Catchment Area'!$E260&lt;&gt;0,Power!$U258&lt;&gt;0),1,"")</f>
        <v/>
      </c>
      <c r="T245" s="24"/>
      <c r="U245" s="24"/>
      <c r="V245" s="30" t="str">
        <f>IF(AND('Catchment Area'!$X260&lt;&gt;0,Power!$U258&lt;&gt;0),1,"")</f>
        <v/>
      </c>
      <c r="W245" s="24"/>
      <c r="X245" s="24"/>
      <c r="Y245" s="24"/>
      <c r="Z245" s="24"/>
    </row>
    <row r="246">
      <c r="E246" s="34"/>
      <c r="S246" s="30" t="str">
        <f>IF(AND('Catchment Area'!$E261&lt;&gt;0,Power!$U259&lt;&gt;0),1,"")</f>
        <v/>
      </c>
      <c r="T246" s="24"/>
      <c r="U246" s="24"/>
      <c r="V246" s="30" t="str">
        <f>IF(AND('Catchment Area'!$X261&lt;&gt;0,Power!$U259&lt;&gt;0),1,"")</f>
        <v/>
      </c>
      <c r="W246" s="24"/>
      <c r="X246" s="24"/>
      <c r="Y246" s="24"/>
      <c r="Z246" s="24"/>
    </row>
    <row r="247">
      <c r="E247" s="34"/>
      <c r="S247" s="30" t="str">
        <f>IF(AND('Catchment Area'!$E262&lt;&gt;0,Power!$U260&lt;&gt;0),1,"")</f>
        <v/>
      </c>
      <c r="T247" s="24"/>
      <c r="U247" s="24"/>
      <c r="V247" s="30" t="str">
        <f>IF(AND('Catchment Area'!$X262&lt;&gt;0,Power!$U260&lt;&gt;0),1,"")</f>
        <v/>
      </c>
      <c r="W247" s="24"/>
      <c r="X247" s="24"/>
      <c r="Y247" s="24"/>
      <c r="Z247" s="24"/>
    </row>
    <row r="248">
      <c r="E248" s="34"/>
      <c r="S248" s="30" t="str">
        <f>IF(AND('Catchment Area'!$E263&lt;&gt;0,Power!$U261&lt;&gt;0),1,"")</f>
        <v/>
      </c>
      <c r="T248" s="24"/>
      <c r="U248" s="24"/>
      <c r="V248" s="30" t="str">
        <f>IF(AND('Catchment Area'!$X263&lt;&gt;0,Power!$U261&lt;&gt;0),1,"")</f>
        <v/>
      </c>
      <c r="W248" s="24"/>
      <c r="X248" s="24"/>
      <c r="Y248" s="24"/>
      <c r="Z248" s="24"/>
    </row>
    <row r="249">
      <c r="E249" s="34"/>
      <c r="S249" s="30" t="str">
        <f>IF(AND('Catchment Area'!$E264&lt;&gt;0,Power!$U262&lt;&gt;0),1,"")</f>
        <v/>
      </c>
      <c r="T249" s="24"/>
      <c r="U249" s="24"/>
      <c r="V249" s="30" t="str">
        <f>IF(AND('Catchment Area'!$X264&lt;&gt;0,Power!$U262&lt;&gt;0),1,"")</f>
        <v/>
      </c>
      <c r="W249" s="24"/>
      <c r="X249" s="24"/>
      <c r="Y249" s="24"/>
      <c r="Z249" s="24"/>
    </row>
    <row r="250">
      <c r="E250" s="34"/>
      <c r="S250" s="30" t="str">
        <f>IF(AND('Catchment Area'!$E265&lt;&gt;0,Power!$U263&lt;&gt;0),1,"")</f>
        <v/>
      </c>
      <c r="T250" s="24"/>
      <c r="U250" s="24"/>
      <c r="V250" s="30" t="str">
        <f>IF(AND('Catchment Area'!$X265&lt;&gt;0,Power!$U263&lt;&gt;0),1,"")</f>
        <v/>
      </c>
      <c r="W250" s="24"/>
      <c r="X250" s="24"/>
      <c r="Y250" s="24"/>
      <c r="Z250" s="24"/>
    </row>
    <row r="251">
      <c r="E251" s="34"/>
      <c r="S251" s="30" t="str">
        <f>IF(AND('Catchment Area'!$E266&lt;&gt;0,Power!$U264&lt;&gt;0),1,"")</f>
        <v/>
      </c>
      <c r="T251" s="24"/>
      <c r="U251" s="24"/>
      <c r="V251" s="30" t="str">
        <f>IF(AND('Catchment Area'!$X266&lt;&gt;0,Power!$U264&lt;&gt;0),1,"")</f>
        <v/>
      </c>
      <c r="W251" s="24"/>
      <c r="X251" s="24"/>
      <c r="Y251" s="24"/>
      <c r="Z251" s="24"/>
    </row>
    <row r="252">
      <c r="E252" s="34"/>
      <c r="S252" s="30" t="str">
        <f>IF(AND('Catchment Area'!$E267&lt;&gt;0,Power!$U265&lt;&gt;0),1,"")</f>
        <v/>
      </c>
      <c r="T252" s="24"/>
      <c r="U252" s="24"/>
      <c r="V252" s="30" t="str">
        <f>IF(AND('Catchment Area'!$X267&lt;&gt;0,Power!$U265&lt;&gt;0),1,"")</f>
        <v/>
      </c>
      <c r="W252" s="24"/>
      <c r="X252" s="24"/>
      <c r="Y252" s="24"/>
      <c r="Z252" s="24"/>
    </row>
    <row r="253">
      <c r="E253" s="34"/>
      <c r="S253" s="30" t="str">
        <f>IF(AND('Catchment Area'!$E268&lt;&gt;0,Power!$U266&lt;&gt;0),1,"")</f>
        <v/>
      </c>
      <c r="T253" s="24"/>
      <c r="U253" s="24"/>
      <c r="V253" s="30" t="str">
        <f>IF(AND('Catchment Area'!$X268&lt;&gt;0,Power!$U266&lt;&gt;0),1,"")</f>
        <v/>
      </c>
      <c r="W253" s="24"/>
      <c r="X253" s="24"/>
      <c r="Y253" s="24"/>
      <c r="Z253" s="24"/>
    </row>
    <row r="254">
      <c r="E254" s="34"/>
      <c r="S254" s="30" t="str">
        <f>IF(AND('Catchment Area'!$E269&lt;&gt;0,Power!$U267&lt;&gt;0),1,"")</f>
        <v/>
      </c>
      <c r="T254" s="24"/>
      <c r="U254" s="24"/>
      <c r="V254" s="30" t="str">
        <f>IF(AND('Catchment Area'!$X269&lt;&gt;0,Power!$U267&lt;&gt;0),1,"")</f>
        <v/>
      </c>
      <c r="W254" s="24"/>
      <c r="X254" s="24"/>
      <c r="Y254" s="24"/>
      <c r="Z254" s="24"/>
    </row>
    <row r="255">
      <c r="E255" s="34"/>
      <c r="S255" s="30" t="str">
        <f>IF(AND('Catchment Area'!$E270&lt;&gt;0,Power!$U268&lt;&gt;0),1,"")</f>
        <v/>
      </c>
      <c r="T255" s="24"/>
      <c r="U255" s="24"/>
      <c r="V255" s="30" t="str">
        <f>IF(AND('Catchment Area'!$X270&lt;&gt;0,Power!$U268&lt;&gt;0),1,"")</f>
        <v/>
      </c>
      <c r="W255" s="24"/>
      <c r="X255" s="24"/>
      <c r="Y255" s="24"/>
      <c r="Z255" s="24"/>
    </row>
    <row r="256">
      <c r="E256" s="34"/>
      <c r="S256" s="24" t="str">
        <f>IF(AND('Catchment Area'!$E271&lt;&gt;0,Power!$U269&lt;&gt;0),1,"")</f>
        <v/>
      </c>
      <c r="T256" s="24"/>
      <c r="U256" s="24"/>
      <c r="V256" s="30" t="str">
        <f>IF(AND('Catchment Area'!$X271&lt;&gt;0,Power!$U269&lt;&gt;0),1,"")</f>
        <v/>
      </c>
      <c r="W256" s="24"/>
      <c r="X256" s="24"/>
      <c r="Y256" s="24"/>
      <c r="Z256" s="24"/>
    </row>
    <row r="257">
      <c r="E257" s="34"/>
      <c r="S257" s="24" t="str">
        <f>IF(AND('Catchment Area'!$E272&lt;&gt;0,Power!$U270&lt;&gt;0),1,"")</f>
        <v/>
      </c>
      <c r="T257" s="24"/>
      <c r="U257" s="24"/>
      <c r="V257" s="30" t="str">
        <f>IF(AND('Catchment Area'!$X272&lt;&gt;0,Power!$U270&lt;&gt;0),1,"")</f>
        <v/>
      </c>
      <c r="W257" s="24"/>
      <c r="X257" s="24"/>
      <c r="Y257" s="24"/>
      <c r="Z257" s="24"/>
    </row>
    <row r="258">
      <c r="E258" s="34"/>
      <c r="S258" s="24" t="str">
        <f>IF(AND('Catchment Area'!$E273&lt;&gt;0,Power!$U271&lt;&gt;0),1,"")</f>
        <v/>
      </c>
      <c r="T258" s="24"/>
      <c r="U258" s="24"/>
      <c r="V258" s="30" t="str">
        <f>IF(AND('Catchment Area'!$X273&lt;&gt;0,Power!$U271&lt;&gt;0),1,"")</f>
        <v/>
      </c>
      <c r="W258" s="24"/>
      <c r="X258" s="24"/>
      <c r="Y258" s="24"/>
      <c r="Z258" s="24"/>
    </row>
    <row r="259">
      <c r="E259" s="34"/>
      <c r="S259" s="24" t="str">
        <f>IF(AND('Catchment Area'!$E274&lt;&gt;0,Power!$U272&lt;&gt;0),1,"")</f>
        <v/>
      </c>
      <c r="T259" s="24"/>
      <c r="U259" s="24"/>
      <c r="V259" s="30" t="str">
        <f>IF(AND('Catchment Area'!$X274&lt;&gt;0,Power!$U272&lt;&gt;0),1,"")</f>
        <v/>
      </c>
      <c r="W259" s="24"/>
      <c r="X259" s="24"/>
      <c r="Y259" s="24"/>
      <c r="Z259" s="24"/>
    </row>
    <row r="260">
      <c r="E260" s="34"/>
      <c r="S260" s="24" t="str">
        <f>IF(AND('Catchment Area'!$E275&lt;&gt;0,Power!$U273&lt;&gt;0),1,"")</f>
        <v/>
      </c>
      <c r="T260" s="24"/>
      <c r="U260" s="24"/>
      <c r="V260" s="30" t="str">
        <f>IF(AND('Catchment Area'!$X275&lt;&gt;0,Power!$U273&lt;&gt;0),1,"")</f>
        <v/>
      </c>
      <c r="W260" s="24"/>
      <c r="X260" s="24"/>
      <c r="Y260" s="24"/>
      <c r="Z260" s="24"/>
    </row>
    <row r="261">
      <c r="E261" s="34"/>
      <c r="S261" s="24" t="str">
        <f>IF(AND('Catchment Area'!$E276&lt;&gt;0,Power!$U274&lt;&gt;0),1,"")</f>
        <v/>
      </c>
      <c r="T261" s="24"/>
      <c r="U261" s="24"/>
      <c r="V261" s="30" t="str">
        <f>IF(AND('Catchment Area'!$X276&lt;&gt;0,Power!$U274&lt;&gt;0),1,"")</f>
        <v/>
      </c>
      <c r="W261" s="24"/>
      <c r="X261" s="24"/>
      <c r="Y261" s="24"/>
      <c r="Z261" s="24"/>
    </row>
    <row r="262">
      <c r="E262" s="34"/>
      <c r="S262" s="30" t="str">
        <f>IF(AND('Catchment Area'!$E277&lt;&gt;0,Power!$U275&lt;&gt;0),1,"")</f>
        <v/>
      </c>
      <c r="T262" s="24"/>
      <c r="U262" s="24"/>
      <c r="V262" s="30" t="str">
        <f>IF(AND('Catchment Area'!$X277&lt;&gt;0,Power!$U275&lt;&gt;0),1,"")</f>
        <v/>
      </c>
      <c r="W262" s="24"/>
      <c r="X262" s="24"/>
      <c r="Y262" s="24"/>
      <c r="Z262" s="24"/>
    </row>
    <row r="263">
      <c r="E263" s="34"/>
      <c r="S263" s="30" t="str">
        <f>IF(AND('Catchment Area'!$E278&lt;&gt;0,Power!$U276&lt;&gt;0),1,"")</f>
        <v/>
      </c>
      <c r="T263" s="24"/>
      <c r="U263" s="24"/>
      <c r="V263" s="30" t="str">
        <f>IF(AND('Catchment Area'!$X278&lt;&gt;0,Power!$U276&lt;&gt;0),1,"")</f>
        <v/>
      </c>
      <c r="W263" s="24"/>
      <c r="X263" s="24"/>
      <c r="Y263" s="24"/>
      <c r="Z263" s="24"/>
    </row>
    <row r="264">
      <c r="E264" s="34"/>
      <c r="S264" s="30" t="str">
        <f>IF(AND('Catchment Area'!$E279&lt;&gt;0,Power!$U277&lt;&gt;0),1,"")</f>
        <v/>
      </c>
      <c r="T264" s="24"/>
      <c r="U264" s="24"/>
      <c r="V264" s="30" t="str">
        <f>IF(AND('Catchment Area'!$X279&lt;&gt;0,Power!$U277&lt;&gt;0),1,"")</f>
        <v/>
      </c>
      <c r="W264" s="24"/>
      <c r="X264" s="24"/>
      <c r="Y264" s="24"/>
      <c r="Z264" s="24"/>
    </row>
    <row r="265">
      <c r="E265" s="34"/>
      <c r="S265" s="30" t="str">
        <f>IF(AND('Catchment Area'!$E280&lt;&gt;0,Power!$U278&lt;&gt;0),1,"")</f>
        <v/>
      </c>
      <c r="T265" s="24"/>
      <c r="U265" s="24"/>
      <c r="V265" s="30" t="str">
        <f>IF(AND('Catchment Area'!$X280&lt;&gt;0,Power!$U278&lt;&gt;0),1,"")</f>
        <v/>
      </c>
      <c r="W265" s="24"/>
      <c r="X265" s="24"/>
      <c r="Y265" s="24"/>
      <c r="Z265" s="24"/>
    </row>
    <row r="266">
      <c r="E266" s="34"/>
      <c r="S266" s="30" t="str">
        <f>IF(AND('Catchment Area'!$E281&lt;&gt;0,Power!$U279&lt;&gt;0),1,"")</f>
        <v/>
      </c>
      <c r="T266" s="24"/>
      <c r="U266" s="24"/>
      <c r="V266" s="30" t="str">
        <f>IF(AND('Catchment Area'!$X281&lt;&gt;0,Power!$U279&lt;&gt;0),1,"")</f>
        <v/>
      </c>
      <c r="W266" s="24"/>
      <c r="X266" s="24"/>
      <c r="Y266" s="24"/>
      <c r="Z266" s="24"/>
    </row>
    <row r="267">
      <c r="E267" s="34"/>
      <c r="S267" s="30" t="str">
        <f>IF(AND('Catchment Area'!$E282&lt;&gt;0,Power!$U280&lt;&gt;0),1,"")</f>
        <v/>
      </c>
      <c r="T267" s="24"/>
      <c r="U267" s="24"/>
      <c r="V267" s="30" t="str">
        <f>IF(AND('Catchment Area'!$X282&lt;&gt;0,Power!$U280&lt;&gt;0),1,"")</f>
        <v/>
      </c>
      <c r="W267" s="24"/>
      <c r="X267" s="24"/>
      <c r="Y267" s="24"/>
      <c r="Z267" s="24"/>
    </row>
    <row r="268">
      <c r="E268" s="34"/>
      <c r="S268" s="30" t="str">
        <f>IF(AND('Catchment Area'!$E283&lt;&gt;0,Power!$U281&lt;&gt;0),1,"")</f>
        <v/>
      </c>
      <c r="T268" s="24"/>
      <c r="U268" s="24"/>
      <c r="V268" s="30" t="str">
        <f>IF(AND('Catchment Area'!$X283&lt;&gt;0,Power!$U281&lt;&gt;0),1,"")</f>
        <v/>
      </c>
      <c r="W268" s="24"/>
      <c r="X268" s="24"/>
      <c r="Y268" s="24"/>
      <c r="Z268" s="24"/>
    </row>
    <row r="269">
      <c r="E269" s="34"/>
      <c r="S269" s="30" t="str">
        <f>IF(AND('Catchment Area'!$E284&lt;&gt;0,Power!$U282&lt;&gt;0),1,"")</f>
        <v/>
      </c>
      <c r="T269" s="24"/>
      <c r="U269" s="24"/>
      <c r="V269" s="30" t="str">
        <f>IF(AND('Catchment Area'!$X284&lt;&gt;0,Power!$U282&lt;&gt;0),1,"")</f>
        <v/>
      </c>
      <c r="W269" s="24"/>
      <c r="X269" s="24"/>
      <c r="Y269" s="24"/>
      <c r="Z269" s="24"/>
    </row>
    <row r="270">
      <c r="E270" s="34"/>
      <c r="S270" s="30" t="str">
        <f>IF(AND('Catchment Area'!$E285&lt;&gt;0,Power!$U283&lt;&gt;0),1,"")</f>
        <v/>
      </c>
      <c r="T270" s="24"/>
      <c r="U270" s="24"/>
      <c r="V270" s="30" t="str">
        <f>IF(AND('Catchment Area'!$X285&lt;&gt;0,Power!$U283&lt;&gt;0),1,"")</f>
        <v/>
      </c>
      <c r="W270" s="24"/>
      <c r="X270" s="24"/>
      <c r="Y270" s="24"/>
      <c r="Z270" s="24"/>
    </row>
    <row r="271">
      <c r="E271" s="34"/>
      <c r="S271" s="30" t="str">
        <f>IF(AND('Catchment Area'!$E286&lt;&gt;0,Power!$U284&lt;&gt;0),1,"")</f>
        <v/>
      </c>
      <c r="T271" s="24"/>
      <c r="U271" s="24"/>
      <c r="V271" s="30" t="str">
        <f>IF(AND('Catchment Area'!$X286&lt;&gt;0,Power!$U284&lt;&gt;0),1,"")</f>
        <v/>
      </c>
      <c r="W271" s="24"/>
      <c r="X271" s="24"/>
      <c r="Y271" s="24"/>
      <c r="Z271" s="24"/>
    </row>
    <row r="272">
      <c r="E272" s="34"/>
      <c r="S272" s="30" t="str">
        <f>IF(AND('Catchment Area'!$E287&lt;&gt;0,Power!$U285&lt;&gt;0),1,"")</f>
        <v/>
      </c>
      <c r="T272" s="24"/>
      <c r="U272" s="24"/>
      <c r="V272" s="30" t="str">
        <f>IF(AND('Catchment Area'!$X287&lt;&gt;0,Power!$U285&lt;&gt;0),1,"")</f>
        <v/>
      </c>
      <c r="W272" s="24"/>
      <c r="X272" s="24"/>
      <c r="Y272" s="24"/>
      <c r="Z272" s="24"/>
    </row>
    <row r="273">
      <c r="E273" s="34"/>
      <c r="S273" s="30" t="str">
        <f>IF(AND('Catchment Area'!$E288&lt;&gt;0,Power!$U286&lt;&gt;0),1,"")</f>
        <v/>
      </c>
      <c r="T273" s="24"/>
      <c r="U273" s="24"/>
      <c r="V273" s="30" t="str">
        <f>IF(AND('Catchment Area'!$X288&lt;&gt;0,Power!$U286&lt;&gt;0),1,"")</f>
        <v/>
      </c>
      <c r="W273" s="24"/>
      <c r="X273" s="24"/>
      <c r="Y273" s="24"/>
      <c r="Z273" s="24"/>
    </row>
    <row r="274">
      <c r="E274" s="34"/>
      <c r="S274" s="30" t="str">
        <f>IF(AND('Catchment Area'!$E289&lt;&gt;0,Power!$U287&lt;&gt;0),1,"")</f>
        <v/>
      </c>
      <c r="T274" s="24"/>
      <c r="U274" s="24"/>
      <c r="V274" s="30" t="str">
        <f>IF(AND('Catchment Area'!$X289&lt;&gt;0,Power!$U287&lt;&gt;0),1,"")</f>
        <v/>
      </c>
      <c r="W274" s="24"/>
      <c r="X274" s="24"/>
      <c r="Y274" s="24"/>
      <c r="Z274" s="24"/>
    </row>
    <row r="275">
      <c r="E275" s="34"/>
      <c r="S275" s="30" t="str">
        <f>IF(AND('Catchment Area'!$E290&lt;&gt;0,Power!$U288&lt;&gt;0),1,"")</f>
        <v/>
      </c>
      <c r="T275" s="24"/>
      <c r="U275" s="24"/>
      <c r="V275" s="30" t="str">
        <f>IF(AND('Catchment Area'!$X290&lt;&gt;0,Power!$U288&lt;&gt;0),1,"")</f>
        <v/>
      </c>
      <c r="W275" s="24"/>
      <c r="X275" s="24"/>
      <c r="Y275" s="24"/>
      <c r="Z275" s="24"/>
    </row>
    <row r="276">
      <c r="E276" s="34"/>
      <c r="S276" s="30" t="str">
        <f>IF(AND('Catchment Area'!$E291&lt;&gt;0,Power!$U289&lt;&gt;0),1,"")</f>
        <v/>
      </c>
      <c r="T276" s="24"/>
      <c r="U276" s="24"/>
      <c r="V276" s="30" t="str">
        <f>IF(AND('Catchment Area'!$X291&lt;&gt;0,Power!$U289&lt;&gt;0),1,"")</f>
        <v/>
      </c>
      <c r="W276" s="24"/>
      <c r="X276" s="24"/>
      <c r="Y276" s="24"/>
      <c r="Z276" s="24"/>
    </row>
    <row r="277">
      <c r="E277" s="34"/>
      <c r="S277" s="30" t="str">
        <f>IF(AND('Catchment Area'!$E292&lt;&gt;0,Power!$U290&lt;&gt;0),1,"")</f>
        <v/>
      </c>
      <c r="T277" s="24"/>
      <c r="U277" s="24"/>
      <c r="V277" s="30" t="str">
        <f>IF(AND('Catchment Area'!$X292&lt;&gt;0,Power!$U290&lt;&gt;0),1,"")</f>
        <v/>
      </c>
      <c r="W277" s="24"/>
      <c r="X277" s="24"/>
      <c r="Y277" s="24"/>
      <c r="Z277" s="24"/>
    </row>
    <row r="278">
      <c r="E278" s="34"/>
      <c r="S278" s="30" t="str">
        <f>IF(AND('Catchment Area'!$E293&lt;&gt;0,Power!$U291&lt;&gt;0),1,"")</f>
        <v/>
      </c>
      <c r="T278" s="24"/>
      <c r="U278" s="24"/>
      <c r="V278" s="30" t="str">
        <f>IF(AND('Catchment Area'!$X293&lt;&gt;0,Power!$U291&lt;&gt;0),1,"")</f>
        <v/>
      </c>
      <c r="W278" s="24"/>
      <c r="X278" s="24"/>
      <c r="Y278" s="24"/>
      <c r="Z278" s="24"/>
    </row>
    <row r="279">
      <c r="E279" s="34"/>
      <c r="S279" s="30" t="str">
        <f>IF(AND('Catchment Area'!$E294&lt;&gt;0,Power!$U292&lt;&gt;0),1,"")</f>
        <v/>
      </c>
      <c r="T279" s="24"/>
      <c r="U279" s="24"/>
      <c r="V279" s="30" t="str">
        <f>IF(AND('Catchment Area'!$X294&lt;&gt;0,Power!$U292&lt;&gt;0),1,"")</f>
        <v/>
      </c>
      <c r="W279" s="24"/>
      <c r="X279" s="24"/>
      <c r="Y279" s="24"/>
      <c r="Z279" s="24"/>
    </row>
    <row r="280">
      <c r="E280" s="34"/>
      <c r="S280" s="30" t="str">
        <f>IF(AND('Catchment Area'!$E295&lt;&gt;0,Power!$U293&lt;&gt;0),1,"")</f>
        <v/>
      </c>
      <c r="T280" s="24"/>
      <c r="U280" s="24"/>
      <c r="V280" s="30" t="str">
        <f>IF(AND('Catchment Area'!$X295&lt;&gt;0,Power!$U293&lt;&gt;0),1,"")</f>
        <v/>
      </c>
      <c r="W280" s="24"/>
      <c r="X280" s="24"/>
      <c r="Y280" s="24"/>
      <c r="Z280" s="24"/>
    </row>
    <row r="281">
      <c r="E281" s="34"/>
      <c r="S281" s="30" t="str">
        <f>IF(AND('Catchment Area'!$E296&lt;&gt;0,Power!$U294&lt;&gt;0),1,"")</f>
        <v/>
      </c>
      <c r="T281" s="24"/>
      <c r="U281" s="24"/>
      <c r="V281" s="30" t="str">
        <f>IF(AND('Catchment Area'!$X296&lt;&gt;0,Power!$U294&lt;&gt;0),1,"")</f>
        <v/>
      </c>
      <c r="W281" s="24"/>
      <c r="X281" s="24"/>
      <c r="Y281" s="24"/>
      <c r="Z281" s="24"/>
    </row>
    <row r="282">
      <c r="E282" s="34"/>
      <c r="S282" s="30" t="str">
        <f>IF(AND('Catchment Area'!$E297&lt;&gt;0,Power!$U295&lt;&gt;0),1,"")</f>
        <v/>
      </c>
      <c r="T282" s="24"/>
      <c r="U282" s="24"/>
      <c r="V282" s="30" t="str">
        <f>IF(AND('Catchment Area'!$X297&lt;&gt;0,Power!$U295&lt;&gt;0),1,"")</f>
        <v/>
      </c>
      <c r="W282" s="24"/>
      <c r="X282" s="24"/>
      <c r="Y282" s="24"/>
      <c r="Z282" s="24"/>
    </row>
    <row r="283">
      <c r="E283" s="34"/>
      <c r="S283" s="30" t="str">
        <f>IF(AND('Catchment Area'!$E298&lt;&gt;0,Power!$U296&lt;&gt;0),1,"")</f>
        <v/>
      </c>
      <c r="T283" s="24"/>
      <c r="U283" s="24"/>
      <c r="V283" s="30" t="str">
        <f>IF(AND('Catchment Area'!$X298&lt;&gt;0,Power!$U296&lt;&gt;0),1,"")</f>
        <v/>
      </c>
      <c r="W283" s="24"/>
      <c r="X283" s="24"/>
      <c r="Y283" s="24"/>
      <c r="Z283" s="24"/>
    </row>
    <row r="284">
      <c r="E284" s="34"/>
      <c r="S284" s="30" t="str">
        <f>IF(AND('Catchment Area'!$E299&lt;&gt;0,Power!$U297&lt;&gt;0),1,"")</f>
        <v/>
      </c>
      <c r="T284" s="24"/>
      <c r="U284" s="24"/>
      <c r="V284" s="30" t="str">
        <f>IF(AND('Catchment Area'!$X299&lt;&gt;0,Power!$U297&lt;&gt;0),1,"")</f>
        <v/>
      </c>
      <c r="W284" s="24"/>
      <c r="X284" s="24"/>
      <c r="Y284" s="24"/>
      <c r="Z284" s="24"/>
    </row>
    <row r="285">
      <c r="E285" s="34"/>
      <c r="S285" s="30" t="str">
        <f>IF(AND('Catchment Area'!$E300&lt;&gt;0,Power!$U298&lt;&gt;0),1,"")</f>
        <v/>
      </c>
      <c r="T285" s="24"/>
      <c r="U285" s="24"/>
      <c r="V285" s="30" t="str">
        <f>IF(AND('Catchment Area'!$X300&lt;&gt;0,Power!$U298&lt;&gt;0),1,"")</f>
        <v/>
      </c>
      <c r="W285" s="24"/>
      <c r="X285" s="24"/>
      <c r="Y285" s="24"/>
      <c r="Z285" s="24"/>
    </row>
    <row r="286">
      <c r="E286" s="34"/>
      <c r="S286" s="30" t="str">
        <f>IF(AND('Catchment Area'!$E301&lt;&gt;0,Power!$U299&lt;&gt;0),1,"")</f>
        <v/>
      </c>
      <c r="T286" s="24"/>
      <c r="U286" s="24"/>
      <c r="V286" s="30" t="str">
        <f>IF(AND('Catchment Area'!$X301&lt;&gt;0,Power!$U299&lt;&gt;0),1,"")</f>
        <v/>
      </c>
      <c r="W286" s="24"/>
      <c r="X286" s="24"/>
      <c r="Y286" s="24"/>
      <c r="Z286" s="24"/>
    </row>
    <row r="287">
      <c r="E287" s="34"/>
      <c r="S287" s="30" t="str">
        <f>IF(AND('Catchment Area'!$E302&lt;&gt;0,Power!$U300&lt;&gt;0),1,"")</f>
        <v/>
      </c>
      <c r="T287" s="24"/>
      <c r="U287" s="24"/>
      <c r="V287" s="30" t="str">
        <f>IF(AND('Catchment Area'!$X302&lt;&gt;0,Power!$U300&lt;&gt;0),1,"")</f>
        <v/>
      </c>
      <c r="W287" s="24"/>
      <c r="X287" s="24"/>
      <c r="Y287" s="24"/>
      <c r="Z287" s="24"/>
    </row>
    <row r="288">
      <c r="E288" s="34"/>
      <c r="S288" s="30" t="str">
        <f>IF(AND('Catchment Area'!$E303&lt;&gt;0,Power!$U301&lt;&gt;0),1,"")</f>
        <v/>
      </c>
      <c r="T288" s="24"/>
      <c r="U288" s="24"/>
      <c r="V288" s="30" t="str">
        <f>IF(AND('Catchment Area'!$X303&lt;&gt;0,Power!$U301&lt;&gt;0),1,"")</f>
        <v/>
      </c>
      <c r="W288" s="24"/>
      <c r="X288" s="24"/>
      <c r="Y288" s="24"/>
      <c r="Z288" s="24"/>
    </row>
    <row r="289">
      <c r="E289" s="34"/>
      <c r="S289" s="30" t="str">
        <f>IF(AND('Catchment Area'!$E304&lt;&gt;0,Power!$U302&lt;&gt;0),1,"")</f>
        <v/>
      </c>
      <c r="T289" s="24"/>
      <c r="U289" s="24"/>
      <c r="V289" s="30" t="str">
        <f>IF(AND('Catchment Area'!$X304&lt;&gt;0,Power!$U302&lt;&gt;0),1,"")</f>
        <v/>
      </c>
      <c r="W289" s="24"/>
      <c r="X289" s="24"/>
      <c r="Y289" s="24"/>
      <c r="Z289" s="24"/>
    </row>
    <row r="290">
      <c r="E290" s="34"/>
      <c r="S290" s="30" t="str">
        <f>IF(AND('Catchment Area'!$E305&lt;&gt;0,Power!$U303&lt;&gt;0),1,"")</f>
        <v/>
      </c>
      <c r="T290" s="24"/>
      <c r="U290" s="24"/>
      <c r="V290" s="30" t="str">
        <f>IF(AND('Catchment Area'!$X305&lt;&gt;0,Power!$U303&lt;&gt;0),1,"")</f>
        <v/>
      </c>
      <c r="W290" s="24"/>
      <c r="X290" s="24"/>
      <c r="Y290" s="24"/>
      <c r="Z290" s="24"/>
    </row>
    <row r="291">
      <c r="E291" s="34"/>
      <c r="S291" s="30" t="str">
        <f>IF(AND('Catchment Area'!$E306&lt;&gt;0,Power!$U304&lt;&gt;0),1,"")</f>
        <v/>
      </c>
      <c r="T291" s="24"/>
      <c r="U291" s="24"/>
      <c r="V291" s="30" t="str">
        <f>IF(AND('Catchment Area'!$X306&lt;&gt;0,Power!$U304&lt;&gt;0),1,"")</f>
        <v/>
      </c>
      <c r="W291" s="24"/>
      <c r="X291" s="24"/>
      <c r="Y291" s="24"/>
      <c r="Z291" s="24"/>
    </row>
    <row r="292">
      <c r="E292" s="34"/>
      <c r="S292" s="30" t="str">
        <f>IF(AND('Catchment Area'!$E307&lt;&gt;0,Power!$U305&lt;&gt;0),1,"")</f>
        <v/>
      </c>
      <c r="T292" s="24"/>
      <c r="U292" s="24"/>
      <c r="V292" s="30" t="str">
        <f>IF(AND('Catchment Area'!$X307&lt;&gt;0,Power!$U305&lt;&gt;0),1,"")</f>
        <v/>
      </c>
      <c r="W292" s="24"/>
      <c r="X292" s="24"/>
      <c r="Y292" s="24"/>
      <c r="Z292" s="24"/>
    </row>
    <row r="293">
      <c r="E293" s="34"/>
      <c r="S293" s="30" t="str">
        <f>IF(AND('Catchment Area'!$E308&lt;&gt;0,Power!$U306&lt;&gt;0),1,"")</f>
        <v/>
      </c>
      <c r="T293" s="24"/>
      <c r="U293" s="24"/>
      <c r="V293" s="30" t="str">
        <f>IF(AND('Catchment Area'!$X308&lt;&gt;0,Power!$U306&lt;&gt;0),1,"")</f>
        <v/>
      </c>
      <c r="W293" s="24"/>
      <c r="X293" s="24"/>
      <c r="Y293" s="24"/>
      <c r="Z293" s="24"/>
    </row>
    <row r="294">
      <c r="E294" s="34"/>
      <c r="S294" s="30" t="str">
        <f>IF(AND('Catchment Area'!$E309&lt;&gt;0,Power!$U307&lt;&gt;0),1,"")</f>
        <v/>
      </c>
      <c r="T294" s="24"/>
      <c r="U294" s="24"/>
      <c r="V294" s="30" t="str">
        <f>IF(AND('Catchment Area'!$X309&lt;&gt;0,Power!$U307&lt;&gt;0),1,"")</f>
        <v/>
      </c>
      <c r="W294" s="24"/>
      <c r="X294" s="24"/>
      <c r="Y294" s="24"/>
      <c r="Z294" s="24"/>
    </row>
    <row r="295">
      <c r="E295" s="34"/>
      <c r="S295" s="30" t="str">
        <f>IF(AND('Catchment Area'!$E310&lt;&gt;0,Power!$U308&lt;&gt;0),1,"")</f>
        <v/>
      </c>
      <c r="T295" s="24"/>
      <c r="U295" s="24"/>
      <c r="V295" s="30" t="str">
        <f>IF(AND('Catchment Area'!$X310&lt;&gt;0,Power!$U308&lt;&gt;0),1,"")</f>
        <v/>
      </c>
      <c r="W295" s="24"/>
      <c r="X295" s="24"/>
      <c r="Y295" s="24"/>
      <c r="Z295" s="24"/>
    </row>
    <row r="296">
      <c r="E296" s="34"/>
      <c r="S296" s="30" t="str">
        <f>IF(AND('Catchment Area'!$E311&lt;&gt;0,Power!$U309&lt;&gt;0),1,"")</f>
        <v/>
      </c>
      <c r="T296" s="24"/>
      <c r="U296" s="24"/>
      <c r="V296" s="30" t="str">
        <f>IF(AND('Catchment Area'!$X311&lt;&gt;0,Power!$U309&lt;&gt;0),1,"")</f>
        <v/>
      </c>
      <c r="W296" s="24"/>
      <c r="X296" s="24"/>
      <c r="Y296" s="24"/>
      <c r="Z296" s="24"/>
    </row>
    <row r="297">
      <c r="E297" s="34"/>
      <c r="S297" s="30" t="str">
        <f>IF(AND('Catchment Area'!$E312&lt;&gt;0,Power!$U310&lt;&gt;0),1,"")</f>
        <v/>
      </c>
      <c r="T297" s="24"/>
      <c r="U297" s="24"/>
      <c r="V297" s="30" t="str">
        <f>IF(AND('Catchment Area'!$X312&lt;&gt;0,Power!$U310&lt;&gt;0),1,"")</f>
        <v/>
      </c>
      <c r="W297" s="24"/>
      <c r="X297" s="24"/>
      <c r="Y297" s="24"/>
      <c r="Z297" s="24"/>
    </row>
    <row r="298">
      <c r="E298" s="34"/>
      <c r="S298" t="str">
        <f>IF(AND('Catchment Area'!E313&lt;&gt;0,Power!R311&lt;&gt;0),1,"")</f>
        <v/>
      </c>
    </row>
    <row r="299">
      <c r="E299" s="34"/>
      <c r="S299" t="str">
        <f>IF(AND('Catchment Area'!E314&lt;&gt;0,Power!R312&lt;&gt;0),1,"")</f>
        <v/>
      </c>
    </row>
    <row r="300">
      <c r="E300" s="34"/>
      <c r="S300" t="str">
        <f>IF(AND('Catchment Area'!E315&lt;&gt;0,Power!R313&lt;&gt;0),1,"")</f>
        <v/>
      </c>
    </row>
    <row r="301">
      <c r="E301" s="34"/>
      <c r="S301" t="str">
        <f>IF(AND('Catchment Area'!E316&lt;&gt;0,Power!R314&lt;&gt;0),1,"")</f>
        <v/>
      </c>
    </row>
    <row r="302">
      <c r="E302" s="34"/>
      <c r="S302" t="str">
        <f>IF(AND('Catchment Area'!E317&lt;&gt;0,Power!R315&lt;&gt;0),1,"")</f>
        <v/>
      </c>
    </row>
    <row r="303">
      <c r="E303" s="34"/>
      <c r="S303" t="str">
        <f>IF(AND('Catchment Area'!E318&lt;&gt;0,Power!R316&lt;&gt;0),1,"")</f>
        <v/>
      </c>
    </row>
    <row r="304">
      <c r="E304" s="34"/>
      <c r="S304" t="str">
        <f>IF(AND('Catchment Area'!E319&lt;&gt;0,Power!R317&lt;&gt;0),1,"")</f>
        <v/>
      </c>
    </row>
    <row r="305">
      <c r="E305" s="34"/>
      <c r="S305" t="str">
        <f>IF(AND('Catchment Area'!E320&lt;&gt;0,Power!R318&lt;&gt;0),1,"")</f>
        <v/>
      </c>
    </row>
    <row r="306">
      <c r="E306" s="34"/>
      <c r="S306" t="str">
        <f>IF(AND('Catchment Area'!E321&lt;&gt;0,Power!R319&lt;&gt;0),1,"")</f>
        <v/>
      </c>
    </row>
    <row r="307">
      <c r="E307" s="34"/>
      <c r="S307" t="str">
        <f>IF(AND('Catchment Area'!E322&lt;&gt;0,Power!R320&lt;&gt;0),1,"")</f>
        <v/>
      </c>
    </row>
    <row r="308">
      <c r="E308" s="34"/>
      <c r="S308" t="str">
        <f>IF(AND('Catchment Area'!E323&lt;&gt;0,Power!R321&lt;&gt;0),1,"")</f>
        <v/>
      </c>
    </row>
    <row r="309">
      <c r="E309" s="34"/>
      <c r="S309" t="str">
        <f>IF(AND('Catchment Area'!E324&lt;&gt;0,Power!R322&lt;&gt;0),1,"")</f>
        <v/>
      </c>
    </row>
    <row r="310">
      <c r="E310" s="34"/>
      <c r="S310" t="str">
        <f>IF(AND('Catchment Area'!E325&lt;&gt;0,Power!R323&lt;&gt;0),1,"")</f>
        <v/>
      </c>
    </row>
    <row r="311">
      <c r="E311" s="34"/>
      <c r="S311" t="str">
        <f>IF(AND('Catchment Area'!E326&lt;&gt;0,Power!R324&lt;&gt;0),1,"")</f>
        <v/>
      </c>
    </row>
    <row r="312">
      <c r="E312" s="34"/>
      <c r="S312" t="str">
        <f>IF(AND('Catchment Area'!E327&lt;&gt;0,Power!R325&lt;&gt;0),1,"")</f>
        <v/>
      </c>
    </row>
    <row r="313">
      <c r="E313" s="34"/>
      <c r="S313" t="str">
        <f>IF(AND('Catchment Area'!E328&lt;&gt;0,Power!R326&lt;&gt;0),1,"")</f>
        <v/>
      </c>
    </row>
    <row r="314">
      <c r="E314" s="34"/>
      <c r="S314" t="str">
        <f>IF(AND('Catchment Area'!E329&lt;&gt;0,Power!R327&lt;&gt;0),1,"")</f>
        <v/>
      </c>
    </row>
    <row r="315">
      <c r="E315" s="34"/>
      <c r="S315" t="str">
        <f>IF(AND('Catchment Area'!E330&lt;&gt;0,Power!R328&lt;&gt;0),1,"")</f>
        <v/>
      </c>
    </row>
    <row r="316">
      <c r="E316" s="34"/>
      <c r="S316" t="str">
        <f>IF(AND('Catchment Area'!E331&lt;&gt;0,Power!R329&lt;&gt;0),1,"")</f>
        <v/>
      </c>
    </row>
    <row r="317">
      <c r="E317" s="34"/>
      <c r="S317" t="str">
        <f>IF(AND('Catchment Area'!E332&lt;&gt;0,Power!R330&lt;&gt;0),1,"")</f>
        <v/>
      </c>
    </row>
    <row r="318">
      <c r="E318" s="34"/>
      <c r="S318" t="str">
        <f>IF(AND('Catchment Area'!E333&lt;&gt;0,Power!R331&lt;&gt;0),1,"")</f>
        <v/>
      </c>
    </row>
    <row r="319">
      <c r="E319" s="34"/>
      <c r="S319" t="str">
        <f>IF(AND('Catchment Area'!E334&lt;&gt;0,Power!R332&lt;&gt;0),1,"")</f>
        <v/>
      </c>
    </row>
    <row r="320">
      <c r="E320" s="34"/>
      <c r="S320" t="str">
        <f>IF(AND('Catchment Area'!E335&lt;&gt;0,Power!R333&lt;&gt;0),1,"")</f>
        <v/>
      </c>
    </row>
    <row r="321">
      <c r="E321" s="34"/>
      <c r="S321" t="str">
        <f>IF(AND('Catchment Area'!E336&lt;&gt;0,Power!R334&lt;&gt;0),1,"")</f>
        <v/>
      </c>
    </row>
    <row r="322">
      <c r="E322" s="34"/>
      <c r="S322" t="str">
        <f>IF(AND('Catchment Area'!E337&lt;&gt;0,Power!R335&lt;&gt;0),1,"")</f>
        <v/>
      </c>
    </row>
    <row r="323">
      <c r="E323" s="34"/>
      <c r="S323" t="str">
        <f>IF(AND('Catchment Area'!E338&lt;&gt;0,Power!R336&lt;&gt;0),1,"")</f>
        <v/>
      </c>
    </row>
    <row r="324">
      <c r="E324" s="34"/>
      <c r="S324" t="str">
        <f>IF(AND('Catchment Area'!E339&lt;&gt;0,Power!R337&lt;&gt;0),1,"")</f>
        <v/>
      </c>
    </row>
    <row r="325">
      <c r="E325" s="34"/>
      <c r="S325" t="str">
        <f>IF(AND('Catchment Area'!E340&lt;&gt;0,Power!R338&lt;&gt;0),1,"")</f>
        <v/>
      </c>
    </row>
    <row r="326">
      <c r="E326" s="34"/>
      <c r="S326" t="str">
        <f>IF(AND('Catchment Area'!E341&lt;&gt;0,Power!R339&lt;&gt;0),1,"")</f>
        <v/>
      </c>
    </row>
    <row r="327">
      <c r="E327" s="34"/>
      <c r="S327" t="str">
        <f>IF(AND('Catchment Area'!E342&lt;&gt;0,Power!R340&lt;&gt;0),1,"")</f>
        <v/>
      </c>
    </row>
    <row r="328">
      <c r="E328" s="34"/>
      <c r="S328" t="str">
        <f>IF(AND('Catchment Area'!E343&lt;&gt;0,Power!R341&lt;&gt;0),1,"")</f>
        <v/>
      </c>
    </row>
    <row r="329">
      <c r="E329" s="34"/>
      <c r="S329" t="str">
        <f>IF(AND('Catchment Area'!E344&lt;&gt;0,Power!R342&lt;&gt;0),1,"")</f>
        <v/>
      </c>
    </row>
    <row r="330">
      <c r="E330" s="34"/>
      <c r="S330" t="str">
        <f>IF(AND('Catchment Area'!E345&lt;&gt;0,Power!R343&lt;&gt;0),1,"")</f>
        <v/>
      </c>
    </row>
    <row r="331">
      <c r="E331" s="34"/>
      <c r="S331" t="str">
        <f>IF(AND('Catchment Area'!E346&lt;&gt;0,Power!R344&lt;&gt;0),1,"")</f>
        <v/>
      </c>
    </row>
    <row r="332">
      <c r="E332" s="34"/>
      <c r="S332" t="str">
        <f>IF(AND('Catchment Area'!E347&lt;&gt;0,Power!R345&lt;&gt;0),1,"")</f>
        <v/>
      </c>
    </row>
    <row r="333">
      <c r="E333" s="34"/>
      <c r="S333" t="str">
        <f>IF(AND('Catchment Area'!E348&lt;&gt;0,Power!R346&lt;&gt;0),1,"")</f>
        <v/>
      </c>
    </row>
    <row r="334">
      <c r="E334" s="34"/>
      <c r="S334" t="str">
        <f>IF(AND('Catchment Area'!E349&lt;&gt;0,Power!R347&lt;&gt;0),1,"")</f>
        <v/>
      </c>
    </row>
    <row r="335">
      <c r="E335" s="34"/>
      <c r="S335" t="str">
        <f>IF(AND('Catchment Area'!E350&lt;&gt;0,Power!R348&lt;&gt;0),1,"")</f>
        <v/>
      </c>
    </row>
    <row r="336">
      <c r="E336" s="34"/>
      <c r="S336" t="str">
        <f>IF(AND('Catchment Area'!E351&lt;&gt;0,Power!R349&lt;&gt;0),1,"")</f>
        <v/>
      </c>
    </row>
    <row r="337">
      <c r="E337" s="34"/>
      <c r="S337" t="str">
        <f>IF(AND('Catchment Area'!E352&lt;&gt;0,Power!R350&lt;&gt;0),1,"")</f>
        <v/>
      </c>
    </row>
    <row r="338">
      <c r="E338" s="34"/>
      <c r="S338" t="str">
        <f>IF(AND('Catchment Area'!E353&lt;&gt;0,Power!R351&lt;&gt;0),1,"")</f>
        <v/>
      </c>
    </row>
    <row r="339">
      <c r="E339" s="34"/>
      <c r="S339" t="str">
        <f>IF(AND('Catchment Area'!E354&lt;&gt;0,Power!R352&lt;&gt;0),1,"")</f>
        <v/>
      </c>
    </row>
    <row r="340">
      <c r="E340" s="34"/>
      <c r="S340" t="str">
        <f>IF(AND('Catchment Area'!E355&lt;&gt;0,Power!R353&lt;&gt;0),1,"")</f>
        <v/>
      </c>
    </row>
    <row r="341">
      <c r="E341" s="34"/>
      <c r="S341" t="str">
        <f>IF(AND('Catchment Area'!E356&lt;&gt;0,Power!R354&lt;&gt;0),1,"")</f>
        <v/>
      </c>
    </row>
    <row r="342">
      <c r="E342" s="34"/>
      <c r="S342" t="str">
        <f>IF(AND('Catchment Area'!E357&lt;&gt;0,Power!R355&lt;&gt;0),1,"")</f>
        <v/>
      </c>
    </row>
    <row r="343">
      <c r="E343" s="34"/>
      <c r="S343" t="str">
        <f>IF(AND('Catchment Area'!E358&lt;&gt;0,Power!R356&lt;&gt;0),1,"")</f>
        <v/>
      </c>
    </row>
    <row r="344">
      <c r="E344" s="34"/>
      <c r="S344" t="str">
        <f>IF(AND('Catchment Area'!E359&lt;&gt;0,Power!R357&lt;&gt;0),1,"")</f>
        <v/>
      </c>
    </row>
    <row r="345">
      <c r="E345" s="34"/>
      <c r="S345" t="str">
        <f>IF(AND('Catchment Area'!E360&lt;&gt;0,Power!R358&lt;&gt;0),1,"")</f>
        <v/>
      </c>
    </row>
    <row r="346">
      <c r="E346" s="34"/>
      <c r="S346" t="str">
        <f>IF(AND('Catchment Area'!E361&lt;&gt;0,Power!R359&lt;&gt;0),1,"")</f>
        <v/>
      </c>
    </row>
    <row r="347">
      <c r="E347" s="34"/>
      <c r="S347" t="str">
        <f>IF(AND('Catchment Area'!E362&lt;&gt;0,Power!R360&lt;&gt;0),1,"")</f>
        <v/>
      </c>
    </row>
    <row r="348">
      <c r="E348" s="34"/>
      <c r="S348" t="str">
        <f>IF(AND('Catchment Area'!E363&lt;&gt;0,Power!R361&lt;&gt;0),1,"")</f>
        <v/>
      </c>
    </row>
    <row r="349">
      <c r="E349" s="34"/>
      <c r="S349" t="str">
        <f>IF(AND('Catchment Area'!E364&lt;&gt;0,Power!R362&lt;&gt;0),1,"")</f>
        <v/>
      </c>
    </row>
    <row r="350">
      <c r="E350" s="34"/>
      <c r="S350" t="str">
        <f>IF(AND('Catchment Area'!E365&lt;&gt;0,Power!R363&lt;&gt;0),1,"")</f>
        <v/>
      </c>
    </row>
    <row r="351">
      <c r="E351" s="34"/>
      <c r="S351" t="str">
        <f>IF(AND('Catchment Area'!E366&lt;&gt;0,Power!R364&lt;&gt;0),1,"")</f>
        <v/>
      </c>
    </row>
    <row r="352">
      <c r="E352" s="34"/>
      <c r="S352" t="str">
        <f>IF(AND('Catchment Area'!E367&lt;&gt;0,Power!R365&lt;&gt;0),1,"")</f>
        <v/>
      </c>
    </row>
    <row r="353">
      <c r="E353" s="34"/>
      <c r="S353" t="str">
        <f>IF(AND('Catchment Area'!E368&lt;&gt;0,Power!R366&lt;&gt;0),1,"")</f>
        <v/>
      </c>
    </row>
    <row r="354">
      <c r="E354" s="34"/>
      <c r="S354" t="str">
        <f>IF(AND('Catchment Area'!E369&lt;&gt;0,Power!R367&lt;&gt;0),1,"")</f>
        <v/>
      </c>
    </row>
    <row r="355">
      <c r="E355" s="34"/>
      <c r="S355" t="str">
        <f>IF(AND('Catchment Area'!E370&lt;&gt;0,Power!R368&lt;&gt;0),1,"")</f>
        <v/>
      </c>
    </row>
    <row r="356">
      <c r="E356" s="34"/>
      <c r="S356" t="str">
        <f>IF(AND('Catchment Area'!E371&lt;&gt;0,Power!R369&lt;&gt;0),1,"")</f>
        <v/>
      </c>
    </row>
    <row r="357">
      <c r="E357" s="34"/>
      <c r="S357" t="str">
        <f>IF(AND('Catchment Area'!E372&lt;&gt;0,Power!R370&lt;&gt;0),1,"")</f>
        <v/>
      </c>
    </row>
    <row r="358">
      <c r="E358" s="34"/>
      <c r="S358" t="str">
        <f>IF(AND('Catchment Area'!E373&lt;&gt;0,Power!R371&lt;&gt;0),1,"")</f>
        <v/>
      </c>
    </row>
    <row r="359">
      <c r="E359" s="34"/>
      <c r="S359" t="str">
        <f>IF(AND('Catchment Area'!E374&lt;&gt;0,Power!R372&lt;&gt;0),1,"")</f>
        <v/>
      </c>
    </row>
    <row r="360">
      <c r="E360" s="34"/>
      <c r="S360" t="str">
        <f>IF(AND('Catchment Area'!E375&lt;&gt;0,Power!R373&lt;&gt;0),1,"")</f>
        <v/>
      </c>
    </row>
    <row r="361">
      <c r="E361" s="34"/>
      <c r="S361" t="str">
        <f>IF(AND('Catchment Area'!E376&lt;&gt;0,Power!R374&lt;&gt;0),1,"")</f>
        <v/>
      </c>
    </row>
    <row r="362">
      <c r="E362" s="34"/>
      <c r="S362" t="str">
        <f>IF(AND('Catchment Area'!E377&lt;&gt;0,Power!R375&lt;&gt;0),1,"")</f>
        <v/>
      </c>
    </row>
    <row r="363">
      <c r="E363" s="34"/>
      <c r="S363" t="str">
        <f>IF(AND('Catchment Area'!E378&lt;&gt;0,Power!R376&lt;&gt;0),1,"")</f>
        <v/>
      </c>
    </row>
    <row r="364">
      <c r="E364" s="34"/>
      <c r="S364" t="str">
        <f>IF(AND('Catchment Area'!E379&lt;&gt;0,Power!R377&lt;&gt;0),1,"")</f>
        <v/>
      </c>
    </row>
    <row r="365">
      <c r="E365" s="34"/>
      <c r="S365" t="str">
        <f>IF(AND('Catchment Area'!E380&lt;&gt;0,Power!R378&lt;&gt;0),1,"")</f>
        <v/>
      </c>
    </row>
    <row r="366">
      <c r="E366" s="34"/>
      <c r="S366" t="str">
        <f>IF(AND('Catchment Area'!E381&lt;&gt;0,Power!R379&lt;&gt;0),1,"")</f>
        <v/>
      </c>
    </row>
    <row r="367">
      <c r="E367" s="34"/>
      <c r="S367" t="str">
        <f>IF(AND('Catchment Area'!E382&lt;&gt;0,Power!R380&lt;&gt;0),1,"")</f>
        <v/>
      </c>
    </row>
    <row r="368">
      <c r="E368" s="34"/>
    </row>
    <row r="369">
      <c r="E369" s="34"/>
    </row>
    <row r="370">
      <c r="E370" s="34"/>
    </row>
    <row r="371">
      <c r="E371" s="34"/>
    </row>
    <row r="372">
      <c r="E372" s="34"/>
    </row>
    <row r="373">
      <c r="E373" s="34"/>
    </row>
    <row r="374">
      <c r="E374" s="34"/>
    </row>
    <row r="375">
      <c r="E375" s="34"/>
    </row>
    <row r="376">
      <c r="E376" s="34"/>
    </row>
    <row r="377">
      <c r="E377" s="34"/>
    </row>
    <row r="378">
      <c r="E378" s="34"/>
    </row>
    <row r="379">
      <c r="E379" s="34"/>
    </row>
    <row r="380">
      <c r="E380" s="34"/>
    </row>
    <row r="381">
      <c r="E381" s="34"/>
    </row>
    <row r="382">
      <c r="E382" s="34"/>
    </row>
    <row r="383">
      <c r="E383" s="34"/>
    </row>
    <row r="384">
      <c r="E384" s="34"/>
    </row>
    <row r="385">
      <c r="E385" s="34"/>
    </row>
    <row r="386">
      <c r="E386" s="34"/>
    </row>
    <row r="387">
      <c r="E387" s="34"/>
    </row>
    <row r="388">
      <c r="E388" s="34"/>
    </row>
    <row r="389">
      <c r="E389" s="34"/>
    </row>
    <row r="390">
      <c r="E390" s="34"/>
    </row>
    <row r="391">
      <c r="E391" s="34"/>
    </row>
    <row r="392">
      <c r="E392" s="34"/>
    </row>
    <row r="393">
      <c r="E393" s="34"/>
    </row>
    <row r="394">
      <c r="E394" s="34"/>
    </row>
    <row r="395">
      <c r="E395" s="34"/>
    </row>
    <row r="396">
      <c r="E396" s="34"/>
    </row>
    <row r="397">
      <c r="E397" s="34"/>
    </row>
    <row r="398">
      <c r="E398" s="34"/>
    </row>
    <row r="399">
      <c r="E399" s="34"/>
    </row>
    <row r="400">
      <c r="E400" s="34"/>
    </row>
    <row r="401">
      <c r="E401" s="34"/>
    </row>
    <row r="402">
      <c r="E402" s="34"/>
    </row>
    <row r="403">
      <c r="E403" s="34"/>
    </row>
    <row r="404">
      <c r="E404" s="34"/>
    </row>
    <row r="405">
      <c r="E405" s="34"/>
    </row>
    <row r="406">
      <c r="E406" s="34"/>
    </row>
    <row r="407">
      <c r="E407" s="34"/>
    </row>
    <row r="408">
      <c r="E408" s="34"/>
    </row>
    <row r="409">
      <c r="E409" s="34"/>
    </row>
    <row r="410">
      <c r="E410" s="34"/>
    </row>
    <row r="411">
      <c r="E411" s="34"/>
    </row>
    <row r="412">
      <c r="E412" s="34"/>
    </row>
    <row r="413">
      <c r="E413" s="34"/>
    </row>
    <row r="414">
      <c r="E414" s="34"/>
    </row>
    <row r="415">
      <c r="E415" s="34"/>
    </row>
    <row r="416">
      <c r="E416" s="34"/>
    </row>
    <row r="417">
      <c r="E417" s="34"/>
    </row>
    <row r="418">
      <c r="E418" s="34"/>
    </row>
    <row r="419">
      <c r="E419" s="34"/>
    </row>
    <row r="420">
      <c r="E420" s="34"/>
    </row>
    <row r="421">
      <c r="E421" s="34"/>
    </row>
    <row r="422">
      <c r="E422" s="34"/>
    </row>
    <row r="423">
      <c r="E423" s="34"/>
    </row>
    <row r="424">
      <c r="E424" s="34"/>
    </row>
    <row r="425">
      <c r="E425" s="34"/>
    </row>
    <row r="426">
      <c r="E426" s="34"/>
    </row>
    <row r="427">
      <c r="E427" s="34"/>
    </row>
    <row r="428">
      <c r="E428" s="34"/>
    </row>
    <row r="429">
      <c r="E429" s="34"/>
    </row>
    <row r="430">
      <c r="E430" s="34"/>
    </row>
    <row r="431">
      <c r="E431" s="34"/>
    </row>
    <row r="432">
      <c r="E432" s="34"/>
    </row>
    <row r="433">
      <c r="E433" s="34"/>
    </row>
    <row r="434">
      <c r="E434" s="34"/>
    </row>
    <row r="435">
      <c r="E435" s="34"/>
    </row>
    <row r="436">
      <c r="E436" s="34"/>
    </row>
    <row r="437">
      <c r="E437" s="34"/>
    </row>
    <row r="438">
      <c r="E438" s="34"/>
    </row>
    <row r="439">
      <c r="E439" s="34"/>
    </row>
    <row r="440">
      <c r="E440" s="34"/>
    </row>
    <row r="441">
      <c r="E441" s="34"/>
    </row>
    <row r="442">
      <c r="E442" s="34"/>
    </row>
    <row r="443">
      <c r="E443" s="34"/>
    </row>
    <row r="444">
      <c r="E444" s="34"/>
    </row>
    <row r="445">
      <c r="E445" s="34"/>
    </row>
    <row r="446">
      <c r="E446" s="34"/>
    </row>
    <row r="447">
      <c r="E447" s="34"/>
    </row>
    <row r="448">
      <c r="E448" s="34"/>
    </row>
    <row r="449">
      <c r="E449" s="34"/>
    </row>
    <row r="450">
      <c r="E450" s="34"/>
    </row>
    <row r="451">
      <c r="E451" s="34"/>
    </row>
    <row r="452">
      <c r="E452" s="34"/>
    </row>
    <row r="453">
      <c r="E453" s="34"/>
    </row>
    <row r="454">
      <c r="E454" s="34"/>
    </row>
    <row r="455">
      <c r="E455" s="34"/>
    </row>
    <row r="456">
      <c r="E456" s="34"/>
    </row>
    <row r="457">
      <c r="E457" s="34"/>
    </row>
    <row r="458">
      <c r="E458" s="34"/>
    </row>
    <row r="459">
      <c r="E459" s="34"/>
    </row>
    <row r="460">
      <c r="E460" s="34"/>
    </row>
    <row r="461">
      <c r="E461" s="34"/>
    </row>
    <row r="462">
      <c r="E462" s="34"/>
    </row>
    <row r="463">
      <c r="E463" s="34"/>
    </row>
    <row r="464">
      <c r="E464" s="34"/>
    </row>
    <row r="465">
      <c r="E465" s="34"/>
    </row>
    <row r="466">
      <c r="E466" s="34"/>
    </row>
    <row r="467">
      <c r="E467" s="34"/>
    </row>
    <row r="468">
      <c r="E468" s="34"/>
    </row>
    <row r="469">
      <c r="E469" s="34"/>
    </row>
    <row r="470">
      <c r="E470" s="34"/>
    </row>
    <row r="471">
      <c r="E471" s="34"/>
    </row>
    <row r="472">
      <c r="E472" s="34"/>
    </row>
    <row r="473">
      <c r="E473" s="34"/>
    </row>
    <row r="474">
      <c r="E474" s="34"/>
    </row>
    <row r="475">
      <c r="E475" s="34"/>
    </row>
    <row r="476">
      <c r="E476" s="34"/>
    </row>
    <row r="477">
      <c r="E477" s="34"/>
    </row>
    <row r="478">
      <c r="E478" s="34"/>
    </row>
    <row r="479">
      <c r="E479" s="34"/>
    </row>
    <row r="480">
      <c r="E480" s="34"/>
    </row>
    <row r="481">
      <c r="E481" s="34"/>
    </row>
    <row r="482">
      <c r="E482" s="34"/>
    </row>
    <row r="483">
      <c r="E483" s="34"/>
    </row>
    <row r="484">
      <c r="E484" s="34"/>
    </row>
    <row r="485">
      <c r="E485" s="34"/>
    </row>
    <row r="486">
      <c r="E486" s="34"/>
    </row>
    <row r="487">
      <c r="E487" s="34"/>
    </row>
    <row r="488">
      <c r="E488" s="34"/>
    </row>
    <row r="489">
      <c r="E489" s="34"/>
    </row>
    <row r="490">
      <c r="E490" s="34"/>
    </row>
    <row r="491">
      <c r="E491" s="34"/>
    </row>
    <row r="492">
      <c r="E492" s="34"/>
    </row>
    <row r="493">
      <c r="E493" s="34"/>
    </row>
    <row r="494">
      <c r="E494" s="34"/>
    </row>
    <row r="495">
      <c r="E495" s="34"/>
    </row>
    <row r="496">
      <c r="E496" s="34"/>
    </row>
    <row r="497">
      <c r="E497" s="34"/>
    </row>
    <row r="498">
      <c r="E498" s="34"/>
    </row>
    <row r="499">
      <c r="E499" s="34"/>
    </row>
    <row r="500">
      <c r="E500" s="34"/>
    </row>
    <row r="501">
      <c r="E501" s="34"/>
    </row>
    <row r="502">
      <c r="E502" s="34"/>
    </row>
    <row r="503">
      <c r="E503" s="34"/>
    </row>
    <row r="504">
      <c r="E504" s="34"/>
    </row>
    <row r="505">
      <c r="E505" s="34"/>
    </row>
    <row r="506">
      <c r="E506" s="34"/>
    </row>
    <row r="507">
      <c r="E507" s="34"/>
    </row>
    <row r="508">
      <c r="E508" s="34"/>
    </row>
    <row r="509">
      <c r="E509" s="34"/>
    </row>
    <row r="510">
      <c r="E510" s="34"/>
    </row>
    <row r="511">
      <c r="E511" s="34"/>
    </row>
    <row r="512">
      <c r="E512" s="34"/>
    </row>
    <row r="513">
      <c r="E513" s="34"/>
    </row>
    <row r="514">
      <c r="E514" s="34"/>
    </row>
    <row r="515">
      <c r="E515" s="34"/>
    </row>
    <row r="516">
      <c r="E516" s="34"/>
    </row>
    <row r="517">
      <c r="E517" s="34"/>
    </row>
    <row r="518">
      <c r="E518" s="34"/>
    </row>
    <row r="519">
      <c r="E519" s="34"/>
    </row>
    <row r="520">
      <c r="E520" s="34"/>
    </row>
    <row r="521">
      <c r="E521" s="34"/>
    </row>
    <row r="522">
      <c r="E522" s="34"/>
    </row>
    <row r="523">
      <c r="E523" s="34"/>
    </row>
    <row r="524">
      <c r="E524" s="34"/>
    </row>
    <row r="525">
      <c r="E525" s="34"/>
    </row>
    <row r="526">
      <c r="E526" s="34"/>
    </row>
    <row r="527">
      <c r="E527" s="34"/>
    </row>
    <row r="528">
      <c r="E528" s="34"/>
    </row>
    <row r="529">
      <c r="E529" s="34"/>
    </row>
    <row r="530">
      <c r="E530" s="34"/>
    </row>
    <row r="531">
      <c r="E531" s="34"/>
    </row>
    <row r="532">
      <c r="E532" s="34"/>
    </row>
    <row r="533">
      <c r="E533" s="34"/>
    </row>
    <row r="534">
      <c r="E534" s="34"/>
    </row>
    <row r="535">
      <c r="E535" s="34"/>
    </row>
    <row r="536">
      <c r="E536" s="34"/>
    </row>
    <row r="537">
      <c r="E537" s="34"/>
    </row>
    <row r="538">
      <c r="E538" s="34"/>
    </row>
    <row r="539">
      <c r="E539" s="34"/>
    </row>
    <row r="540">
      <c r="E540" s="34"/>
    </row>
    <row r="541">
      <c r="E541" s="34"/>
    </row>
    <row r="542">
      <c r="E542" s="34"/>
    </row>
    <row r="543">
      <c r="E543" s="34"/>
    </row>
    <row r="544">
      <c r="E544" s="34"/>
    </row>
    <row r="545">
      <c r="E545" s="34"/>
    </row>
    <row r="546">
      <c r="E546" s="34"/>
    </row>
    <row r="547">
      <c r="E547" s="34"/>
    </row>
    <row r="548">
      <c r="E548" s="34"/>
    </row>
    <row r="549">
      <c r="E549" s="34"/>
    </row>
    <row r="550">
      <c r="E550" s="34"/>
    </row>
    <row r="551">
      <c r="E551" s="34"/>
    </row>
    <row r="552">
      <c r="E552" s="34"/>
    </row>
    <row r="553">
      <c r="E553" s="34"/>
    </row>
    <row r="554">
      <c r="E554" s="34"/>
    </row>
    <row r="555">
      <c r="E555" s="34"/>
    </row>
    <row r="556">
      <c r="E556" s="34"/>
    </row>
    <row r="557">
      <c r="E557" s="34"/>
    </row>
    <row r="558">
      <c r="E558" s="34"/>
    </row>
    <row r="559">
      <c r="E559" s="34"/>
    </row>
    <row r="560">
      <c r="E560" s="34"/>
    </row>
    <row r="561">
      <c r="E561" s="34"/>
    </row>
    <row r="562">
      <c r="E562" s="34"/>
    </row>
    <row r="563">
      <c r="E563" s="34"/>
    </row>
    <row r="564">
      <c r="E564" s="34"/>
    </row>
    <row r="565">
      <c r="E565" s="34"/>
    </row>
    <row r="566">
      <c r="E566" s="34"/>
    </row>
    <row r="567">
      <c r="E567" s="34"/>
    </row>
    <row r="568">
      <c r="E568" s="34"/>
    </row>
    <row r="569">
      <c r="E569" s="34"/>
    </row>
    <row r="570">
      <c r="E570" s="34"/>
    </row>
    <row r="571">
      <c r="E571" s="34"/>
    </row>
    <row r="572">
      <c r="E572" s="34"/>
    </row>
    <row r="573">
      <c r="E573" s="34"/>
    </row>
    <row r="574">
      <c r="E574" s="34"/>
    </row>
    <row r="575">
      <c r="E575" s="34"/>
    </row>
    <row r="576">
      <c r="E576" s="34"/>
    </row>
    <row r="577">
      <c r="E577" s="34"/>
    </row>
    <row r="578">
      <c r="E578" s="34"/>
    </row>
    <row r="579">
      <c r="E579" s="34"/>
    </row>
    <row r="580">
      <c r="E580" s="34"/>
    </row>
    <row r="581">
      <c r="E581" s="34"/>
    </row>
    <row r="582">
      <c r="E582" s="34"/>
    </row>
    <row r="583">
      <c r="E583" s="34"/>
    </row>
    <row r="584">
      <c r="E584" s="34"/>
    </row>
    <row r="585">
      <c r="E585" s="34"/>
    </row>
    <row r="586">
      <c r="E586" s="34"/>
    </row>
    <row r="587">
      <c r="E587" s="34"/>
    </row>
    <row r="588">
      <c r="E588" s="34"/>
    </row>
    <row r="589">
      <c r="E589" s="34"/>
    </row>
    <row r="590">
      <c r="E590" s="34"/>
    </row>
    <row r="591">
      <c r="E591" s="34"/>
    </row>
    <row r="592">
      <c r="E592" s="34"/>
    </row>
    <row r="593">
      <c r="E593" s="34"/>
    </row>
    <row r="594">
      <c r="E594" s="34"/>
    </row>
    <row r="595">
      <c r="E595" s="34"/>
    </row>
    <row r="596">
      <c r="E596" s="34"/>
    </row>
    <row r="597">
      <c r="E597" s="34"/>
    </row>
    <row r="598">
      <c r="E598" s="34"/>
    </row>
    <row r="599">
      <c r="E599" s="34"/>
    </row>
    <row r="600">
      <c r="E600" s="34"/>
    </row>
    <row r="601">
      <c r="E601" s="34"/>
    </row>
    <row r="602">
      <c r="E602" s="34"/>
    </row>
    <row r="603">
      <c r="E603" s="34"/>
    </row>
    <row r="604">
      <c r="E604" s="34"/>
    </row>
    <row r="605">
      <c r="E605" s="34"/>
    </row>
    <row r="606">
      <c r="E606" s="34"/>
    </row>
    <row r="607">
      <c r="E607" s="34"/>
    </row>
    <row r="608">
      <c r="E608" s="34"/>
    </row>
    <row r="609">
      <c r="E609" s="34"/>
    </row>
    <row r="610">
      <c r="E610" s="34"/>
    </row>
    <row r="611">
      <c r="E611" s="34"/>
    </row>
    <row r="612">
      <c r="E612" s="34"/>
    </row>
    <row r="613">
      <c r="E613" s="34"/>
    </row>
    <row r="614">
      <c r="E614" s="34"/>
    </row>
    <row r="615">
      <c r="E615" s="34"/>
    </row>
    <row r="616">
      <c r="E616" s="34"/>
    </row>
    <row r="617">
      <c r="E617" s="34"/>
    </row>
    <row r="618">
      <c r="E618" s="34"/>
    </row>
    <row r="619">
      <c r="E619" s="34"/>
    </row>
    <row r="620">
      <c r="E620" s="34"/>
    </row>
    <row r="621">
      <c r="E621" s="34"/>
    </row>
    <row r="622">
      <c r="E622" s="34"/>
    </row>
    <row r="623">
      <c r="E623" s="34"/>
    </row>
    <row r="624">
      <c r="E624" s="34"/>
    </row>
    <row r="625">
      <c r="E625" s="34"/>
    </row>
    <row r="626">
      <c r="E626" s="34"/>
    </row>
    <row r="627">
      <c r="E627" s="34"/>
    </row>
    <row r="628">
      <c r="E628" s="34"/>
    </row>
    <row r="629">
      <c r="E629" s="34"/>
    </row>
    <row r="630">
      <c r="E630" s="34"/>
    </row>
    <row r="631">
      <c r="E631" s="34"/>
    </row>
    <row r="632">
      <c r="E632" s="34"/>
    </row>
    <row r="633">
      <c r="E633" s="34"/>
    </row>
    <row r="634">
      <c r="E634" s="34"/>
    </row>
    <row r="635">
      <c r="E635" s="34"/>
    </row>
    <row r="636">
      <c r="E636" s="34"/>
    </row>
    <row r="637">
      <c r="E637" s="34"/>
    </row>
    <row r="638">
      <c r="E638" s="34"/>
    </row>
    <row r="639">
      <c r="E639" s="34"/>
    </row>
    <row r="640">
      <c r="E640" s="34"/>
    </row>
    <row r="641">
      <c r="E641" s="34"/>
    </row>
    <row r="642">
      <c r="E642" s="34"/>
    </row>
    <row r="643">
      <c r="E643" s="34"/>
    </row>
    <row r="644">
      <c r="E644" s="34"/>
    </row>
    <row r="645">
      <c r="E645" s="34"/>
    </row>
    <row r="646">
      <c r="E646" s="34"/>
    </row>
    <row r="647">
      <c r="E647" s="34"/>
    </row>
    <row r="648">
      <c r="E648" s="34"/>
    </row>
    <row r="649">
      <c r="E649" s="34"/>
    </row>
    <row r="650">
      <c r="E650" s="34"/>
    </row>
    <row r="651">
      <c r="E651" s="34"/>
    </row>
    <row r="652">
      <c r="E652" s="34"/>
    </row>
    <row r="653">
      <c r="E653" s="34"/>
    </row>
    <row r="654">
      <c r="E654" s="34"/>
    </row>
    <row r="655">
      <c r="E655" s="34"/>
    </row>
    <row r="656">
      <c r="E656" s="34"/>
    </row>
    <row r="657">
      <c r="E657" s="34"/>
    </row>
    <row r="658">
      <c r="E658" s="34"/>
    </row>
    <row r="659">
      <c r="E659" s="34"/>
    </row>
    <row r="660">
      <c r="E660" s="34"/>
    </row>
    <row r="661">
      <c r="E661" s="34"/>
    </row>
    <row r="662">
      <c r="E662" s="34"/>
    </row>
    <row r="663">
      <c r="E663" s="34"/>
    </row>
    <row r="664">
      <c r="E664" s="34"/>
    </row>
    <row r="665">
      <c r="E665" s="34"/>
    </row>
    <row r="666">
      <c r="E666" s="34"/>
    </row>
    <row r="667">
      <c r="E667" s="34"/>
    </row>
    <row r="668">
      <c r="E668" s="34"/>
    </row>
    <row r="669">
      <c r="E669" s="34"/>
    </row>
    <row r="670">
      <c r="E670" s="34"/>
    </row>
    <row r="671">
      <c r="E671" s="34"/>
    </row>
    <row r="672">
      <c r="E672" s="34"/>
    </row>
    <row r="673">
      <c r="E673" s="34"/>
    </row>
    <row r="674">
      <c r="E674" s="34"/>
    </row>
    <row r="675">
      <c r="E675" s="34"/>
    </row>
    <row r="676">
      <c r="E676" s="34"/>
    </row>
    <row r="677">
      <c r="E677" s="34"/>
    </row>
    <row r="678">
      <c r="E678" s="34"/>
    </row>
    <row r="679">
      <c r="E679" s="34"/>
    </row>
    <row r="680">
      <c r="E680" s="34"/>
    </row>
    <row r="681">
      <c r="E681" s="34"/>
    </row>
    <row r="682">
      <c r="E682" s="34"/>
    </row>
    <row r="683">
      <c r="E683" s="34"/>
    </row>
    <row r="684">
      <c r="E684" s="34"/>
    </row>
    <row r="685">
      <c r="E685" s="34"/>
    </row>
    <row r="686">
      <c r="E686" s="34"/>
    </row>
    <row r="687">
      <c r="E687" s="34"/>
    </row>
    <row r="688">
      <c r="E688" s="34"/>
    </row>
    <row r="689">
      <c r="E689" s="34"/>
    </row>
    <row r="690">
      <c r="E690" s="34"/>
    </row>
    <row r="691">
      <c r="E691" s="34"/>
    </row>
    <row r="692">
      <c r="E692" s="34"/>
    </row>
    <row r="693">
      <c r="E693" s="34"/>
    </row>
    <row r="694">
      <c r="E694" s="34"/>
    </row>
    <row r="695">
      <c r="E695" s="34"/>
    </row>
    <row r="696">
      <c r="E696" s="34"/>
    </row>
    <row r="697">
      <c r="E697" s="34"/>
    </row>
    <row r="698">
      <c r="E698" s="34"/>
    </row>
    <row r="699">
      <c r="E699" s="34"/>
    </row>
    <row r="700">
      <c r="E700" s="34"/>
    </row>
    <row r="701">
      <c r="E701" s="34"/>
    </row>
    <row r="702">
      <c r="E702" s="34"/>
    </row>
    <row r="703">
      <c r="E703" s="34"/>
    </row>
    <row r="704">
      <c r="E704" s="34"/>
    </row>
    <row r="705">
      <c r="E705" s="34"/>
    </row>
    <row r="706">
      <c r="E706" s="34"/>
    </row>
    <row r="707">
      <c r="E707" s="34"/>
    </row>
    <row r="708">
      <c r="E708" s="34"/>
    </row>
    <row r="709">
      <c r="E709" s="34"/>
    </row>
    <row r="710">
      <c r="E710" s="34"/>
    </row>
    <row r="711">
      <c r="E711" s="34"/>
    </row>
    <row r="712">
      <c r="E712" s="34"/>
    </row>
    <row r="713">
      <c r="E713" s="34"/>
    </row>
    <row r="714">
      <c r="E714" s="34"/>
    </row>
    <row r="715">
      <c r="E715" s="34"/>
    </row>
    <row r="716">
      <c r="E716" s="34"/>
    </row>
    <row r="717">
      <c r="E717" s="34"/>
    </row>
    <row r="718">
      <c r="E718" s="34"/>
    </row>
    <row r="719">
      <c r="E719" s="34"/>
    </row>
    <row r="720">
      <c r="E720" s="34"/>
    </row>
    <row r="721">
      <c r="E721" s="34"/>
    </row>
    <row r="722">
      <c r="E722" s="34"/>
    </row>
    <row r="723">
      <c r="E723" s="34"/>
    </row>
    <row r="724">
      <c r="E724" s="34"/>
    </row>
    <row r="725">
      <c r="E725" s="34"/>
    </row>
    <row r="726">
      <c r="E726" s="34"/>
    </row>
    <row r="727">
      <c r="E727" s="34"/>
    </row>
    <row r="728">
      <c r="E728" s="34"/>
    </row>
    <row r="729">
      <c r="E729" s="34"/>
    </row>
    <row r="730">
      <c r="E730" s="34"/>
    </row>
    <row r="731">
      <c r="E731" s="34"/>
    </row>
    <row r="732">
      <c r="E732" s="34"/>
    </row>
    <row r="733">
      <c r="E733" s="34"/>
    </row>
    <row r="734">
      <c r="E734" s="34"/>
    </row>
    <row r="735">
      <c r="E735" s="34"/>
    </row>
    <row r="736">
      <c r="E736" s="34"/>
    </row>
    <row r="737">
      <c r="E737" s="34"/>
    </row>
    <row r="738">
      <c r="E738" s="34"/>
    </row>
    <row r="739">
      <c r="E739" s="34"/>
    </row>
    <row r="740">
      <c r="E740" s="34"/>
    </row>
    <row r="741">
      <c r="E741" s="34"/>
    </row>
    <row r="742">
      <c r="E742" s="34"/>
    </row>
    <row r="743">
      <c r="E743" s="34"/>
    </row>
    <row r="744">
      <c r="E744" s="34"/>
    </row>
    <row r="745">
      <c r="E745" s="34"/>
    </row>
    <row r="746">
      <c r="E746" s="34"/>
    </row>
    <row r="747">
      <c r="E747" s="34"/>
    </row>
    <row r="748">
      <c r="E748" s="34"/>
    </row>
    <row r="749">
      <c r="E749" s="34"/>
    </row>
    <row r="750">
      <c r="E750" s="34"/>
    </row>
    <row r="751">
      <c r="E751" s="34"/>
    </row>
    <row r="752">
      <c r="E752" s="34"/>
    </row>
    <row r="753">
      <c r="E753" s="34"/>
    </row>
    <row r="754">
      <c r="E754" s="34"/>
    </row>
    <row r="755">
      <c r="E755" s="34"/>
    </row>
    <row r="756">
      <c r="E756" s="34"/>
    </row>
    <row r="757">
      <c r="E757" s="34"/>
    </row>
    <row r="758">
      <c r="E758" s="34"/>
    </row>
    <row r="759">
      <c r="E759" s="34"/>
    </row>
    <row r="760">
      <c r="E760" s="34"/>
    </row>
    <row r="761">
      <c r="E761" s="34"/>
    </row>
    <row r="762">
      <c r="E762" s="34"/>
    </row>
    <row r="763">
      <c r="E763" s="34"/>
    </row>
    <row r="764">
      <c r="E764" s="34"/>
    </row>
    <row r="765">
      <c r="E765" s="34"/>
    </row>
    <row r="766">
      <c r="E766" s="34"/>
    </row>
    <row r="767">
      <c r="E767" s="34"/>
    </row>
    <row r="768">
      <c r="E768" s="34"/>
    </row>
    <row r="769">
      <c r="E769" s="34"/>
    </row>
    <row r="770">
      <c r="E770" s="34"/>
    </row>
    <row r="771">
      <c r="E771" s="34"/>
    </row>
    <row r="772">
      <c r="E772" s="34"/>
    </row>
    <row r="773">
      <c r="E773" s="34"/>
    </row>
    <row r="774">
      <c r="E774" s="34"/>
    </row>
    <row r="775">
      <c r="E775" s="34"/>
    </row>
    <row r="776">
      <c r="E776" s="34"/>
    </row>
    <row r="777">
      <c r="E777" s="34"/>
    </row>
    <row r="778">
      <c r="E778" s="34"/>
    </row>
    <row r="779">
      <c r="E779" s="34"/>
    </row>
    <row r="780">
      <c r="E780" s="34"/>
    </row>
    <row r="781">
      <c r="E781" s="34"/>
    </row>
    <row r="782">
      <c r="E782" s="34"/>
    </row>
    <row r="783">
      <c r="E783" s="34"/>
    </row>
    <row r="784">
      <c r="E784" s="34"/>
    </row>
    <row r="785">
      <c r="E785" s="34"/>
    </row>
    <row r="786">
      <c r="E786" s="34"/>
    </row>
    <row r="787">
      <c r="E787" s="34"/>
    </row>
    <row r="788">
      <c r="E788" s="34"/>
    </row>
    <row r="789">
      <c r="E789" s="34"/>
    </row>
    <row r="790">
      <c r="E790" s="34"/>
    </row>
    <row r="791">
      <c r="E791" s="34"/>
    </row>
    <row r="792">
      <c r="E792" s="34"/>
    </row>
    <row r="793">
      <c r="E793" s="34"/>
    </row>
    <row r="794">
      <c r="E794" s="34"/>
    </row>
    <row r="795">
      <c r="E795" s="34"/>
    </row>
    <row r="796">
      <c r="E796" s="34"/>
    </row>
    <row r="797">
      <c r="E797" s="34"/>
    </row>
    <row r="798">
      <c r="E798" s="34"/>
    </row>
    <row r="799">
      <c r="E799" s="34"/>
    </row>
    <row r="800">
      <c r="E800" s="34"/>
    </row>
    <row r="801">
      <c r="E801" s="34"/>
    </row>
    <row r="802">
      <c r="E802" s="34"/>
    </row>
    <row r="803">
      <c r="E803" s="34"/>
    </row>
    <row r="804">
      <c r="E804" s="34"/>
    </row>
    <row r="805">
      <c r="E805" s="34"/>
    </row>
    <row r="806">
      <c r="E806" s="34"/>
    </row>
    <row r="807">
      <c r="E807" s="34"/>
    </row>
    <row r="808">
      <c r="E808" s="34"/>
    </row>
    <row r="809">
      <c r="E809" s="34"/>
    </row>
    <row r="810">
      <c r="E810" s="34"/>
    </row>
    <row r="811">
      <c r="E811" s="34"/>
    </row>
    <row r="812">
      <c r="E812" s="34"/>
    </row>
    <row r="813">
      <c r="E813" s="34"/>
    </row>
    <row r="814">
      <c r="E814" s="34"/>
    </row>
    <row r="815">
      <c r="E815" s="34"/>
    </row>
    <row r="816">
      <c r="E816" s="34"/>
    </row>
    <row r="817">
      <c r="E817" s="34"/>
    </row>
    <row r="818">
      <c r="E818" s="34"/>
    </row>
    <row r="819">
      <c r="E819" s="34"/>
    </row>
    <row r="820">
      <c r="E820" s="34"/>
    </row>
    <row r="821">
      <c r="E821" s="34"/>
    </row>
    <row r="822">
      <c r="E822" s="34"/>
    </row>
    <row r="823">
      <c r="E823" s="34"/>
    </row>
    <row r="824">
      <c r="E824" s="34"/>
    </row>
    <row r="825">
      <c r="E825" s="34"/>
    </row>
    <row r="826">
      <c r="E826" s="34"/>
    </row>
    <row r="827">
      <c r="E827" s="34"/>
    </row>
    <row r="828">
      <c r="E828" s="34"/>
    </row>
    <row r="829">
      <c r="E829" s="34"/>
    </row>
    <row r="830">
      <c r="E830" s="34"/>
    </row>
    <row r="831">
      <c r="E831" s="34"/>
    </row>
    <row r="832">
      <c r="E832" s="34"/>
    </row>
    <row r="833">
      <c r="E833" s="34"/>
    </row>
    <row r="834">
      <c r="E834" s="34"/>
    </row>
    <row r="835">
      <c r="E835" s="34"/>
    </row>
    <row r="836">
      <c r="E836" s="34"/>
    </row>
    <row r="837">
      <c r="E837" s="34"/>
    </row>
    <row r="838">
      <c r="E838" s="34"/>
    </row>
    <row r="839">
      <c r="E839" s="34"/>
    </row>
    <row r="840">
      <c r="E840" s="34"/>
    </row>
    <row r="841">
      <c r="E841" s="34"/>
    </row>
    <row r="842">
      <c r="E842" s="34"/>
    </row>
    <row r="843">
      <c r="E843" s="34"/>
    </row>
    <row r="844">
      <c r="E844" s="34"/>
    </row>
    <row r="845">
      <c r="E845" s="34"/>
    </row>
    <row r="846">
      <c r="E846" s="34"/>
    </row>
    <row r="847">
      <c r="E847" s="34"/>
    </row>
    <row r="848">
      <c r="E848" s="34"/>
    </row>
    <row r="849">
      <c r="E849" s="34"/>
    </row>
    <row r="850">
      <c r="E850" s="34"/>
    </row>
    <row r="851">
      <c r="E851" s="34"/>
    </row>
    <row r="852">
      <c r="E852" s="34"/>
    </row>
    <row r="853">
      <c r="E853" s="34"/>
    </row>
    <row r="854">
      <c r="E854" s="34"/>
    </row>
    <row r="855">
      <c r="E855" s="34"/>
    </row>
    <row r="856">
      <c r="E856" s="34"/>
    </row>
    <row r="857">
      <c r="E857" s="34"/>
    </row>
    <row r="858">
      <c r="E858" s="34"/>
    </row>
    <row r="859">
      <c r="E859" s="34"/>
    </row>
    <row r="860">
      <c r="E860" s="34"/>
    </row>
    <row r="861">
      <c r="E861" s="34"/>
    </row>
    <row r="862">
      <c r="E862" s="34"/>
    </row>
    <row r="863">
      <c r="E863" s="34"/>
    </row>
    <row r="864">
      <c r="E864" s="34"/>
    </row>
    <row r="865">
      <c r="E865" s="34"/>
    </row>
    <row r="866">
      <c r="E866" s="34"/>
    </row>
    <row r="867">
      <c r="E867" s="34"/>
    </row>
    <row r="868">
      <c r="E868" s="34"/>
    </row>
    <row r="869">
      <c r="E869" s="34"/>
    </row>
    <row r="870">
      <c r="E870" s="34"/>
    </row>
    <row r="871">
      <c r="E871" s="34"/>
    </row>
    <row r="872">
      <c r="E872" s="34"/>
    </row>
    <row r="873">
      <c r="E873" s="34"/>
    </row>
    <row r="874">
      <c r="E874" s="34"/>
    </row>
    <row r="875">
      <c r="E875" s="34"/>
    </row>
    <row r="876">
      <c r="E876" s="34"/>
    </row>
    <row r="877">
      <c r="E877" s="34"/>
    </row>
    <row r="878">
      <c r="E878" s="34"/>
    </row>
    <row r="879">
      <c r="E879" s="34"/>
    </row>
    <row r="880">
      <c r="E880" s="34"/>
    </row>
    <row r="881">
      <c r="E881" s="34"/>
    </row>
    <row r="882">
      <c r="E882" s="34"/>
    </row>
    <row r="883">
      <c r="E883" s="34"/>
    </row>
    <row r="884">
      <c r="E884" s="34"/>
    </row>
    <row r="885">
      <c r="E885" s="34"/>
    </row>
    <row r="886">
      <c r="E886" s="34"/>
    </row>
    <row r="887">
      <c r="E887" s="34"/>
    </row>
    <row r="888">
      <c r="E888" s="34"/>
    </row>
    <row r="889">
      <c r="E889" s="34"/>
    </row>
    <row r="890">
      <c r="E890" s="34"/>
    </row>
    <row r="891">
      <c r="E891" s="34"/>
    </row>
    <row r="892">
      <c r="E892" s="34"/>
    </row>
    <row r="893">
      <c r="E893" s="34"/>
    </row>
    <row r="894">
      <c r="E894" s="34"/>
    </row>
    <row r="895">
      <c r="E895" s="34"/>
    </row>
    <row r="896">
      <c r="E896" s="34"/>
    </row>
    <row r="897">
      <c r="E897" s="34"/>
    </row>
    <row r="898">
      <c r="E898" s="34"/>
    </row>
    <row r="899">
      <c r="E899" s="34"/>
    </row>
    <row r="900">
      <c r="E900" s="34"/>
    </row>
    <row r="901">
      <c r="E901" s="34"/>
    </row>
    <row r="902">
      <c r="E902" s="34"/>
    </row>
    <row r="903">
      <c r="E903" s="34"/>
    </row>
    <row r="904">
      <c r="E904" s="34"/>
    </row>
    <row r="905">
      <c r="E905" s="34"/>
    </row>
    <row r="906">
      <c r="E906" s="34"/>
    </row>
    <row r="907">
      <c r="E907" s="34"/>
    </row>
    <row r="908">
      <c r="E908" s="34"/>
    </row>
    <row r="909">
      <c r="E909" s="34"/>
    </row>
    <row r="910">
      <c r="E910" s="34"/>
    </row>
    <row r="911">
      <c r="E911" s="34"/>
    </row>
    <row r="912">
      <c r="E912" s="34"/>
    </row>
    <row r="913">
      <c r="E913" s="34"/>
    </row>
    <row r="914">
      <c r="E914" s="34"/>
    </row>
    <row r="915">
      <c r="E915" s="34"/>
    </row>
    <row r="916">
      <c r="E916" s="34"/>
    </row>
    <row r="917">
      <c r="E917" s="34"/>
    </row>
    <row r="918">
      <c r="E918" s="34"/>
    </row>
    <row r="919">
      <c r="E919" s="34"/>
    </row>
    <row r="920">
      <c r="E920" s="34"/>
    </row>
    <row r="921">
      <c r="E921" s="34"/>
    </row>
    <row r="922">
      <c r="E922" s="34"/>
    </row>
    <row r="923">
      <c r="E923" s="34"/>
    </row>
    <row r="924">
      <c r="E924" s="34"/>
    </row>
    <row r="925">
      <c r="E925" s="34"/>
    </row>
    <row r="926">
      <c r="E926" s="34"/>
    </row>
    <row r="927">
      <c r="E927" s="34"/>
    </row>
    <row r="928">
      <c r="E928" s="34"/>
    </row>
    <row r="929">
      <c r="E929" s="34"/>
    </row>
    <row r="930">
      <c r="E930" s="34"/>
    </row>
    <row r="931">
      <c r="E931" s="34"/>
    </row>
    <row r="932">
      <c r="E932" s="34"/>
    </row>
    <row r="933">
      <c r="E933" s="34"/>
    </row>
    <row r="934">
      <c r="E934" s="34"/>
    </row>
    <row r="935">
      <c r="E935" s="34"/>
    </row>
    <row r="936">
      <c r="E936" s="34"/>
    </row>
    <row r="937">
      <c r="E937" s="34"/>
    </row>
    <row r="938">
      <c r="E938" s="34"/>
    </row>
    <row r="939">
      <c r="E939" s="34"/>
    </row>
    <row r="940">
      <c r="E940" s="34"/>
    </row>
    <row r="941">
      <c r="E941" s="34"/>
    </row>
    <row r="942">
      <c r="E942" s="34"/>
    </row>
    <row r="943">
      <c r="E943" s="34"/>
    </row>
    <row r="944">
      <c r="E944" s="34"/>
    </row>
    <row r="945">
      <c r="E945" s="34"/>
    </row>
    <row r="946">
      <c r="E946" s="34"/>
    </row>
    <row r="947">
      <c r="E947" s="34"/>
    </row>
    <row r="948">
      <c r="E948" s="34"/>
    </row>
    <row r="949">
      <c r="E949" s="34"/>
    </row>
    <row r="950">
      <c r="E950" s="34"/>
    </row>
    <row r="951">
      <c r="E951" s="34"/>
    </row>
    <row r="952">
      <c r="E952" s="34"/>
    </row>
    <row r="953">
      <c r="E953" s="34"/>
    </row>
    <row r="954">
      <c r="E954" s="34"/>
    </row>
    <row r="955">
      <c r="E955" s="34"/>
    </row>
    <row r="956">
      <c r="E956" s="34"/>
    </row>
    <row r="957">
      <c r="E957" s="34"/>
    </row>
    <row r="958">
      <c r="E958" s="34"/>
    </row>
    <row r="959">
      <c r="E959" s="34"/>
    </row>
    <row r="960">
      <c r="E960" s="34"/>
    </row>
    <row r="961">
      <c r="E961" s="34"/>
    </row>
    <row r="962">
      <c r="E962" s="34"/>
    </row>
    <row r="963">
      <c r="E963" s="34"/>
    </row>
    <row r="964">
      <c r="E964" s="34"/>
    </row>
    <row r="965">
      <c r="E965" s="34"/>
    </row>
    <row r="966">
      <c r="E966" s="34"/>
    </row>
    <row r="967">
      <c r="E967" s="34"/>
    </row>
    <row r="968">
      <c r="E968" s="34"/>
    </row>
    <row r="969">
      <c r="E969" s="34"/>
    </row>
    <row r="970">
      <c r="E970" s="34"/>
    </row>
    <row r="971">
      <c r="E971" s="34"/>
    </row>
    <row r="972">
      <c r="E972" s="34"/>
    </row>
    <row r="973">
      <c r="E973" s="34"/>
    </row>
    <row r="974">
      <c r="E974" s="34"/>
    </row>
    <row r="975">
      <c r="E975" s="34"/>
    </row>
    <row r="976">
      <c r="E976" s="34"/>
    </row>
    <row r="977">
      <c r="E977" s="34"/>
    </row>
    <row r="978">
      <c r="E978" s="34"/>
    </row>
    <row r="979">
      <c r="E979" s="34"/>
    </row>
    <row r="980">
      <c r="E980" s="34"/>
    </row>
    <row r="981">
      <c r="E981" s="34"/>
    </row>
    <row r="982">
      <c r="E982" s="34"/>
    </row>
    <row r="983">
      <c r="E983" s="34"/>
    </row>
    <row r="984">
      <c r="E984" s="34"/>
    </row>
    <row r="985">
      <c r="E985" s="34"/>
    </row>
    <row r="986">
      <c r="E986" s="34"/>
    </row>
    <row r="987">
      <c r="E987" s="34"/>
    </row>
    <row r="988">
      <c r="E988" s="34"/>
    </row>
    <row r="989">
      <c r="E989" s="34"/>
    </row>
    <row r="990">
      <c r="E990" s="34"/>
    </row>
    <row r="991">
      <c r="E991" s="34"/>
    </row>
    <row r="992">
      <c r="E992" s="34"/>
    </row>
    <row r="993">
      <c r="E993" s="34"/>
    </row>
    <row r="994">
      <c r="E994" s="34"/>
    </row>
    <row r="995">
      <c r="E995" s="34"/>
    </row>
    <row r="996">
      <c r="E996" s="34"/>
    </row>
    <row r="997">
      <c r="E997" s="34"/>
    </row>
    <row r="998">
      <c r="E998" s="34"/>
    </row>
    <row r="999">
      <c r="E999" s="34"/>
    </row>
    <row r="1000">
      <c r="E1000" s="34"/>
    </row>
  </sheetData>
  <mergeCells count="6">
    <mergeCell ref="A9:D9"/>
    <mergeCell ref="I1:J1"/>
    <mergeCell ref="I10:J10"/>
    <mergeCell ref="Y1:Z1"/>
    <mergeCell ref="V1:W1"/>
    <mergeCell ref="S1:T1"/>
  </mergeCells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25.14"/>
    <col customWidth="1" min="2" max="2" width="21.43"/>
    <col customWidth="1" min="3" max="3" width="13.86"/>
    <col customWidth="1" min="4" max="4" width="16.71"/>
    <col customWidth="1" min="5" max="5" width="22.14"/>
    <col customWidth="1" min="6" max="6" width="12.71"/>
    <col customWidth="1" min="7" max="9" width="8.71"/>
    <col customWidth="1" min="10" max="10" width="10.86"/>
    <col customWidth="1" min="11" max="11" width="8.71"/>
    <col customWidth="1" min="12" max="12" width="14.14"/>
    <col customWidth="1" min="13" max="14" width="8.71"/>
    <col customWidth="1" min="15" max="15" width="11.71"/>
    <col customWidth="1" min="16" max="19" width="8.71"/>
    <col customWidth="1" min="20" max="20" width="16.29"/>
    <col customWidth="1" min="21" max="21" width="22.0"/>
    <col customWidth="1" min="22" max="22" width="18.14"/>
    <col customWidth="1" min="23" max="23" width="14.43"/>
    <col customWidth="1" min="24" max="24" width="20.71"/>
    <col customWidth="1" min="25" max="25" width="15.43"/>
    <col customWidth="1" min="26" max="26" width="8.71"/>
  </cols>
  <sheetData>
    <row r="1">
      <c r="A1" s="55" t="s">
        <v>99</v>
      </c>
      <c r="B1" s="56" t="s">
        <v>63</v>
      </c>
      <c r="C1" s="56" t="s">
        <v>64</v>
      </c>
      <c r="I1" s="15"/>
    </row>
    <row r="2" ht="20.25" customHeight="1">
      <c r="A2" s="57" t="s">
        <v>100</v>
      </c>
      <c r="B2" s="58">
        <f>IF('Design Specifications'!C4="y","error you stupid",IF('Design Specifications'!C5="y",50,100))</f>
        <v>100</v>
      </c>
      <c r="C2" s="59" t="s">
        <v>101</v>
      </c>
      <c r="D2" s="33"/>
      <c r="E2" s="33"/>
      <c r="F2" s="60"/>
      <c r="G2" s="33"/>
      <c r="H2" s="24"/>
      <c r="I2" s="23" t="s">
        <v>102</v>
      </c>
      <c r="K2" s="24"/>
      <c r="L2" s="25" t="s">
        <v>103</v>
      </c>
      <c r="O2" s="61" t="s">
        <v>104</v>
      </c>
      <c r="P2" s="62"/>
      <c r="Q2" s="63"/>
    </row>
    <row r="3" ht="20.25" customHeight="1">
      <c r="A3" s="57" t="s">
        <v>105</v>
      </c>
      <c r="B3" s="64">
        <f>IF('Design Specifications'!C7="y",'Design Specifications'!C8,0)</f>
        <v>20</v>
      </c>
      <c r="C3" s="59" t="s">
        <v>101</v>
      </c>
      <c r="D3" s="33"/>
      <c r="E3" s="65" t="s">
        <v>106</v>
      </c>
      <c r="F3" s="66">
        <v>150.0</v>
      </c>
      <c r="G3" s="33"/>
      <c r="H3" s="24"/>
      <c r="I3" s="67" t="s">
        <v>107</v>
      </c>
      <c r="J3" s="30">
        <v>275.0</v>
      </c>
      <c r="K3" s="24"/>
      <c r="L3" s="67" t="s">
        <v>108</v>
      </c>
      <c r="M3" s="30">
        <f>IF(B2=100,350,0)+F3*B3</f>
        <v>3350</v>
      </c>
      <c r="O3" s="68">
        <v>2014.0</v>
      </c>
      <c r="P3" s="69">
        <f>SUM(C$17:C$381)</f>
        <v>334308</v>
      </c>
      <c r="Q3" s="68" t="s">
        <v>18</v>
      </c>
      <c r="R3" s="53"/>
    </row>
    <row r="4" ht="20.25" customHeight="1">
      <c r="A4" s="70" t="s">
        <v>109</v>
      </c>
      <c r="B4" s="71">
        <f>IF('Design Specifications'!C5="y",50,IF('Design Specifications'!C6="y",100,0))+IF('Design Specifications'!C7="y",'Design Specifications'!C8,0)</f>
        <v>120</v>
      </c>
      <c r="C4" s="72" t="s">
        <v>101</v>
      </c>
      <c r="D4" s="73"/>
      <c r="H4" s="24"/>
      <c r="I4" s="24"/>
      <c r="J4" s="24"/>
      <c r="K4" s="24"/>
      <c r="L4" s="67" t="s">
        <v>110</v>
      </c>
      <c r="M4" s="74">
        <f>vlookup(B6, I7:J10, 2)</f>
        <v>2000</v>
      </c>
      <c r="O4" s="68">
        <v>2015.0</v>
      </c>
      <c r="P4" s="69">
        <f>SUM(V$17:V$381)</f>
        <v>353544</v>
      </c>
      <c r="Q4" s="68" t="s">
        <v>18</v>
      </c>
      <c r="R4" s="53"/>
    </row>
    <row r="5" ht="18.75" customHeight="1">
      <c r="A5" s="75" t="s">
        <v>111</v>
      </c>
      <c r="B5" s="76">
        <f>'Design Specifications'!C13*1000</f>
        <v>27000</v>
      </c>
      <c r="C5" s="77" t="s">
        <v>18</v>
      </c>
      <c r="D5" s="73"/>
      <c r="E5" s="69" t="s">
        <v>112</v>
      </c>
      <c r="F5" s="78">
        <v>170.0</v>
      </c>
      <c r="G5" s="69" t="s">
        <v>78</v>
      </c>
      <c r="H5" s="24"/>
      <c r="I5" s="23" t="s">
        <v>113</v>
      </c>
      <c r="K5" s="24"/>
      <c r="L5" s="67" t="s">
        <v>102</v>
      </c>
      <c r="M5" s="74">
        <f>'Design Specifications'!C13*J3</f>
        <v>7425</v>
      </c>
      <c r="O5" s="15" t="s">
        <v>114</v>
      </c>
      <c r="P5">
        <f>AVERAGE(P3:P4)</f>
        <v>343926</v>
      </c>
      <c r="Q5" s="15" t="s">
        <v>18</v>
      </c>
    </row>
    <row r="6" ht="18.75" customHeight="1">
      <c r="A6" s="75" t="s">
        <v>115</v>
      </c>
      <c r="B6" s="79">
        <f>'Design Specifications'!C12</f>
        <v>10000</v>
      </c>
      <c r="C6" s="77" t="s">
        <v>18</v>
      </c>
      <c r="D6" s="73"/>
      <c r="E6" s="69" t="s">
        <v>116</v>
      </c>
      <c r="F6" s="78">
        <v>368.0</v>
      </c>
      <c r="G6" s="69" t="s">
        <v>78</v>
      </c>
      <c r="H6" s="24"/>
      <c r="I6" s="30" t="s">
        <v>117</v>
      </c>
      <c r="J6" s="30" t="s">
        <v>118</v>
      </c>
      <c r="K6" s="24"/>
      <c r="L6" s="67" t="s">
        <v>119</v>
      </c>
      <c r="M6" s="74">
        <f>if('Design Specifications'!C16="y",(27*('Design Specifications'!C13)^1.6) + (140*('Design Specifications'!C17)^1.7),0)</f>
        <v>0</v>
      </c>
    </row>
    <row r="7">
      <c r="A7" s="75" t="s">
        <v>120</v>
      </c>
      <c r="B7" s="80">
        <v>136.0</v>
      </c>
      <c r="C7" s="77" t="s">
        <v>78</v>
      </c>
      <c r="D7" s="73"/>
      <c r="E7" s="69" t="s">
        <v>121</v>
      </c>
      <c r="F7" s="78">
        <v>581.0</v>
      </c>
      <c r="G7" s="69" t="s">
        <v>78</v>
      </c>
      <c r="H7" s="24"/>
      <c r="I7" s="74">
        <v>400.0</v>
      </c>
      <c r="J7" s="74">
        <v>200.0</v>
      </c>
      <c r="K7" s="24"/>
      <c r="L7" s="81" t="s">
        <v>88</v>
      </c>
      <c r="M7" s="82">
        <f>SUM(M3:M6)</f>
        <v>12775</v>
      </c>
    </row>
    <row r="8">
      <c r="A8" s="75" t="s">
        <v>122</v>
      </c>
      <c r="B8" s="80">
        <v>601.0</v>
      </c>
      <c r="C8" s="77" t="s">
        <v>78</v>
      </c>
      <c r="D8" s="73"/>
      <c r="E8" s="69"/>
      <c r="F8" s="69"/>
      <c r="G8" s="69"/>
      <c r="H8" s="24"/>
      <c r="I8" s="74">
        <v>1500.0</v>
      </c>
      <c r="J8" s="74">
        <v>500.0</v>
      </c>
      <c r="K8" s="24"/>
      <c r="L8" s="24"/>
      <c r="M8" s="24"/>
    </row>
    <row r="9" ht="16.5" customHeight="1">
      <c r="A9" s="75" t="s">
        <v>77</v>
      </c>
      <c r="B9" s="76">
        <f>'Design Specifications'!B1</f>
        <v>600</v>
      </c>
      <c r="C9" s="77" t="s">
        <v>78</v>
      </c>
      <c r="D9" s="73"/>
      <c r="E9" s="69"/>
      <c r="F9" s="69"/>
      <c r="G9" s="69"/>
      <c r="H9" s="24"/>
      <c r="I9" s="74">
        <v>2500.0</v>
      </c>
      <c r="J9" s="74">
        <v>900.0</v>
      </c>
      <c r="K9" s="24"/>
      <c r="L9" s="24"/>
      <c r="M9" s="24"/>
    </row>
    <row r="10">
      <c r="A10" s="75" t="s">
        <v>123</v>
      </c>
      <c r="B10" s="80">
        <v>0.0</v>
      </c>
      <c r="C10" s="77" t="s">
        <v>18</v>
      </c>
      <c r="D10" s="73"/>
      <c r="E10" s="69"/>
      <c r="F10" s="69"/>
      <c r="G10" s="69"/>
      <c r="H10" s="24"/>
      <c r="I10" s="74">
        <v>10000.0</v>
      </c>
      <c r="J10" s="74">
        <v>2000.0</v>
      </c>
      <c r="K10" s="24"/>
      <c r="L10" s="24"/>
      <c r="M10" s="24"/>
    </row>
    <row r="11">
      <c r="A11" s="75" t="s">
        <v>124</v>
      </c>
      <c r="B11" s="83">
        <v>1.0</v>
      </c>
      <c r="C11" s="84" t="s">
        <v>125</v>
      </c>
      <c r="D11" s="73"/>
      <c r="H11" s="24"/>
      <c r="I11" s="24"/>
      <c r="J11" s="24"/>
      <c r="K11" s="24"/>
      <c r="L11" s="24"/>
      <c r="M11" s="24"/>
    </row>
    <row r="12">
      <c r="A12" s="75" t="s">
        <v>126</v>
      </c>
      <c r="B12" s="85">
        <f>COUNTIF(E17:E381,"&lt;&gt;0")</f>
        <v>333</v>
      </c>
      <c r="C12" s="86" t="s">
        <v>96</v>
      </c>
      <c r="D12" s="69"/>
      <c r="H12" s="24"/>
      <c r="I12" s="24"/>
      <c r="J12" s="24"/>
      <c r="K12" s="24"/>
      <c r="L12" s="24"/>
      <c r="M12" s="24"/>
    </row>
    <row r="13">
      <c r="A13" s="87" t="s">
        <v>127</v>
      </c>
      <c r="B13" s="85">
        <f>COUNTIF(X17:X381,"&lt;&gt;0")</f>
        <v>312</v>
      </c>
      <c r="C13" s="86" t="s">
        <v>96</v>
      </c>
      <c r="D13" s="69"/>
    </row>
    <row r="14">
      <c r="A14" s="88"/>
      <c r="B14" s="89"/>
      <c r="C14" s="89"/>
      <c r="D14" s="89"/>
      <c r="E14" s="89"/>
      <c r="F14" s="89"/>
      <c r="G14" s="69"/>
    </row>
    <row r="15" ht="19.5" customHeight="1">
      <c r="A15" s="90" t="s">
        <v>128</v>
      </c>
      <c r="B15" s="91"/>
      <c r="C15" s="91"/>
      <c r="D15" s="91"/>
      <c r="E15" s="91"/>
      <c r="F15" s="4"/>
      <c r="G15" s="73"/>
      <c r="T15" s="90" t="s">
        <v>129</v>
      </c>
      <c r="U15" s="91"/>
      <c r="V15" s="91"/>
      <c r="W15" s="91"/>
      <c r="X15" s="91"/>
      <c r="Y15" s="4"/>
    </row>
    <row r="16" ht="22.5" customHeight="1">
      <c r="A16" s="92" t="s">
        <v>130</v>
      </c>
      <c r="B16" s="92" t="s">
        <v>131</v>
      </c>
      <c r="C16" s="93" t="s">
        <v>132</v>
      </c>
      <c r="D16" s="93" t="s">
        <v>133</v>
      </c>
      <c r="E16" s="93" t="s">
        <v>134</v>
      </c>
      <c r="F16" s="93" t="s">
        <v>65</v>
      </c>
      <c r="G16" s="69"/>
      <c r="T16" s="94" t="s">
        <v>130</v>
      </c>
      <c r="U16" s="94" t="s">
        <v>131</v>
      </c>
      <c r="V16" s="93" t="s">
        <v>132</v>
      </c>
      <c r="W16" s="93" t="s">
        <v>133</v>
      </c>
      <c r="X16" s="93" t="s">
        <v>134</v>
      </c>
      <c r="Y16" s="93" t="s">
        <v>65</v>
      </c>
    </row>
    <row r="17">
      <c r="A17" s="78" t="s">
        <v>135</v>
      </c>
      <c r="B17" s="78">
        <v>18.8</v>
      </c>
      <c r="C17" s="78">
        <f t="shared" ref="C17:C381" si="1">IF(B17*$B$4&lt;$B$6,B17*$B$4,$B$6)</f>
        <v>2256</v>
      </c>
      <c r="D17" s="78">
        <v>0.0</v>
      </c>
      <c r="E17" s="78">
        <f>IF(AND(($B$10+(C17-D17)*$B$11)&lt;$B$5,($B$10+(C17-D17)*$B$11)&gt;0),$B$10+(C17-D17)*$B$11,IF(($B$10+(C17-D17)*$B$11)&lt;=0,0,$B$5))</f>
        <v>2256</v>
      </c>
      <c r="F17" s="95">
        <f t="shared" ref="F17:F47" si="2">(1/2)*(1-COS((((D17*1000)-$B$7)/($B$8-$B$7))*PI()))</f>
        <v>0.1966252585</v>
      </c>
      <c r="G17" s="69"/>
      <c r="T17" s="78" t="s">
        <v>136</v>
      </c>
      <c r="U17" s="78">
        <v>7.8</v>
      </c>
      <c r="V17" s="78">
        <f t="shared" ref="V17:V381" si="3">IF(U17*$B$4&lt;$B$6,U17*$B$4,$B$6)</f>
        <v>936</v>
      </c>
      <c r="W17" s="78">
        <v>0.0</v>
      </c>
      <c r="X17" s="78">
        <f>IF(AND(($B$10+(V17-W17)*$B$11)&lt;$B$5,($B$10+(V17-W17)*$B$11)&gt;0),$B$10+(V17-W17)*$B$11,IF(($B$10+(V17-W17)*$B$11)&lt;=0,0,$B$5))</f>
        <v>936</v>
      </c>
      <c r="Y17" s="95">
        <f t="shared" ref="Y17:Y47" si="4">(1/2)*(1-COS((((W17*1000)-$B$7)/($B$8-$B$7))*PI()))</f>
        <v>0.1966252585</v>
      </c>
    </row>
    <row r="18">
      <c r="A18" s="78" t="s">
        <v>137</v>
      </c>
      <c r="B18" s="78">
        <v>19.8</v>
      </c>
      <c r="C18" s="78">
        <f t="shared" si="1"/>
        <v>2376</v>
      </c>
      <c r="D18" s="78">
        <v>0.0</v>
      </c>
      <c r="E18" s="78">
        <f t="shared" ref="E18:E381" si="5">IF(AND((E17+(C18-D18)*$B$11)&lt;$B$5,(E17+(C18-D18)*$B$11)&gt;0),E17+(C18-D18)*$B$11,IF((E17+(C18-D18)*$B$11)&lt;=0,0,$B$5))</f>
        <v>4632</v>
      </c>
      <c r="F18" s="95">
        <f t="shared" si="2"/>
        <v>0.1966252585</v>
      </c>
      <c r="G18" s="69"/>
      <c r="T18" s="78" t="s">
        <v>138</v>
      </c>
      <c r="U18" s="78">
        <v>1.0</v>
      </c>
      <c r="V18" s="78">
        <f t="shared" si="3"/>
        <v>120</v>
      </c>
      <c r="W18" s="78">
        <v>0.0</v>
      </c>
      <c r="X18" s="78">
        <f t="shared" ref="X18:X381" si="6">IF(AND((X17+(V18-W18)*$B$11)&lt;$B$5,(X17+(V18-W18)*$B$11)&gt;0),X17+(V18-W18)*$B$11,IF((X17+(V18-W18)*$B$11)&lt;=0,0,$B$5))</f>
        <v>1056</v>
      </c>
      <c r="Y18" s="95">
        <f t="shared" si="4"/>
        <v>0.1966252585</v>
      </c>
    </row>
    <row r="19">
      <c r="A19" s="78" t="s">
        <v>139</v>
      </c>
      <c r="B19" s="78">
        <v>0.0</v>
      </c>
      <c r="C19" s="78">
        <f t="shared" si="1"/>
        <v>0</v>
      </c>
      <c r="D19" s="78">
        <v>0.0</v>
      </c>
      <c r="E19" s="78">
        <f t="shared" si="5"/>
        <v>4632</v>
      </c>
      <c r="F19" s="95">
        <f t="shared" si="2"/>
        <v>0.1966252585</v>
      </c>
      <c r="G19" s="69"/>
      <c r="T19" s="78" t="s">
        <v>140</v>
      </c>
      <c r="U19" s="78">
        <v>13.4</v>
      </c>
      <c r="V19" s="78">
        <f t="shared" si="3"/>
        <v>1608</v>
      </c>
      <c r="W19" s="78">
        <v>0.0</v>
      </c>
      <c r="X19" s="78">
        <f t="shared" si="6"/>
        <v>2664</v>
      </c>
      <c r="Y19" s="95">
        <f t="shared" si="4"/>
        <v>0.1966252585</v>
      </c>
    </row>
    <row r="20">
      <c r="A20" s="78" t="s">
        <v>141</v>
      </c>
      <c r="B20" s="78">
        <v>0.0</v>
      </c>
      <c r="C20" s="78">
        <f t="shared" si="1"/>
        <v>0</v>
      </c>
      <c r="D20" s="78">
        <v>0.0</v>
      </c>
      <c r="E20" s="78">
        <f t="shared" si="5"/>
        <v>4632</v>
      </c>
      <c r="F20" s="95">
        <f t="shared" si="2"/>
        <v>0.1966252585</v>
      </c>
      <c r="G20" s="69"/>
      <c r="T20" s="78" t="s">
        <v>142</v>
      </c>
      <c r="U20" s="78">
        <v>64.2</v>
      </c>
      <c r="V20" s="78">
        <f t="shared" si="3"/>
        <v>7704</v>
      </c>
      <c r="W20" s="78">
        <v>0.0</v>
      </c>
      <c r="X20" s="78">
        <f t="shared" si="6"/>
        <v>10368</v>
      </c>
      <c r="Y20" s="95">
        <f t="shared" si="4"/>
        <v>0.1966252585</v>
      </c>
    </row>
    <row r="21">
      <c r="A21" s="78" t="s">
        <v>143</v>
      </c>
      <c r="B21" s="78">
        <v>0.0</v>
      </c>
      <c r="C21" s="78">
        <f t="shared" si="1"/>
        <v>0</v>
      </c>
      <c r="D21" s="78">
        <v>0.0</v>
      </c>
      <c r="E21" s="78">
        <f t="shared" si="5"/>
        <v>4632</v>
      </c>
      <c r="F21" s="95">
        <f t="shared" si="2"/>
        <v>0.1966252585</v>
      </c>
      <c r="G21" s="69"/>
      <c r="T21" s="78" t="s">
        <v>144</v>
      </c>
      <c r="U21" s="78">
        <v>32.2</v>
      </c>
      <c r="V21" s="78">
        <f t="shared" si="3"/>
        <v>3864</v>
      </c>
      <c r="W21" s="78">
        <v>0.0</v>
      </c>
      <c r="X21" s="78">
        <f t="shared" si="6"/>
        <v>14232</v>
      </c>
      <c r="Y21" s="95">
        <f t="shared" si="4"/>
        <v>0.1966252585</v>
      </c>
    </row>
    <row r="22">
      <c r="A22" s="78" t="s">
        <v>145</v>
      </c>
      <c r="B22" s="78">
        <v>5.0</v>
      </c>
      <c r="C22" s="78">
        <f t="shared" si="1"/>
        <v>600</v>
      </c>
      <c r="D22" s="78">
        <v>0.0</v>
      </c>
      <c r="E22" s="78">
        <f t="shared" si="5"/>
        <v>5232</v>
      </c>
      <c r="F22" s="95">
        <f t="shared" si="2"/>
        <v>0.1966252585</v>
      </c>
      <c r="G22" s="69"/>
      <c r="T22" s="78" t="s">
        <v>146</v>
      </c>
      <c r="U22" s="78">
        <v>2.8</v>
      </c>
      <c r="V22" s="78">
        <f t="shared" si="3"/>
        <v>336</v>
      </c>
      <c r="W22" s="78">
        <v>0.0</v>
      </c>
      <c r="X22" s="78">
        <f t="shared" si="6"/>
        <v>14568</v>
      </c>
      <c r="Y22" s="95">
        <f t="shared" si="4"/>
        <v>0.1966252585</v>
      </c>
    </row>
    <row r="23">
      <c r="A23" s="78" t="s">
        <v>147</v>
      </c>
      <c r="B23" s="78">
        <v>20.4</v>
      </c>
      <c r="C23" s="78">
        <f t="shared" si="1"/>
        <v>2448</v>
      </c>
      <c r="D23" s="78">
        <v>0.0</v>
      </c>
      <c r="E23" s="78">
        <f t="shared" si="5"/>
        <v>7680</v>
      </c>
      <c r="F23" s="95">
        <f t="shared" si="2"/>
        <v>0.1966252585</v>
      </c>
      <c r="G23" s="69"/>
      <c r="T23" s="78" t="s">
        <v>148</v>
      </c>
      <c r="U23" s="78">
        <v>0.0</v>
      </c>
      <c r="V23" s="78">
        <f t="shared" si="3"/>
        <v>0</v>
      </c>
      <c r="W23" s="78">
        <v>0.0</v>
      </c>
      <c r="X23" s="78">
        <f t="shared" si="6"/>
        <v>14568</v>
      </c>
      <c r="Y23" s="95">
        <f t="shared" si="4"/>
        <v>0.1966252585</v>
      </c>
    </row>
    <row r="24">
      <c r="A24" s="78" t="s">
        <v>149</v>
      </c>
      <c r="B24" s="78">
        <v>24.8</v>
      </c>
      <c r="C24" s="78">
        <f t="shared" si="1"/>
        <v>2976</v>
      </c>
      <c r="D24" s="78">
        <v>0.0</v>
      </c>
      <c r="E24" s="78">
        <f t="shared" si="5"/>
        <v>10656</v>
      </c>
      <c r="F24" s="95">
        <f t="shared" si="2"/>
        <v>0.1966252585</v>
      </c>
      <c r="G24" s="69"/>
      <c r="T24" s="78" t="s">
        <v>150</v>
      </c>
      <c r="U24" s="78">
        <v>0.0</v>
      </c>
      <c r="V24" s="78">
        <f t="shared" si="3"/>
        <v>0</v>
      </c>
      <c r="W24" s="78">
        <v>0.0</v>
      </c>
      <c r="X24" s="78">
        <f t="shared" si="6"/>
        <v>14568</v>
      </c>
      <c r="Y24" s="95">
        <f t="shared" si="4"/>
        <v>0.1966252585</v>
      </c>
    </row>
    <row r="25">
      <c r="A25" s="78" t="s">
        <v>151</v>
      </c>
      <c r="B25" s="78">
        <v>34.0</v>
      </c>
      <c r="C25" s="78">
        <f t="shared" si="1"/>
        <v>4080</v>
      </c>
      <c r="D25" s="78">
        <v>0.0</v>
      </c>
      <c r="E25" s="78">
        <f t="shared" si="5"/>
        <v>14736</v>
      </c>
      <c r="F25" s="95">
        <f t="shared" si="2"/>
        <v>0.1966252585</v>
      </c>
      <c r="G25" s="69"/>
      <c r="T25" s="78" t="s">
        <v>152</v>
      </c>
      <c r="U25" s="78">
        <v>0.8</v>
      </c>
      <c r="V25" s="78">
        <f t="shared" si="3"/>
        <v>96</v>
      </c>
      <c r="W25" s="78">
        <v>0.0</v>
      </c>
      <c r="X25" s="78">
        <f t="shared" si="6"/>
        <v>14664</v>
      </c>
      <c r="Y25" s="95">
        <f t="shared" si="4"/>
        <v>0.1966252585</v>
      </c>
    </row>
    <row r="26">
      <c r="A26" s="78" t="s">
        <v>153</v>
      </c>
      <c r="B26" s="78">
        <v>44.6</v>
      </c>
      <c r="C26" s="78">
        <f t="shared" si="1"/>
        <v>5352</v>
      </c>
      <c r="D26" s="78">
        <v>0.0</v>
      </c>
      <c r="E26" s="78">
        <f t="shared" si="5"/>
        <v>20088</v>
      </c>
      <c r="F26" s="95">
        <f t="shared" si="2"/>
        <v>0.1966252585</v>
      </c>
      <c r="G26" s="69"/>
      <c r="T26" s="78" t="s">
        <v>154</v>
      </c>
      <c r="U26" s="78">
        <v>0.0</v>
      </c>
      <c r="V26" s="78">
        <f t="shared" si="3"/>
        <v>0</v>
      </c>
      <c r="W26" s="78">
        <v>0.0</v>
      </c>
      <c r="X26" s="78">
        <f t="shared" si="6"/>
        <v>14664</v>
      </c>
      <c r="Y26" s="95">
        <f t="shared" si="4"/>
        <v>0.1966252585</v>
      </c>
    </row>
    <row r="27">
      <c r="A27" s="78" t="s">
        <v>155</v>
      </c>
      <c r="B27" s="78">
        <v>14.4</v>
      </c>
      <c r="C27" s="78">
        <f t="shared" si="1"/>
        <v>1728</v>
      </c>
      <c r="D27" s="78">
        <v>0.0</v>
      </c>
      <c r="E27" s="78">
        <f t="shared" si="5"/>
        <v>21816</v>
      </c>
      <c r="F27" s="95">
        <f t="shared" si="2"/>
        <v>0.1966252585</v>
      </c>
      <c r="G27" s="69"/>
      <c r="T27" s="78" t="s">
        <v>156</v>
      </c>
      <c r="U27" s="78">
        <v>0.0</v>
      </c>
      <c r="V27" s="78">
        <f t="shared" si="3"/>
        <v>0</v>
      </c>
      <c r="W27" s="78">
        <v>0.0</v>
      </c>
      <c r="X27" s="78">
        <f t="shared" si="6"/>
        <v>14664</v>
      </c>
      <c r="Y27" s="95">
        <f t="shared" si="4"/>
        <v>0.1966252585</v>
      </c>
    </row>
    <row r="28">
      <c r="A28" s="78" t="s">
        <v>157</v>
      </c>
      <c r="B28" s="78">
        <v>50.2</v>
      </c>
      <c r="C28" s="78">
        <f t="shared" si="1"/>
        <v>6024</v>
      </c>
      <c r="D28" s="78">
        <v>0.0</v>
      </c>
      <c r="E28" s="78">
        <f t="shared" si="5"/>
        <v>27000</v>
      </c>
      <c r="F28" s="95">
        <f t="shared" si="2"/>
        <v>0.1966252585</v>
      </c>
      <c r="G28" s="69"/>
      <c r="T28" s="78" t="s">
        <v>158</v>
      </c>
      <c r="U28" s="78">
        <v>0.0</v>
      </c>
      <c r="V28" s="78">
        <f t="shared" si="3"/>
        <v>0</v>
      </c>
      <c r="W28" s="78">
        <v>0.0</v>
      </c>
      <c r="X28" s="78">
        <f t="shared" si="6"/>
        <v>14664</v>
      </c>
      <c r="Y28" s="95">
        <f t="shared" si="4"/>
        <v>0.1966252585</v>
      </c>
    </row>
    <row r="29">
      <c r="A29" s="78" t="s">
        <v>159</v>
      </c>
      <c r="B29" s="78">
        <v>9.6</v>
      </c>
      <c r="C29" s="78">
        <f t="shared" si="1"/>
        <v>1152</v>
      </c>
      <c r="D29" s="78">
        <v>0.0</v>
      </c>
      <c r="E29" s="78">
        <f t="shared" si="5"/>
        <v>27000</v>
      </c>
      <c r="F29" s="95">
        <f t="shared" si="2"/>
        <v>0.1966252585</v>
      </c>
      <c r="G29" s="69"/>
      <c r="T29" s="78" t="s">
        <v>160</v>
      </c>
      <c r="U29" s="78">
        <v>0.0</v>
      </c>
      <c r="V29" s="78">
        <f t="shared" si="3"/>
        <v>0</v>
      </c>
      <c r="W29" s="78">
        <v>0.0</v>
      </c>
      <c r="X29" s="78">
        <f t="shared" si="6"/>
        <v>14664</v>
      </c>
      <c r="Y29" s="95">
        <f t="shared" si="4"/>
        <v>0.1966252585</v>
      </c>
    </row>
    <row r="30">
      <c r="A30" s="78" t="s">
        <v>161</v>
      </c>
      <c r="B30" s="78">
        <v>5.8</v>
      </c>
      <c r="C30" s="78">
        <f t="shared" si="1"/>
        <v>696</v>
      </c>
      <c r="D30" s="78">
        <v>0.0</v>
      </c>
      <c r="E30" s="78">
        <f t="shared" si="5"/>
        <v>27000</v>
      </c>
      <c r="F30" s="95">
        <f t="shared" si="2"/>
        <v>0.1966252585</v>
      </c>
      <c r="G30" s="69"/>
      <c r="T30" s="78" t="s">
        <v>162</v>
      </c>
      <c r="U30" s="78">
        <v>0.4</v>
      </c>
      <c r="V30" s="78">
        <f t="shared" si="3"/>
        <v>48</v>
      </c>
      <c r="W30" s="78">
        <v>0.0</v>
      </c>
      <c r="X30" s="78">
        <f t="shared" si="6"/>
        <v>14712</v>
      </c>
      <c r="Y30" s="95">
        <f t="shared" si="4"/>
        <v>0.1966252585</v>
      </c>
    </row>
    <row r="31">
      <c r="A31" s="78" t="s">
        <v>163</v>
      </c>
      <c r="B31" s="78">
        <v>1.6</v>
      </c>
      <c r="C31" s="78">
        <f t="shared" si="1"/>
        <v>192</v>
      </c>
      <c r="D31" s="78">
        <v>0.0</v>
      </c>
      <c r="E31" s="78">
        <f t="shared" si="5"/>
        <v>27000</v>
      </c>
      <c r="F31" s="95">
        <f t="shared" si="2"/>
        <v>0.1966252585</v>
      </c>
      <c r="G31" s="69"/>
      <c r="T31" s="78" t="s">
        <v>164</v>
      </c>
      <c r="U31" s="78">
        <v>35.4</v>
      </c>
      <c r="V31" s="78">
        <f t="shared" si="3"/>
        <v>4248</v>
      </c>
      <c r="W31" s="78">
        <v>0.0</v>
      </c>
      <c r="X31" s="78">
        <f t="shared" si="6"/>
        <v>18960</v>
      </c>
      <c r="Y31" s="95">
        <f t="shared" si="4"/>
        <v>0.1966252585</v>
      </c>
    </row>
    <row r="32">
      <c r="A32" s="78" t="s">
        <v>165</v>
      </c>
      <c r="B32" s="78">
        <v>0.8</v>
      </c>
      <c r="C32" s="78">
        <f t="shared" si="1"/>
        <v>96</v>
      </c>
      <c r="D32" s="78">
        <v>0.0</v>
      </c>
      <c r="E32" s="78">
        <f t="shared" si="5"/>
        <v>27000</v>
      </c>
      <c r="F32" s="95">
        <f t="shared" si="2"/>
        <v>0.1966252585</v>
      </c>
      <c r="G32" s="69"/>
      <c r="T32" s="78" t="s">
        <v>166</v>
      </c>
      <c r="U32" s="78">
        <v>6.0</v>
      </c>
      <c r="V32" s="78">
        <f t="shared" si="3"/>
        <v>720</v>
      </c>
      <c r="W32" s="78">
        <v>0.0</v>
      </c>
      <c r="X32" s="78">
        <f t="shared" si="6"/>
        <v>19680</v>
      </c>
      <c r="Y32" s="95">
        <f t="shared" si="4"/>
        <v>0.1966252585</v>
      </c>
    </row>
    <row r="33">
      <c r="A33" s="78" t="s">
        <v>167</v>
      </c>
      <c r="B33" s="78">
        <v>0.0</v>
      </c>
      <c r="C33" s="78">
        <f t="shared" si="1"/>
        <v>0</v>
      </c>
      <c r="D33" s="78">
        <v>0.0</v>
      </c>
      <c r="E33" s="78">
        <f t="shared" si="5"/>
        <v>27000</v>
      </c>
      <c r="F33" s="95">
        <f t="shared" si="2"/>
        <v>0.1966252585</v>
      </c>
      <c r="G33" s="69"/>
      <c r="T33" s="78" t="s">
        <v>168</v>
      </c>
      <c r="U33" s="78">
        <v>20.4</v>
      </c>
      <c r="V33" s="78">
        <f t="shared" si="3"/>
        <v>2448</v>
      </c>
      <c r="W33" s="78">
        <v>0.0</v>
      </c>
      <c r="X33" s="78">
        <f t="shared" si="6"/>
        <v>22128</v>
      </c>
      <c r="Y33" s="95">
        <f t="shared" si="4"/>
        <v>0.1966252585</v>
      </c>
    </row>
    <row r="34">
      <c r="A34" s="78" t="s">
        <v>169</v>
      </c>
      <c r="B34" s="78">
        <v>2.6</v>
      </c>
      <c r="C34" s="78">
        <f t="shared" si="1"/>
        <v>312</v>
      </c>
      <c r="D34" s="78">
        <v>0.0</v>
      </c>
      <c r="E34" s="78">
        <f t="shared" si="5"/>
        <v>27000</v>
      </c>
      <c r="F34" s="95">
        <f t="shared" si="2"/>
        <v>0.1966252585</v>
      </c>
      <c r="G34" s="69"/>
      <c r="T34" s="78" t="s">
        <v>170</v>
      </c>
      <c r="U34" s="78">
        <v>16.6</v>
      </c>
      <c r="V34" s="78">
        <f t="shared" si="3"/>
        <v>1992</v>
      </c>
      <c r="W34" s="78">
        <v>0.0</v>
      </c>
      <c r="X34" s="78">
        <f t="shared" si="6"/>
        <v>24120</v>
      </c>
      <c r="Y34" s="95">
        <f t="shared" si="4"/>
        <v>0.1966252585</v>
      </c>
    </row>
    <row r="35">
      <c r="A35" s="78" t="s">
        <v>171</v>
      </c>
      <c r="B35" s="78">
        <v>1.0</v>
      </c>
      <c r="C35" s="78">
        <f t="shared" si="1"/>
        <v>120</v>
      </c>
      <c r="D35" s="78">
        <v>0.0</v>
      </c>
      <c r="E35" s="78">
        <f t="shared" si="5"/>
        <v>27000</v>
      </c>
      <c r="F35" s="95">
        <f t="shared" si="2"/>
        <v>0.1966252585</v>
      </c>
      <c r="G35" s="69"/>
      <c r="T35" s="78" t="s">
        <v>172</v>
      </c>
      <c r="U35" s="78">
        <v>2.6</v>
      </c>
      <c r="V35" s="78">
        <f t="shared" si="3"/>
        <v>312</v>
      </c>
      <c r="W35" s="78">
        <v>0.0</v>
      </c>
      <c r="X35" s="78">
        <f t="shared" si="6"/>
        <v>24432</v>
      </c>
      <c r="Y35" s="95">
        <f t="shared" si="4"/>
        <v>0.1966252585</v>
      </c>
    </row>
    <row r="36">
      <c r="A36" s="78" t="s">
        <v>173</v>
      </c>
      <c r="B36" s="78">
        <v>0.6</v>
      </c>
      <c r="C36" s="78">
        <f t="shared" si="1"/>
        <v>72</v>
      </c>
      <c r="D36" s="78">
        <v>0.0</v>
      </c>
      <c r="E36" s="78">
        <f t="shared" si="5"/>
        <v>27000</v>
      </c>
      <c r="F36" s="95">
        <f t="shared" si="2"/>
        <v>0.1966252585</v>
      </c>
      <c r="G36" s="69"/>
      <c r="T36" s="78" t="s">
        <v>174</v>
      </c>
      <c r="U36" s="78">
        <v>0.4</v>
      </c>
      <c r="V36" s="78">
        <f t="shared" si="3"/>
        <v>48</v>
      </c>
      <c r="W36" s="78">
        <v>0.0</v>
      </c>
      <c r="X36" s="78">
        <f t="shared" si="6"/>
        <v>24480</v>
      </c>
      <c r="Y36" s="95">
        <f t="shared" si="4"/>
        <v>0.1966252585</v>
      </c>
    </row>
    <row r="37">
      <c r="A37" s="78" t="s">
        <v>175</v>
      </c>
      <c r="B37" s="78">
        <v>0.8</v>
      </c>
      <c r="C37" s="78">
        <f t="shared" si="1"/>
        <v>96</v>
      </c>
      <c r="D37" s="78">
        <v>0.0</v>
      </c>
      <c r="E37" s="78">
        <f t="shared" si="5"/>
        <v>27000</v>
      </c>
      <c r="F37" s="95">
        <f t="shared" si="2"/>
        <v>0.1966252585</v>
      </c>
      <c r="G37" s="69"/>
      <c r="T37" s="78" t="s">
        <v>176</v>
      </c>
      <c r="U37" s="78">
        <v>18.4</v>
      </c>
      <c r="V37" s="78">
        <f t="shared" si="3"/>
        <v>2208</v>
      </c>
      <c r="W37" s="78">
        <v>0.0</v>
      </c>
      <c r="X37" s="78">
        <f t="shared" si="6"/>
        <v>26688</v>
      </c>
      <c r="Y37" s="95">
        <f t="shared" si="4"/>
        <v>0.1966252585</v>
      </c>
    </row>
    <row r="38">
      <c r="A38" s="78" t="s">
        <v>177</v>
      </c>
      <c r="B38" s="78">
        <v>0.6</v>
      </c>
      <c r="C38" s="78">
        <f t="shared" si="1"/>
        <v>72</v>
      </c>
      <c r="D38" s="78">
        <v>0.0</v>
      </c>
      <c r="E38" s="78">
        <f t="shared" si="5"/>
        <v>27000</v>
      </c>
      <c r="F38" s="95">
        <f t="shared" si="2"/>
        <v>0.1966252585</v>
      </c>
      <c r="G38" s="69"/>
      <c r="T38" s="78" t="s">
        <v>178</v>
      </c>
      <c r="U38" s="78">
        <v>14.0</v>
      </c>
      <c r="V38" s="78">
        <f t="shared" si="3"/>
        <v>1680</v>
      </c>
      <c r="W38" s="78">
        <v>0.0</v>
      </c>
      <c r="X38" s="78">
        <f t="shared" si="6"/>
        <v>27000</v>
      </c>
      <c r="Y38" s="95">
        <f t="shared" si="4"/>
        <v>0.1966252585</v>
      </c>
    </row>
    <row r="39">
      <c r="A39" s="78" t="s">
        <v>179</v>
      </c>
      <c r="B39" s="78">
        <v>0.0</v>
      </c>
      <c r="C39" s="78">
        <f t="shared" si="1"/>
        <v>0</v>
      </c>
      <c r="D39" s="78">
        <v>0.0</v>
      </c>
      <c r="E39" s="78">
        <f t="shared" si="5"/>
        <v>27000</v>
      </c>
      <c r="F39" s="95">
        <f t="shared" si="2"/>
        <v>0.1966252585</v>
      </c>
      <c r="G39" s="69"/>
      <c r="T39" s="78" t="s">
        <v>180</v>
      </c>
      <c r="U39" s="78">
        <v>90.8</v>
      </c>
      <c r="V39" s="78">
        <f t="shared" si="3"/>
        <v>10000</v>
      </c>
      <c r="W39" s="78">
        <v>0.0</v>
      </c>
      <c r="X39" s="78">
        <f t="shared" si="6"/>
        <v>27000</v>
      </c>
      <c r="Y39" s="95">
        <f t="shared" si="4"/>
        <v>0.1966252585</v>
      </c>
    </row>
    <row r="40">
      <c r="A40" s="78" t="s">
        <v>181</v>
      </c>
      <c r="B40" s="78">
        <v>0.0</v>
      </c>
      <c r="C40" s="78">
        <f t="shared" si="1"/>
        <v>0</v>
      </c>
      <c r="D40" s="78">
        <v>0.0</v>
      </c>
      <c r="E40" s="78">
        <f t="shared" si="5"/>
        <v>27000</v>
      </c>
      <c r="F40" s="95">
        <f t="shared" si="2"/>
        <v>0.1966252585</v>
      </c>
      <c r="G40" s="69"/>
      <c r="T40" s="78" t="s">
        <v>182</v>
      </c>
      <c r="U40" s="78">
        <v>40.0</v>
      </c>
      <c r="V40" s="78">
        <f t="shared" si="3"/>
        <v>4800</v>
      </c>
      <c r="W40" s="78">
        <v>0.0</v>
      </c>
      <c r="X40" s="78">
        <f t="shared" si="6"/>
        <v>27000</v>
      </c>
      <c r="Y40" s="95">
        <f t="shared" si="4"/>
        <v>0.1966252585</v>
      </c>
    </row>
    <row r="41">
      <c r="A41" s="78" t="s">
        <v>183</v>
      </c>
      <c r="B41" s="78">
        <v>0.0</v>
      </c>
      <c r="C41" s="78">
        <f t="shared" si="1"/>
        <v>0</v>
      </c>
      <c r="D41" s="78">
        <v>0.0</v>
      </c>
      <c r="E41" s="78">
        <f t="shared" si="5"/>
        <v>27000</v>
      </c>
      <c r="F41" s="95">
        <f t="shared" si="2"/>
        <v>0.1966252585</v>
      </c>
      <c r="G41" s="69"/>
      <c r="T41" s="78" t="s">
        <v>184</v>
      </c>
      <c r="U41" s="78">
        <v>1.8</v>
      </c>
      <c r="V41" s="78">
        <f t="shared" si="3"/>
        <v>216</v>
      </c>
      <c r="W41" s="78">
        <v>0.0</v>
      </c>
      <c r="X41" s="78">
        <f t="shared" si="6"/>
        <v>27000</v>
      </c>
      <c r="Y41" s="95">
        <f t="shared" si="4"/>
        <v>0.1966252585</v>
      </c>
    </row>
    <row r="42">
      <c r="A42" s="78" t="s">
        <v>185</v>
      </c>
      <c r="B42" s="78">
        <v>0.0</v>
      </c>
      <c r="C42" s="78">
        <f t="shared" si="1"/>
        <v>0</v>
      </c>
      <c r="D42" s="78">
        <v>0.0</v>
      </c>
      <c r="E42" s="78">
        <f t="shared" si="5"/>
        <v>27000</v>
      </c>
      <c r="F42" s="95">
        <f t="shared" si="2"/>
        <v>0.1966252585</v>
      </c>
      <c r="G42" s="69"/>
      <c r="T42" s="78" t="s">
        <v>186</v>
      </c>
      <c r="U42" s="78">
        <v>2.8</v>
      </c>
      <c r="V42" s="78">
        <f t="shared" si="3"/>
        <v>336</v>
      </c>
      <c r="W42" s="78">
        <v>0.0</v>
      </c>
      <c r="X42" s="78">
        <f t="shared" si="6"/>
        <v>27000</v>
      </c>
      <c r="Y42" s="95">
        <f t="shared" si="4"/>
        <v>0.1966252585</v>
      </c>
    </row>
    <row r="43">
      <c r="A43" s="78" t="s">
        <v>187</v>
      </c>
      <c r="B43" s="78">
        <v>17.6</v>
      </c>
      <c r="C43" s="78">
        <f t="shared" si="1"/>
        <v>2112</v>
      </c>
      <c r="D43" s="78">
        <v>0.0</v>
      </c>
      <c r="E43" s="78">
        <f t="shared" si="5"/>
        <v>27000</v>
      </c>
      <c r="F43" s="95">
        <f t="shared" si="2"/>
        <v>0.1966252585</v>
      </c>
      <c r="G43" s="69"/>
      <c r="T43" s="78" t="s">
        <v>188</v>
      </c>
      <c r="U43" s="78">
        <v>2.8</v>
      </c>
      <c r="V43" s="78">
        <f t="shared" si="3"/>
        <v>336</v>
      </c>
      <c r="W43" s="78">
        <v>0.0</v>
      </c>
      <c r="X43" s="78">
        <f t="shared" si="6"/>
        <v>27000</v>
      </c>
      <c r="Y43" s="95">
        <f t="shared" si="4"/>
        <v>0.1966252585</v>
      </c>
    </row>
    <row r="44">
      <c r="A44" s="78" t="s">
        <v>189</v>
      </c>
      <c r="B44" s="78">
        <v>0.0</v>
      </c>
      <c r="C44" s="78">
        <f t="shared" si="1"/>
        <v>0</v>
      </c>
      <c r="D44" s="78">
        <v>0.0</v>
      </c>
      <c r="E44" s="78">
        <f t="shared" si="5"/>
        <v>27000</v>
      </c>
      <c r="F44" s="95">
        <f t="shared" si="2"/>
        <v>0.1966252585</v>
      </c>
      <c r="G44" s="69"/>
      <c r="T44" s="78" t="s">
        <v>190</v>
      </c>
      <c r="U44" s="78">
        <v>0.0</v>
      </c>
      <c r="V44" s="78">
        <f t="shared" si="3"/>
        <v>0</v>
      </c>
      <c r="W44" s="78">
        <v>0.0</v>
      </c>
      <c r="X44" s="78">
        <f t="shared" si="6"/>
        <v>27000</v>
      </c>
      <c r="Y44" s="95">
        <f t="shared" si="4"/>
        <v>0.1966252585</v>
      </c>
    </row>
    <row r="45">
      <c r="A45" s="78" t="s">
        <v>191</v>
      </c>
      <c r="B45" s="78">
        <v>0.0</v>
      </c>
      <c r="C45" s="78">
        <f t="shared" si="1"/>
        <v>0</v>
      </c>
      <c r="D45" s="78">
        <v>0.0</v>
      </c>
      <c r="E45" s="78">
        <f t="shared" si="5"/>
        <v>27000</v>
      </c>
      <c r="F45" s="95">
        <f t="shared" si="2"/>
        <v>0.1966252585</v>
      </c>
      <c r="G45" s="69"/>
      <c r="T45" s="78" t="s">
        <v>192</v>
      </c>
      <c r="U45" s="78">
        <v>0.0</v>
      </c>
      <c r="V45" s="78">
        <f t="shared" si="3"/>
        <v>0</v>
      </c>
      <c r="W45" s="78">
        <v>0.0</v>
      </c>
      <c r="X45" s="78">
        <f t="shared" si="6"/>
        <v>27000</v>
      </c>
      <c r="Y45" s="95">
        <f t="shared" si="4"/>
        <v>0.1966252585</v>
      </c>
    </row>
    <row r="46">
      <c r="A46" s="78" t="s">
        <v>193</v>
      </c>
      <c r="B46" s="78">
        <v>0.0</v>
      </c>
      <c r="C46" s="78">
        <f t="shared" si="1"/>
        <v>0</v>
      </c>
      <c r="D46" s="78">
        <v>0.0</v>
      </c>
      <c r="E46" s="78">
        <f t="shared" si="5"/>
        <v>27000</v>
      </c>
      <c r="F46" s="95">
        <f t="shared" si="2"/>
        <v>0.1966252585</v>
      </c>
      <c r="G46" s="69"/>
      <c r="T46" s="78" t="s">
        <v>194</v>
      </c>
      <c r="U46" s="78">
        <v>0.6</v>
      </c>
      <c r="V46" s="78">
        <f t="shared" si="3"/>
        <v>72</v>
      </c>
      <c r="W46" s="78">
        <v>0.0</v>
      </c>
      <c r="X46" s="78">
        <f t="shared" si="6"/>
        <v>27000</v>
      </c>
      <c r="Y46" s="95">
        <f t="shared" si="4"/>
        <v>0.1966252585</v>
      </c>
    </row>
    <row r="47">
      <c r="A47" s="78" t="s">
        <v>195</v>
      </c>
      <c r="B47" s="78">
        <v>2.6</v>
      </c>
      <c r="C47" s="78">
        <f t="shared" si="1"/>
        <v>312</v>
      </c>
      <c r="D47" s="78">
        <v>0.0</v>
      </c>
      <c r="E47" s="78">
        <f t="shared" si="5"/>
        <v>27000</v>
      </c>
      <c r="F47" s="95">
        <f t="shared" si="2"/>
        <v>0.1966252585</v>
      </c>
      <c r="G47" s="69"/>
      <c r="T47" s="78" t="s">
        <v>196</v>
      </c>
      <c r="U47" s="78">
        <v>5.8</v>
      </c>
      <c r="V47" s="78">
        <f t="shared" si="3"/>
        <v>696</v>
      </c>
      <c r="W47" s="78">
        <v>0.0</v>
      </c>
      <c r="X47" s="78">
        <f t="shared" si="6"/>
        <v>27000</v>
      </c>
      <c r="Y47" s="95">
        <f t="shared" si="4"/>
        <v>0.1966252585</v>
      </c>
    </row>
    <row r="48">
      <c r="A48" s="78" t="s">
        <v>197</v>
      </c>
      <c r="B48" s="78">
        <v>2.6</v>
      </c>
      <c r="C48" s="78">
        <f t="shared" si="1"/>
        <v>312</v>
      </c>
      <c r="D48" s="78">
        <f t="shared" ref="D48:D381" si="7">$B$9</f>
        <v>600</v>
      </c>
      <c r="E48" s="78">
        <f t="shared" si="5"/>
        <v>26712</v>
      </c>
      <c r="F48" s="95">
        <f t="shared" ref="F48:F381" si="8">(1/2)*(1-COS((((D48)-$B$7)/($B$8-$B$7))*PI()))</f>
        <v>0.9999885888</v>
      </c>
      <c r="G48" s="69"/>
      <c r="T48" s="78" t="s">
        <v>198</v>
      </c>
      <c r="U48" s="78">
        <v>8.0</v>
      </c>
      <c r="V48" s="78">
        <f t="shared" si="3"/>
        <v>960</v>
      </c>
      <c r="W48" s="78">
        <f t="shared" ref="W48:W381" si="9">$B$9</f>
        <v>600</v>
      </c>
      <c r="X48" s="78">
        <f t="shared" si="6"/>
        <v>27000</v>
      </c>
      <c r="Y48" s="95">
        <f t="shared" ref="Y48:Y381" si="10">(1/2)*(1-COS((((W48)-$B$7)/($B$8-$B$7))*PI()))</f>
        <v>0.9999885888</v>
      </c>
    </row>
    <row r="49">
      <c r="A49" s="78" t="s">
        <v>199</v>
      </c>
      <c r="B49" s="78">
        <v>0.0</v>
      </c>
      <c r="C49" s="78">
        <f t="shared" si="1"/>
        <v>0</v>
      </c>
      <c r="D49" s="78">
        <f t="shared" si="7"/>
        <v>600</v>
      </c>
      <c r="E49" s="78">
        <f t="shared" si="5"/>
        <v>26112</v>
      </c>
      <c r="F49" s="95">
        <f t="shared" si="8"/>
        <v>0.9999885888</v>
      </c>
      <c r="G49" s="69"/>
      <c r="T49" s="78" t="s">
        <v>200</v>
      </c>
      <c r="U49" s="78">
        <v>27.0</v>
      </c>
      <c r="V49" s="78">
        <f t="shared" si="3"/>
        <v>3240</v>
      </c>
      <c r="W49" s="78">
        <f t="shared" si="9"/>
        <v>600</v>
      </c>
      <c r="X49" s="78">
        <f t="shared" si="6"/>
        <v>27000</v>
      </c>
      <c r="Y49" s="95">
        <f t="shared" si="10"/>
        <v>0.9999885888</v>
      </c>
    </row>
    <row r="50">
      <c r="A50" s="78" t="s">
        <v>201</v>
      </c>
      <c r="B50" s="78">
        <v>0.0</v>
      </c>
      <c r="C50" s="78">
        <f t="shared" si="1"/>
        <v>0</v>
      </c>
      <c r="D50" s="78">
        <f t="shared" si="7"/>
        <v>600</v>
      </c>
      <c r="E50" s="78">
        <f t="shared" si="5"/>
        <v>25512</v>
      </c>
      <c r="F50" s="95">
        <f t="shared" si="8"/>
        <v>0.9999885888</v>
      </c>
      <c r="G50" s="69"/>
      <c r="T50" s="78" t="s">
        <v>202</v>
      </c>
      <c r="U50" s="78">
        <v>0.6</v>
      </c>
      <c r="V50" s="78">
        <f t="shared" si="3"/>
        <v>72</v>
      </c>
      <c r="W50" s="78">
        <f t="shared" si="9"/>
        <v>600</v>
      </c>
      <c r="X50" s="78">
        <f t="shared" si="6"/>
        <v>26472</v>
      </c>
      <c r="Y50" s="95">
        <f t="shared" si="10"/>
        <v>0.9999885888</v>
      </c>
    </row>
    <row r="51">
      <c r="A51" s="78" t="s">
        <v>203</v>
      </c>
      <c r="B51" s="78">
        <v>0.0</v>
      </c>
      <c r="C51" s="78">
        <f t="shared" si="1"/>
        <v>0</v>
      </c>
      <c r="D51" s="78">
        <f t="shared" si="7"/>
        <v>600</v>
      </c>
      <c r="E51" s="78">
        <f t="shared" si="5"/>
        <v>24912</v>
      </c>
      <c r="F51" s="95">
        <f t="shared" si="8"/>
        <v>0.9999885888</v>
      </c>
      <c r="G51" s="69"/>
      <c r="T51" s="78" t="s">
        <v>204</v>
      </c>
      <c r="U51" s="78">
        <v>36.0</v>
      </c>
      <c r="V51" s="78">
        <f t="shared" si="3"/>
        <v>4320</v>
      </c>
      <c r="W51" s="78">
        <f t="shared" si="9"/>
        <v>600</v>
      </c>
      <c r="X51" s="78">
        <f t="shared" si="6"/>
        <v>27000</v>
      </c>
      <c r="Y51" s="95">
        <f t="shared" si="10"/>
        <v>0.9999885888</v>
      </c>
    </row>
    <row r="52">
      <c r="A52" s="78" t="s">
        <v>205</v>
      </c>
      <c r="B52" s="78">
        <v>0.0</v>
      </c>
      <c r="C52" s="78">
        <f t="shared" si="1"/>
        <v>0</v>
      </c>
      <c r="D52" s="78">
        <f t="shared" si="7"/>
        <v>600</v>
      </c>
      <c r="E52" s="78">
        <f t="shared" si="5"/>
        <v>24312</v>
      </c>
      <c r="F52" s="95">
        <f t="shared" si="8"/>
        <v>0.9999885888</v>
      </c>
      <c r="G52" s="69"/>
      <c r="T52" s="78" t="s">
        <v>206</v>
      </c>
      <c r="U52" s="78">
        <v>27.2</v>
      </c>
      <c r="V52" s="78">
        <f t="shared" si="3"/>
        <v>3264</v>
      </c>
      <c r="W52" s="78">
        <f t="shared" si="9"/>
        <v>600</v>
      </c>
      <c r="X52" s="78">
        <f t="shared" si="6"/>
        <v>27000</v>
      </c>
      <c r="Y52" s="95">
        <f t="shared" si="10"/>
        <v>0.9999885888</v>
      </c>
    </row>
    <row r="53">
      <c r="A53" s="78" t="s">
        <v>207</v>
      </c>
      <c r="B53" s="78">
        <v>0.0</v>
      </c>
      <c r="C53" s="78">
        <f t="shared" si="1"/>
        <v>0</v>
      </c>
      <c r="D53" s="78">
        <f t="shared" si="7"/>
        <v>600</v>
      </c>
      <c r="E53" s="78">
        <f t="shared" si="5"/>
        <v>23712</v>
      </c>
      <c r="F53" s="95">
        <f t="shared" si="8"/>
        <v>0.9999885888</v>
      </c>
      <c r="G53" s="69"/>
      <c r="T53" s="78" t="s">
        <v>208</v>
      </c>
      <c r="U53" s="78">
        <v>28.2</v>
      </c>
      <c r="V53" s="78">
        <f t="shared" si="3"/>
        <v>3384</v>
      </c>
      <c r="W53" s="78">
        <f t="shared" si="9"/>
        <v>600</v>
      </c>
      <c r="X53" s="78">
        <f t="shared" si="6"/>
        <v>27000</v>
      </c>
      <c r="Y53" s="95">
        <f t="shared" si="10"/>
        <v>0.9999885888</v>
      </c>
    </row>
    <row r="54">
      <c r="A54" s="78" t="s">
        <v>209</v>
      </c>
      <c r="B54" s="78">
        <v>0.0</v>
      </c>
      <c r="C54" s="78">
        <f t="shared" si="1"/>
        <v>0</v>
      </c>
      <c r="D54" s="78">
        <f t="shared" si="7"/>
        <v>600</v>
      </c>
      <c r="E54" s="78">
        <f t="shared" si="5"/>
        <v>23112</v>
      </c>
      <c r="F54" s="95">
        <f t="shared" si="8"/>
        <v>0.9999885888</v>
      </c>
      <c r="G54" s="69"/>
      <c r="T54" s="78" t="s">
        <v>210</v>
      </c>
      <c r="U54" s="78">
        <v>39.2</v>
      </c>
      <c r="V54" s="78">
        <f t="shared" si="3"/>
        <v>4704</v>
      </c>
      <c r="W54" s="78">
        <f t="shared" si="9"/>
        <v>600</v>
      </c>
      <c r="X54" s="78">
        <f t="shared" si="6"/>
        <v>27000</v>
      </c>
      <c r="Y54" s="95">
        <f t="shared" si="10"/>
        <v>0.9999885888</v>
      </c>
    </row>
    <row r="55">
      <c r="A55" s="78" t="s">
        <v>211</v>
      </c>
      <c r="B55" s="78">
        <v>0.0</v>
      </c>
      <c r="C55" s="78">
        <f t="shared" si="1"/>
        <v>0</v>
      </c>
      <c r="D55" s="78">
        <f t="shared" si="7"/>
        <v>600</v>
      </c>
      <c r="E55" s="78">
        <f t="shared" si="5"/>
        <v>22512</v>
      </c>
      <c r="F55" s="95">
        <f t="shared" si="8"/>
        <v>0.9999885888</v>
      </c>
      <c r="G55" s="69"/>
      <c r="T55" s="78" t="s">
        <v>212</v>
      </c>
      <c r="U55" s="78">
        <v>6.6</v>
      </c>
      <c r="V55" s="78">
        <f t="shared" si="3"/>
        <v>792</v>
      </c>
      <c r="W55" s="78">
        <f t="shared" si="9"/>
        <v>600</v>
      </c>
      <c r="X55" s="78">
        <f t="shared" si="6"/>
        <v>27000</v>
      </c>
      <c r="Y55" s="95">
        <f t="shared" si="10"/>
        <v>0.9999885888</v>
      </c>
    </row>
    <row r="56">
      <c r="A56" s="78" t="s">
        <v>213</v>
      </c>
      <c r="B56" s="78">
        <v>12.2</v>
      </c>
      <c r="C56" s="78">
        <f t="shared" si="1"/>
        <v>1464</v>
      </c>
      <c r="D56" s="78">
        <f t="shared" si="7"/>
        <v>600</v>
      </c>
      <c r="E56" s="78">
        <f t="shared" si="5"/>
        <v>23376</v>
      </c>
      <c r="F56" s="95">
        <f t="shared" si="8"/>
        <v>0.9999885888</v>
      </c>
      <c r="G56" s="69"/>
      <c r="T56" s="78" t="s">
        <v>214</v>
      </c>
      <c r="U56" s="78">
        <v>3.2</v>
      </c>
      <c r="V56" s="78">
        <f t="shared" si="3"/>
        <v>384</v>
      </c>
      <c r="W56" s="78">
        <f t="shared" si="9"/>
        <v>600</v>
      </c>
      <c r="X56" s="78">
        <f t="shared" si="6"/>
        <v>26784</v>
      </c>
      <c r="Y56" s="95">
        <f t="shared" si="10"/>
        <v>0.9999885888</v>
      </c>
    </row>
    <row r="57">
      <c r="A57" s="78" t="s">
        <v>215</v>
      </c>
      <c r="B57" s="78">
        <v>13.4</v>
      </c>
      <c r="C57" s="78">
        <f t="shared" si="1"/>
        <v>1608</v>
      </c>
      <c r="D57" s="78">
        <f t="shared" si="7"/>
        <v>600</v>
      </c>
      <c r="E57" s="78">
        <f t="shared" si="5"/>
        <v>24384</v>
      </c>
      <c r="F57" s="95">
        <f t="shared" si="8"/>
        <v>0.9999885888</v>
      </c>
      <c r="G57" s="69"/>
      <c r="T57" s="78" t="s">
        <v>216</v>
      </c>
      <c r="U57" s="78">
        <v>0.2</v>
      </c>
      <c r="V57" s="78">
        <f t="shared" si="3"/>
        <v>24</v>
      </c>
      <c r="W57" s="78">
        <f t="shared" si="9"/>
        <v>600</v>
      </c>
      <c r="X57" s="78">
        <f t="shared" si="6"/>
        <v>26208</v>
      </c>
      <c r="Y57" s="95">
        <f t="shared" si="10"/>
        <v>0.9999885888</v>
      </c>
    </row>
    <row r="58">
      <c r="A58" s="78" t="s">
        <v>217</v>
      </c>
      <c r="B58" s="78">
        <v>46.6</v>
      </c>
      <c r="C58" s="78">
        <f t="shared" si="1"/>
        <v>5592</v>
      </c>
      <c r="D58" s="78">
        <f t="shared" si="7"/>
        <v>600</v>
      </c>
      <c r="E58" s="78">
        <f t="shared" si="5"/>
        <v>27000</v>
      </c>
      <c r="F58" s="95">
        <f t="shared" si="8"/>
        <v>0.9999885888</v>
      </c>
      <c r="G58" s="69"/>
      <c r="T58" s="78" t="s">
        <v>218</v>
      </c>
      <c r="U58" s="78">
        <v>19.6</v>
      </c>
      <c r="V58" s="78">
        <f t="shared" si="3"/>
        <v>2352</v>
      </c>
      <c r="W58" s="78">
        <f t="shared" si="9"/>
        <v>600</v>
      </c>
      <c r="X58" s="78">
        <f t="shared" si="6"/>
        <v>27000</v>
      </c>
      <c r="Y58" s="95">
        <f t="shared" si="10"/>
        <v>0.9999885888</v>
      </c>
    </row>
    <row r="59">
      <c r="A59" s="78" t="s">
        <v>219</v>
      </c>
      <c r="B59" s="78">
        <v>16.8</v>
      </c>
      <c r="C59" s="78">
        <f t="shared" si="1"/>
        <v>2016</v>
      </c>
      <c r="D59" s="78">
        <f t="shared" si="7"/>
        <v>600</v>
      </c>
      <c r="E59" s="78">
        <f t="shared" si="5"/>
        <v>27000</v>
      </c>
      <c r="F59" s="95">
        <f t="shared" si="8"/>
        <v>0.9999885888</v>
      </c>
      <c r="G59" s="69"/>
      <c r="T59" s="78" t="s">
        <v>220</v>
      </c>
      <c r="U59" s="78">
        <v>30.4</v>
      </c>
      <c r="V59" s="78">
        <f t="shared" si="3"/>
        <v>3648</v>
      </c>
      <c r="W59" s="78">
        <f t="shared" si="9"/>
        <v>600</v>
      </c>
      <c r="X59" s="78">
        <f t="shared" si="6"/>
        <v>27000</v>
      </c>
      <c r="Y59" s="95">
        <f t="shared" si="10"/>
        <v>0.9999885888</v>
      </c>
    </row>
    <row r="60">
      <c r="A60" s="78" t="s">
        <v>221</v>
      </c>
      <c r="B60" s="78">
        <v>15.6</v>
      </c>
      <c r="C60" s="78">
        <f t="shared" si="1"/>
        <v>1872</v>
      </c>
      <c r="D60" s="78">
        <f t="shared" si="7"/>
        <v>600</v>
      </c>
      <c r="E60" s="78">
        <f t="shared" si="5"/>
        <v>27000</v>
      </c>
      <c r="F60" s="95">
        <f t="shared" si="8"/>
        <v>0.9999885888</v>
      </c>
      <c r="G60" s="69"/>
      <c r="T60" s="78" t="s">
        <v>222</v>
      </c>
      <c r="U60" s="78">
        <v>19.0</v>
      </c>
      <c r="V60" s="78">
        <f t="shared" si="3"/>
        <v>2280</v>
      </c>
      <c r="W60" s="78">
        <f t="shared" si="9"/>
        <v>600</v>
      </c>
      <c r="X60" s="78">
        <f t="shared" si="6"/>
        <v>27000</v>
      </c>
      <c r="Y60" s="95">
        <f t="shared" si="10"/>
        <v>0.9999885888</v>
      </c>
    </row>
    <row r="61">
      <c r="A61" s="78" t="s">
        <v>223</v>
      </c>
      <c r="B61" s="78">
        <v>3.0</v>
      </c>
      <c r="C61" s="78">
        <f t="shared" si="1"/>
        <v>360</v>
      </c>
      <c r="D61" s="78">
        <f t="shared" si="7"/>
        <v>600</v>
      </c>
      <c r="E61" s="78">
        <f t="shared" si="5"/>
        <v>26760</v>
      </c>
      <c r="F61" s="95">
        <f t="shared" si="8"/>
        <v>0.9999885888</v>
      </c>
      <c r="G61" s="69"/>
      <c r="T61" s="78" t="s">
        <v>224</v>
      </c>
      <c r="U61" s="78">
        <v>0.2</v>
      </c>
      <c r="V61" s="78">
        <f t="shared" si="3"/>
        <v>24</v>
      </c>
      <c r="W61" s="78">
        <f t="shared" si="9"/>
        <v>600</v>
      </c>
      <c r="X61" s="78">
        <f t="shared" si="6"/>
        <v>26424</v>
      </c>
      <c r="Y61" s="95">
        <f t="shared" si="10"/>
        <v>0.9999885888</v>
      </c>
    </row>
    <row r="62">
      <c r="A62" s="78" t="s">
        <v>225</v>
      </c>
      <c r="B62" s="78">
        <v>11.6</v>
      </c>
      <c r="C62" s="78">
        <f t="shared" si="1"/>
        <v>1392</v>
      </c>
      <c r="D62" s="78">
        <f t="shared" si="7"/>
        <v>600</v>
      </c>
      <c r="E62" s="78">
        <f t="shared" si="5"/>
        <v>27000</v>
      </c>
      <c r="F62" s="95">
        <f t="shared" si="8"/>
        <v>0.9999885888</v>
      </c>
      <c r="G62" s="69"/>
      <c r="T62" s="78" t="s">
        <v>226</v>
      </c>
      <c r="U62" s="78">
        <v>0.0</v>
      </c>
      <c r="V62" s="78">
        <f t="shared" si="3"/>
        <v>0</v>
      </c>
      <c r="W62" s="78">
        <f t="shared" si="9"/>
        <v>600</v>
      </c>
      <c r="X62" s="78">
        <f t="shared" si="6"/>
        <v>25824</v>
      </c>
      <c r="Y62" s="95">
        <f t="shared" si="10"/>
        <v>0.9999885888</v>
      </c>
    </row>
    <row r="63">
      <c r="A63" s="78" t="s">
        <v>227</v>
      </c>
      <c r="B63" s="78">
        <v>19.0</v>
      </c>
      <c r="C63" s="78">
        <f t="shared" si="1"/>
        <v>2280</v>
      </c>
      <c r="D63" s="78">
        <f t="shared" si="7"/>
        <v>600</v>
      </c>
      <c r="E63" s="78">
        <f t="shared" si="5"/>
        <v>27000</v>
      </c>
      <c r="F63" s="95">
        <f t="shared" si="8"/>
        <v>0.9999885888</v>
      </c>
      <c r="G63" s="69"/>
      <c r="T63" s="78" t="s">
        <v>228</v>
      </c>
      <c r="U63" s="78">
        <v>0.0</v>
      </c>
      <c r="V63" s="78">
        <f t="shared" si="3"/>
        <v>0</v>
      </c>
      <c r="W63" s="78">
        <f t="shared" si="9"/>
        <v>600</v>
      </c>
      <c r="X63" s="78">
        <f t="shared" si="6"/>
        <v>25224</v>
      </c>
      <c r="Y63" s="95">
        <f t="shared" si="10"/>
        <v>0.9999885888</v>
      </c>
    </row>
    <row r="64">
      <c r="A64" s="78" t="s">
        <v>229</v>
      </c>
      <c r="B64" s="78">
        <v>9.2</v>
      </c>
      <c r="C64" s="78">
        <f t="shared" si="1"/>
        <v>1104</v>
      </c>
      <c r="D64" s="78">
        <f t="shared" si="7"/>
        <v>600</v>
      </c>
      <c r="E64" s="78">
        <f t="shared" si="5"/>
        <v>27000</v>
      </c>
      <c r="F64" s="95">
        <f t="shared" si="8"/>
        <v>0.9999885888</v>
      </c>
      <c r="G64" s="69"/>
      <c r="T64" s="78" t="s">
        <v>230</v>
      </c>
      <c r="U64" s="78">
        <v>0.0</v>
      </c>
      <c r="V64" s="78">
        <f t="shared" si="3"/>
        <v>0</v>
      </c>
      <c r="W64" s="78">
        <f t="shared" si="9"/>
        <v>600</v>
      </c>
      <c r="X64" s="78">
        <f t="shared" si="6"/>
        <v>24624</v>
      </c>
      <c r="Y64" s="95">
        <f t="shared" si="10"/>
        <v>0.9999885888</v>
      </c>
    </row>
    <row r="65">
      <c r="A65" s="78" t="s">
        <v>231</v>
      </c>
      <c r="B65" s="78">
        <v>12.6</v>
      </c>
      <c r="C65" s="78">
        <f t="shared" si="1"/>
        <v>1512</v>
      </c>
      <c r="D65" s="78">
        <f t="shared" si="7"/>
        <v>600</v>
      </c>
      <c r="E65" s="78">
        <f t="shared" si="5"/>
        <v>27000</v>
      </c>
      <c r="F65" s="95">
        <f t="shared" si="8"/>
        <v>0.9999885888</v>
      </c>
      <c r="G65" s="69"/>
      <c r="T65" s="78" t="s">
        <v>232</v>
      </c>
      <c r="U65" s="78">
        <v>4.0</v>
      </c>
      <c r="V65" s="78">
        <f t="shared" si="3"/>
        <v>480</v>
      </c>
      <c r="W65" s="78">
        <f t="shared" si="9"/>
        <v>600</v>
      </c>
      <c r="X65" s="78">
        <f t="shared" si="6"/>
        <v>24504</v>
      </c>
      <c r="Y65" s="95">
        <f t="shared" si="10"/>
        <v>0.9999885888</v>
      </c>
    </row>
    <row r="66">
      <c r="A66" s="78" t="s">
        <v>233</v>
      </c>
      <c r="B66" s="78">
        <v>21.8</v>
      </c>
      <c r="C66" s="78">
        <f t="shared" si="1"/>
        <v>2616</v>
      </c>
      <c r="D66" s="78">
        <f t="shared" si="7"/>
        <v>600</v>
      </c>
      <c r="E66" s="78">
        <f t="shared" si="5"/>
        <v>27000</v>
      </c>
      <c r="F66" s="95">
        <f t="shared" si="8"/>
        <v>0.9999885888</v>
      </c>
      <c r="G66" s="69"/>
      <c r="T66" s="78" t="s">
        <v>234</v>
      </c>
      <c r="U66" s="78">
        <v>11.0</v>
      </c>
      <c r="V66" s="78">
        <f t="shared" si="3"/>
        <v>1320</v>
      </c>
      <c r="W66" s="78">
        <f t="shared" si="9"/>
        <v>600</v>
      </c>
      <c r="X66" s="78">
        <f t="shared" si="6"/>
        <v>25224</v>
      </c>
      <c r="Y66" s="95">
        <f t="shared" si="10"/>
        <v>0.9999885888</v>
      </c>
    </row>
    <row r="67">
      <c r="A67" s="78" t="s">
        <v>235</v>
      </c>
      <c r="B67" s="78">
        <v>2.4</v>
      </c>
      <c r="C67" s="78">
        <f t="shared" si="1"/>
        <v>288</v>
      </c>
      <c r="D67" s="78">
        <f t="shared" si="7"/>
        <v>600</v>
      </c>
      <c r="E67" s="78">
        <f t="shared" si="5"/>
        <v>26688</v>
      </c>
      <c r="F67" s="95">
        <f t="shared" si="8"/>
        <v>0.9999885888</v>
      </c>
      <c r="G67" s="69"/>
      <c r="T67" s="78" t="s">
        <v>236</v>
      </c>
      <c r="U67" s="78">
        <v>0.4</v>
      </c>
      <c r="V67" s="78">
        <f t="shared" si="3"/>
        <v>48</v>
      </c>
      <c r="W67" s="78">
        <f t="shared" si="9"/>
        <v>600</v>
      </c>
      <c r="X67" s="78">
        <f t="shared" si="6"/>
        <v>24672</v>
      </c>
      <c r="Y67" s="95">
        <f t="shared" si="10"/>
        <v>0.9999885888</v>
      </c>
    </row>
    <row r="68">
      <c r="A68" s="78" t="s">
        <v>237</v>
      </c>
      <c r="B68" s="78">
        <v>0.8</v>
      </c>
      <c r="C68" s="78">
        <f t="shared" si="1"/>
        <v>96</v>
      </c>
      <c r="D68" s="78">
        <f t="shared" si="7"/>
        <v>600</v>
      </c>
      <c r="E68" s="78">
        <f t="shared" si="5"/>
        <v>26184</v>
      </c>
      <c r="F68" s="95">
        <f t="shared" si="8"/>
        <v>0.9999885888</v>
      </c>
      <c r="G68" s="69"/>
      <c r="T68" s="78" t="s">
        <v>238</v>
      </c>
      <c r="U68" s="78">
        <v>0.0</v>
      </c>
      <c r="V68" s="78">
        <f t="shared" si="3"/>
        <v>0</v>
      </c>
      <c r="W68" s="78">
        <f t="shared" si="9"/>
        <v>600</v>
      </c>
      <c r="X68" s="78">
        <f t="shared" si="6"/>
        <v>24072</v>
      </c>
      <c r="Y68" s="95">
        <f t="shared" si="10"/>
        <v>0.9999885888</v>
      </c>
    </row>
    <row r="69">
      <c r="A69" s="78" t="s">
        <v>239</v>
      </c>
      <c r="B69" s="78">
        <v>4.8</v>
      </c>
      <c r="C69" s="78">
        <f t="shared" si="1"/>
        <v>576</v>
      </c>
      <c r="D69" s="78">
        <f t="shared" si="7"/>
        <v>600</v>
      </c>
      <c r="E69" s="78">
        <f t="shared" si="5"/>
        <v>26160</v>
      </c>
      <c r="F69" s="95">
        <f t="shared" si="8"/>
        <v>0.9999885888</v>
      </c>
      <c r="G69" s="69"/>
      <c r="T69" s="78" t="s">
        <v>240</v>
      </c>
      <c r="U69" s="78">
        <v>0.0</v>
      </c>
      <c r="V69" s="78">
        <f t="shared" si="3"/>
        <v>0</v>
      </c>
      <c r="W69" s="78">
        <f t="shared" si="9"/>
        <v>600</v>
      </c>
      <c r="X69" s="78">
        <f t="shared" si="6"/>
        <v>23472</v>
      </c>
      <c r="Y69" s="95">
        <f t="shared" si="10"/>
        <v>0.9999885888</v>
      </c>
    </row>
    <row r="70">
      <c r="A70" s="78" t="s">
        <v>241</v>
      </c>
      <c r="B70" s="78">
        <v>14.6</v>
      </c>
      <c r="C70" s="78">
        <f t="shared" si="1"/>
        <v>1752</v>
      </c>
      <c r="D70" s="78">
        <f t="shared" si="7"/>
        <v>600</v>
      </c>
      <c r="E70" s="78">
        <f t="shared" si="5"/>
        <v>27000</v>
      </c>
      <c r="F70" s="95">
        <f t="shared" si="8"/>
        <v>0.9999885888</v>
      </c>
      <c r="G70" s="69"/>
      <c r="T70" s="78" t="s">
        <v>242</v>
      </c>
      <c r="U70" s="78">
        <v>0.0</v>
      </c>
      <c r="V70" s="78">
        <f t="shared" si="3"/>
        <v>0</v>
      </c>
      <c r="W70" s="78">
        <f t="shared" si="9"/>
        <v>600</v>
      </c>
      <c r="X70" s="78">
        <f t="shared" si="6"/>
        <v>22872</v>
      </c>
      <c r="Y70" s="95">
        <f t="shared" si="10"/>
        <v>0.9999885888</v>
      </c>
    </row>
    <row r="71">
      <c r="A71" s="78" t="s">
        <v>243</v>
      </c>
      <c r="B71" s="78">
        <v>6.8</v>
      </c>
      <c r="C71" s="78">
        <f t="shared" si="1"/>
        <v>816</v>
      </c>
      <c r="D71" s="78">
        <f t="shared" si="7"/>
        <v>600</v>
      </c>
      <c r="E71" s="78">
        <f t="shared" si="5"/>
        <v>27000</v>
      </c>
      <c r="F71" s="95">
        <f t="shared" si="8"/>
        <v>0.9999885888</v>
      </c>
      <c r="G71" s="69"/>
      <c r="T71" s="78" t="s">
        <v>244</v>
      </c>
      <c r="U71" s="78">
        <v>0.2</v>
      </c>
      <c r="V71" s="78">
        <f t="shared" si="3"/>
        <v>24</v>
      </c>
      <c r="W71" s="78">
        <f t="shared" si="9"/>
        <v>600</v>
      </c>
      <c r="X71" s="78">
        <f t="shared" si="6"/>
        <v>22296</v>
      </c>
      <c r="Y71" s="95">
        <f t="shared" si="10"/>
        <v>0.9999885888</v>
      </c>
    </row>
    <row r="72">
      <c r="A72" s="78" t="s">
        <v>245</v>
      </c>
      <c r="B72" s="78">
        <v>0.0</v>
      </c>
      <c r="C72" s="78">
        <f t="shared" si="1"/>
        <v>0</v>
      </c>
      <c r="D72" s="78">
        <f t="shared" si="7"/>
        <v>600</v>
      </c>
      <c r="E72" s="78">
        <f t="shared" si="5"/>
        <v>26400</v>
      </c>
      <c r="F72" s="95">
        <f t="shared" si="8"/>
        <v>0.9999885888</v>
      </c>
      <c r="G72" s="69"/>
      <c r="T72" s="78" t="s">
        <v>246</v>
      </c>
      <c r="U72" s="78">
        <v>4.6</v>
      </c>
      <c r="V72" s="78">
        <f t="shared" si="3"/>
        <v>552</v>
      </c>
      <c r="W72" s="78">
        <f t="shared" si="9"/>
        <v>600</v>
      </c>
      <c r="X72" s="78">
        <f t="shared" si="6"/>
        <v>22248</v>
      </c>
      <c r="Y72" s="95">
        <f t="shared" si="10"/>
        <v>0.9999885888</v>
      </c>
    </row>
    <row r="73">
      <c r="A73" s="78" t="s">
        <v>247</v>
      </c>
      <c r="B73" s="78">
        <v>0.8</v>
      </c>
      <c r="C73" s="78">
        <f t="shared" si="1"/>
        <v>96</v>
      </c>
      <c r="D73" s="78">
        <f t="shared" si="7"/>
        <v>600</v>
      </c>
      <c r="E73" s="78">
        <f t="shared" si="5"/>
        <v>25896</v>
      </c>
      <c r="F73" s="95">
        <f t="shared" si="8"/>
        <v>0.9999885888</v>
      </c>
      <c r="G73" s="69"/>
      <c r="T73" s="78" t="s">
        <v>248</v>
      </c>
      <c r="U73" s="78">
        <v>8.8</v>
      </c>
      <c r="V73" s="78">
        <f t="shared" si="3"/>
        <v>1056</v>
      </c>
      <c r="W73" s="78">
        <f t="shared" si="9"/>
        <v>600</v>
      </c>
      <c r="X73" s="78">
        <f t="shared" si="6"/>
        <v>22704</v>
      </c>
      <c r="Y73" s="95">
        <f t="shared" si="10"/>
        <v>0.9999885888</v>
      </c>
    </row>
    <row r="74">
      <c r="A74" s="78" t="s">
        <v>249</v>
      </c>
      <c r="B74" s="78">
        <v>0.0</v>
      </c>
      <c r="C74" s="78">
        <f t="shared" si="1"/>
        <v>0</v>
      </c>
      <c r="D74" s="78">
        <f t="shared" si="7"/>
        <v>600</v>
      </c>
      <c r="E74" s="78">
        <f t="shared" si="5"/>
        <v>25296</v>
      </c>
      <c r="F74" s="95">
        <f t="shared" si="8"/>
        <v>0.9999885888</v>
      </c>
      <c r="G74" s="69"/>
      <c r="T74" s="78" t="s">
        <v>250</v>
      </c>
      <c r="U74" s="78">
        <v>0.4</v>
      </c>
      <c r="V74" s="78">
        <f t="shared" si="3"/>
        <v>48</v>
      </c>
      <c r="W74" s="78">
        <f t="shared" si="9"/>
        <v>600</v>
      </c>
      <c r="X74" s="78">
        <f t="shared" si="6"/>
        <v>22152</v>
      </c>
      <c r="Y74" s="95">
        <f t="shared" si="10"/>
        <v>0.9999885888</v>
      </c>
    </row>
    <row r="75">
      <c r="A75" s="78" t="s">
        <v>251</v>
      </c>
      <c r="B75" s="78">
        <v>0.4</v>
      </c>
      <c r="C75" s="78">
        <f t="shared" si="1"/>
        <v>48</v>
      </c>
      <c r="D75" s="78">
        <f t="shared" si="7"/>
        <v>600</v>
      </c>
      <c r="E75" s="78">
        <f t="shared" si="5"/>
        <v>24744</v>
      </c>
      <c r="F75" s="95">
        <f t="shared" si="8"/>
        <v>0.9999885888</v>
      </c>
      <c r="G75" s="69"/>
      <c r="T75" s="78" t="s">
        <v>252</v>
      </c>
      <c r="U75" s="78">
        <v>0.0</v>
      </c>
      <c r="V75" s="78">
        <f t="shared" si="3"/>
        <v>0</v>
      </c>
      <c r="W75" s="78">
        <f t="shared" si="9"/>
        <v>600</v>
      </c>
      <c r="X75" s="78">
        <f t="shared" si="6"/>
        <v>21552</v>
      </c>
      <c r="Y75" s="95">
        <f t="shared" si="10"/>
        <v>0.9999885888</v>
      </c>
    </row>
    <row r="76">
      <c r="A76" s="78" t="s">
        <v>253</v>
      </c>
      <c r="B76" s="78">
        <v>2.0</v>
      </c>
      <c r="C76" s="78">
        <f t="shared" si="1"/>
        <v>240</v>
      </c>
      <c r="D76" s="78">
        <f t="shared" si="7"/>
        <v>600</v>
      </c>
      <c r="E76" s="78">
        <f t="shared" si="5"/>
        <v>24384</v>
      </c>
      <c r="F76" s="95">
        <f t="shared" si="8"/>
        <v>0.9999885888</v>
      </c>
      <c r="G76" s="69"/>
      <c r="T76" s="78" t="s">
        <v>254</v>
      </c>
      <c r="U76" s="78">
        <v>1.2</v>
      </c>
      <c r="V76" s="78">
        <f t="shared" si="3"/>
        <v>144</v>
      </c>
      <c r="W76" s="78">
        <f t="shared" si="9"/>
        <v>600</v>
      </c>
      <c r="X76" s="78">
        <f t="shared" si="6"/>
        <v>21096</v>
      </c>
      <c r="Y76" s="95">
        <f t="shared" si="10"/>
        <v>0.9999885888</v>
      </c>
    </row>
    <row r="77">
      <c r="A77" s="78" t="s">
        <v>255</v>
      </c>
      <c r="B77" s="78">
        <v>19.0</v>
      </c>
      <c r="C77" s="78">
        <f t="shared" si="1"/>
        <v>2280</v>
      </c>
      <c r="D77" s="78">
        <f t="shared" si="7"/>
        <v>600</v>
      </c>
      <c r="E77" s="78">
        <f t="shared" si="5"/>
        <v>26064</v>
      </c>
      <c r="F77" s="95">
        <f t="shared" si="8"/>
        <v>0.9999885888</v>
      </c>
      <c r="G77" s="69"/>
      <c r="T77" s="78" t="s">
        <v>256</v>
      </c>
      <c r="U77" s="78">
        <v>0.0</v>
      </c>
      <c r="V77" s="78">
        <f t="shared" si="3"/>
        <v>0</v>
      </c>
      <c r="W77" s="78">
        <f t="shared" si="9"/>
        <v>600</v>
      </c>
      <c r="X77" s="78">
        <f t="shared" si="6"/>
        <v>20496</v>
      </c>
      <c r="Y77" s="95">
        <f t="shared" si="10"/>
        <v>0.9999885888</v>
      </c>
    </row>
    <row r="78">
      <c r="A78" s="78" t="s">
        <v>257</v>
      </c>
      <c r="B78" s="78">
        <v>1.0</v>
      </c>
      <c r="C78" s="78">
        <f t="shared" si="1"/>
        <v>120</v>
      </c>
      <c r="D78" s="78">
        <f t="shared" si="7"/>
        <v>600</v>
      </c>
      <c r="E78" s="78">
        <f t="shared" si="5"/>
        <v>25584</v>
      </c>
      <c r="F78" s="95">
        <f t="shared" si="8"/>
        <v>0.9999885888</v>
      </c>
      <c r="G78" s="69"/>
      <c r="T78" s="78" t="s">
        <v>258</v>
      </c>
      <c r="U78" s="78">
        <v>0.0</v>
      </c>
      <c r="V78" s="78">
        <f t="shared" si="3"/>
        <v>0</v>
      </c>
      <c r="W78" s="78">
        <f t="shared" si="9"/>
        <v>600</v>
      </c>
      <c r="X78" s="78">
        <f t="shared" si="6"/>
        <v>19896</v>
      </c>
      <c r="Y78" s="95">
        <f t="shared" si="10"/>
        <v>0.9999885888</v>
      </c>
    </row>
    <row r="79">
      <c r="A79" s="78" t="s">
        <v>259</v>
      </c>
      <c r="B79" s="78">
        <v>2.4</v>
      </c>
      <c r="C79" s="78">
        <f t="shared" si="1"/>
        <v>288</v>
      </c>
      <c r="D79" s="78">
        <f t="shared" si="7"/>
        <v>600</v>
      </c>
      <c r="E79" s="78">
        <f t="shared" si="5"/>
        <v>25272</v>
      </c>
      <c r="F79" s="95">
        <f t="shared" si="8"/>
        <v>0.9999885888</v>
      </c>
      <c r="G79" s="69"/>
      <c r="T79" s="78" t="s">
        <v>260</v>
      </c>
      <c r="U79" s="78">
        <v>0.4</v>
      </c>
      <c r="V79" s="78">
        <f t="shared" si="3"/>
        <v>48</v>
      </c>
      <c r="W79" s="78">
        <f t="shared" si="9"/>
        <v>600</v>
      </c>
      <c r="X79" s="78">
        <f t="shared" si="6"/>
        <v>19344</v>
      </c>
      <c r="Y79" s="95">
        <f t="shared" si="10"/>
        <v>0.9999885888</v>
      </c>
    </row>
    <row r="80">
      <c r="A80" s="78" t="s">
        <v>261</v>
      </c>
      <c r="B80" s="78">
        <v>23.8</v>
      </c>
      <c r="C80" s="78">
        <f t="shared" si="1"/>
        <v>2856</v>
      </c>
      <c r="D80" s="78">
        <f t="shared" si="7"/>
        <v>600</v>
      </c>
      <c r="E80" s="78">
        <f t="shared" si="5"/>
        <v>27000</v>
      </c>
      <c r="F80" s="95">
        <f t="shared" si="8"/>
        <v>0.9999885888</v>
      </c>
      <c r="G80" s="69"/>
      <c r="T80" s="78" t="s">
        <v>262</v>
      </c>
      <c r="U80" s="78">
        <v>1.8</v>
      </c>
      <c r="V80" s="78">
        <f t="shared" si="3"/>
        <v>216</v>
      </c>
      <c r="W80" s="78">
        <f t="shared" si="9"/>
        <v>600</v>
      </c>
      <c r="X80" s="78">
        <f t="shared" si="6"/>
        <v>18960</v>
      </c>
      <c r="Y80" s="95">
        <f t="shared" si="10"/>
        <v>0.9999885888</v>
      </c>
    </row>
    <row r="81">
      <c r="A81" s="78" t="s">
        <v>263</v>
      </c>
      <c r="B81" s="78">
        <v>8.6</v>
      </c>
      <c r="C81" s="78">
        <f t="shared" si="1"/>
        <v>1032</v>
      </c>
      <c r="D81" s="78">
        <f t="shared" si="7"/>
        <v>600</v>
      </c>
      <c r="E81" s="78">
        <f t="shared" si="5"/>
        <v>27000</v>
      </c>
      <c r="F81" s="95">
        <f t="shared" si="8"/>
        <v>0.9999885888</v>
      </c>
      <c r="G81" s="69"/>
      <c r="T81" s="78" t="s">
        <v>264</v>
      </c>
      <c r="U81" s="78">
        <v>0.8</v>
      </c>
      <c r="V81" s="78">
        <f t="shared" si="3"/>
        <v>96</v>
      </c>
      <c r="W81" s="78">
        <f t="shared" si="9"/>
        <v>600</v>
      </c>
      <c r="X81" s="78">
        <f t="shared" si="6"/>
        <v>18456</v>
      </c>
      <c r="Y81" s="95">
        <f t="shared" si="10"/>
        <v>0.9999885888</v>
      </c>
    </row>
    <row r="82">
      <c r="A82" s="78" t="s">
        <v>265</v>
      </c>
      <c r="B82" s="78">
        <v>34.0</v>
      </c>
      <c r="C82" s="78">
        <f t="shared" si="1"/>
        <v>4080</v>
      </c>
      <c r="D82" s="78">
        <f t="shared" si="7"/>
        <v>600</v>
      </c>
      <c r="E82" s="78">
        <f t="shared" si="5"/>
        <v>27000</v>
      </c>
      <c r="F82" s="95">
        <f t="shared" si="8"/>
        <v>0.9999885888</v>
      </c>
      <c r="G82" s="69"/>
      <c r="T82" s="78" t="s">
        <v>266</v>
      </c>
      <c r="U82" s="78">
        <v>0.0</v>
      </c>
      <c r="V82" s="78">
        <f t="shared" si="3"/>
        <v>0</v>
      </c>
      <c r="W82" s="78">
        <f t="shared" si="9"/>
        <v>600</v>
      </c>
      <c r="X82" s="78">
        <f t="shared" si="6"/>
        <v>17856</v>
      </c>
      <c r="Y82" s="95">
        <f t="shared" si="10"/>
        <v>0.9999885888</v>
      </c>
    </row>
    <row r="83">
      <c r="A83" s="78" t="s">
        <v>267</v>
      </c>
      <c r="B83" s="78">
        <v>52.4</v>
      </c>
      <c r="C83" s="78">
        <f t="shared" si="1"/>
        <v>6288</v>
      </c>
      <c r="D83" s="78">
        <f t="shared" si="7"/>
        <v>600</v>
      </c>
      <c r="E83" s="78">
        <f t="shared" si="5"/>
        <v>27000</v>
      </c>
      <c r="F83" s="95">
        <f t="shared" si="8"/>
        <v>0.9999885888</v>
      </c>
      <c r="G83" s="69"/>
      <c r="T83" s="78" t="s">
        <v>268</v>
      </c>
      <c r="U83" s="78">
        <v>0.4</v>
      </c>
      <c r="V83" s="78">
        <f t="shared" si="3"/>
        <v>48</v>
      </c>
      <c r="W83" s="78">
        <f t="shared" si="9"/>
        <v>600</v>
      </c>
      <c r="X83" s="78">
        <f t="shared" si="6"/>
        <v>17304</v>
      </c>
      <c r="Y83" s="95">
        <f t="shared" si="10"/>
        <v>0.9999885888</v>
      </c>
    </row>
    <row r="84">
      <c r="A84" s="78" t="s">
        <v>269</v>
      </c>
      <c r="B84" s="78">
        <v>10.6</v>
      </c>
      <c r="C84" s="78">
        <f t="shared" si="1"/>
        <v>1272</v>
      </c>
      <c r="D84" s="78">
        <f t="shared" si="7"/>
        <v>600</v>
      </c>
      <c r="E84" s="78">
        <f t="shared" si="5"/>
        <v>27000</v>
      </c>
      <c r="F84" s="95">
        <f t="shared" si="8"/>
        <v>0.9999885888</v>
      </c>
      <c r="G84" s="69"/>
      <c r="T84" s="78" t="s">
        <v>270</v>
      </c>
      <c r="U84" s="78">
        <v>0.4</v>
      </c>
      <c r="V84" s="78">
        <f t="shared" si="3"/>
        <v>48</v>
      </c>
      <c r="W84" s="78">
        <f t="shared" si="9"/>
        <v>600</v>
      </c>
      <c r="X84" s="78">
        <f t="shared" si="6"/>
        <v>16752</v>
      </c>
      <c r="Y84" s="95">
        <f t="shared" si="10"/>
        <v>0.9999885888</v>
      </c>
    </row>
    <row r="85">
      <c r="A85" s="78" t="s">
        <v>271</v>
      </c>
      <c r="B85" s="78">
        <v>2.4</v>
      </c>
      <c r="C85" s="78">
        <f t="shared" si="1"/>
        <v>288</v>
      </c>
      <c r="D85" s="78">
        <f t="shared" si="7"/>
        <v>600</v>
      </c>
      <c r="E85" s="78">
        <f t="shared" si="5"/>
        <v>26688</v>
      </c>
      <c r="F85" s="95">
        <f t="shared" si="8"/>
        <v>0.9999885888</v>
      </c>
      <c r="G85" s="69"/>
      <c r="T85" s="78" t="s">
        <v>272</v>
      </c>
      <c r="U85" s="78">
        <v>2.8</v>
      </c>
      <c r="V85" s="78">
        <f t="shared" si="3"/>
        <v>336</v>
      </c>
      <c r="W85" s="78">
        <f t="shared" si="9"/>
        <v>600</v>
      </c>
      <c r="X85" s="78">
        <f t="shared" si="6"/>
        <v>16488</v>
      </c>
      <c r="Y85" s="95">
        <f t="shared" si="10"/>
        <v>0.9999885888</v>
      </c>
    </row>
    <row r="86">
      <c r="A86" s="78" t="s">
        <v>273</v>
      </c>
      <c r="B86" s="78">
        <v>0.0</v>
      </c>
      <c r="C86" s="78">
        <f t="shared" si="1"/>
        <v>0</v>
      </c>
      <c r="D86" s="78">
        <f t="shared" si="7"/>
        <v>600</v>
      </c>
      <c r="E86" s="78">
        <f t="shared" si="5"/>
        <v>26088</v>
      </c>
      <c r="F86" s="95">
        <f t="shared" si="8"/>
        <v>0.9999885888</v>
      </c>
      <c r="G86" s="69"/>
      <c r="T86" s="78" t="s">
        <v>274</v>
      </c>
      <c r="U86" s="78">
        <v>13.6</v>
      </c>
      <c r="V86" s="78">
        <f t="shared" si="3"/>
        <v>1632</v>
      </c>
      <c r="W86" s="78">
        <f t="shared" si="9"/>
        <v>600</v>
      </c>
      <c r="X86" s="78">
        <f t="shared" si="6"/>
        <v>17520</v>
      </c>
      <c r="Y86" s="95">
        <f t="shared" si="10"/>
        <v>0.9999885888</v>
      </c>
    </row>
    <row r="87">
      <c r="A87" s="78" t="s">
        <v>275</v>
      </c>
      <c r="B87" s="78">
        <v>2.8</v>
      </c>
      <c r="C87" s="78">
        <f t="shared" si="1"/>
        <v>336</v>
      </c>
      <c r="D87" s="78">
        <f t="shared" si="7"/>
        <v>600</v>
      </c>
      <c r="E87" s="78">
        <f t="shared" si="5"/>
        <v>25824</v>
      </c>
      <c r="F87" s="95">
        <f t="shared" si="8"/>
        <v>0.9999885888</v>
      </c>
      <c r="G87" s="69"/>
      <c r="T87" s="78" t="s">
        <v>276</v>
      </c>
      <c r="U87" s="78">
        <v>8.6</v>
      </c>
      <c r="V87" s="78">
        <f t="shared" si="3"/>
        <v>1032</v>
      </c>
      <c r="W87" s="78">
        <f t="shared" si="9"/>
        <v>600</v>
      </c>
      <c r="X87" s="78">
        <f t="shared" si="6"/>
        <v>17952</v>
      </c>
      <c r="Y87" s="95">
        <f t="shared" si="10"/>
        <v>0.9999885888</v>
      </c>
    </row>
    <row r="88">
      <c r="A88" s="78" t="s">
        <v>277</v>
      </c>
      <c r="B88" s="78">
        <v>20.2</v>
      </c>
      <c r="C88" s="78">
        <f t="shared" si="1"/>
        <v>2424</v>
      </c>
      <c r="D88" s="78">
        <f t="shared" si="7"/>
        <v>600</v>
      </c>
      <c r="E88" s="78">
        <f t="shared" si="5"/>
        <v>27000</v>
      </c>
      <c r="F88" s="95">
        <f t="shared" si="8"/>
        <v>0.9999885888</v>
      </c>
      <c r="G88" s="69"/>
      <c r="T88" s="78" t="s">
        <v>278</v>
      </c>
      <c r="U88" s="78">
        <v>17.4</v>
      </c>
      <c r="V88" s="78">
        <f t="shared" si="3"/>
        <v>2088</v>
      </c>
      <c r="W88" s="78">
        <f t="shared" si="9"/>
        <v>600</v>
      </c>
      <c r="X88" s="78">
        <f t="shared" si="6"/>
        <v>19440</v>
      </c>
      <c r="Y88" s="95">
        <f t="shared" si="10"/>
        <v>0.9999885888</v>
      </c>
    </row>
    <row r="89">
      <c r="A89" s="78" t="s">
        <v>279</v>
      </c>
      <c r="B89" s="78">
        <v>13.8</v>
      </c>
      <c r="C89" s="78">
        <f t="shared" si="1"/>
        <v>1656</v>
      </c>
      <c r="D89" s="78">
        <f t="shared" si="7"/>
        <v>600</v>
      </c>
      <c r="E89" s="78">
        <f t="shared" si="5"/>
        <v>27000</v>
      </c>
      <c r="F89" s="95">
        <f t="shared" si="8"/>
        <v>0.9999885888</v>
      </c>
      <c r="G89" s="69"/>
      <c r="T89" s="78" t="s">
        <v>280</v>
      </c>
      <c r="U89" s="78">
        <v>0.6</v>
      </c>
      <c r="V89" s="78">
        <f t="shared" si="3"/>
        <v>72</v>
      </c>
      <c r="W89" s="78">
        <f t="shared" si="9"/>
        <v>600</v>
      </c>
      <c r="X89" s="78">
        <f t="shared" si="6"/>
        <v>18912</v>
      </c>
      <c r="Y89" s="95">
        <f t="shared" si="10"/>
        <v>0.9999885888</v>
      </c>
    </row>
    <row r="90">
      <c r="A90" s="78" t="s">
        <v>281</v>
      </c>
      <c r="B90" s="78">
        <v>22.8</v>
      </c>
      <c r="C90" s="78">
        <f t="shared" si="1"/>
        <v>2736</v>
      </c>
      <c r="D90" s="78">
        <f t="shared" si="7"/>
        <v>600</v>
      </c>
      <c r="E90" s="78">
        <f t="shared" si="5"/>
        <v>27000</v>
      </c>
      <c r="F90" s="95">
        <f t="shared" si="8"/>
        <v>0.9999885888</v>
      </c>
      <c r="G90" s="69"/>
      <c r="T90" s="78" t="s">
        <v>282</v>
      </c>
      <c r="U90" s="78">
        <v>0.0</v>
      </c>
      <c r="V90" s="78">
        <f t="shared" si="3"/>
        <v>0</v>
      </c>
      <c r="W90" s="78">
        <f t="shared" si="9"/>
        <v>600</v>
      </c>
      <c r="X90" s="78">
        <f t="shared" si="6"/>
        <v>18312</v>
      </c>
      <c r="Y90" s="95">
        <f t="shared" si="10"/>
        <v>0.9999885888</v>
      </c>
    </row>
    <row r="91">
      <c r="A91" s="78" t="s">
        <v>283</v>
      </c>
      <c r="B91" s="78">
        <v>5.4</v>
      </c>
      <c r="C91" s="78">
        <f t="shared" si="1"/>
        <v>648</v>
      </c>
      <c r="D91" s="78">
        <f t="shared" si="7"/>
        <v>600</v>
      </c>
      <c r="E91" s="78">
        <f t="shared" si="5"/>
        <v>27000</v>
      </c>
      <c r="F91" s="95">
        <f t="shared" si="8"/>
        <v>0.9999885888</v>
      </c>
      <c r="G91" s="69"/>
      <c r="T91" s="78" t="s">
        <v>284</v>
      </c>
      <c r="U91" s="78">
        <v>0.0</v>
      </c>
      <c r="V91" s="78">
        <f t="shared" si="3"/>
        <v>0</v>
      </c>
      <c r="W91" s="78">
        <f t="shared" si="9"/>
        <v>600</v>
      </c>
      <c r="X91" s="78">
        <f t="shared" si="6"/>
        <v>17712</v>
      </c>
      <c r="Y91" s="95">
        <f t="shared" si="10"/>
        <v>0.9999885888</v>
      </c>
    </row>
    <row r="92">
      <c r="A92" s="78" t="s">
        <v>285</v>
      </c>
      <c r="B92" s="78">
        <v>0.4</v>
      </c>
      <c r="C92" s="78">
        <f t="shared" si="1"/>
        <v>48</v>
      </c>
      <c r="D92" s="78">
        <f t="shared" si="7"/>
        <v>600</v>
      </c>
      <c r="E92" s="78">
        <f t="shared" si="5"/>
        <v>26448</v>
      </c>
      <c r="F92" s="95">
        <f t="shared" si="8"/>
        <v>0.9999885888</v>
      </c>
      <c r="G92" s="69"/>
      <c r="T92" s="78" t="s">
        <v>286</v>
      </c>
      <c r="U92" s="78">
        <v>0.0</v>
      </c>
      <c r="V92" s="78">
        <f t="shared" si="3"/>
        <v>0</v>
      </c>
      <c r="W92" s="78">
        <f t="shared" si="9"/>
        <v>600</v>
      </c>
      <c r="X92" s="78">
        <f t="shared" si="6"/>
        <v>17112</v>
      </c>
      <c r="Y92" s="95">
        <f t="shared" si="10"/>
        <v>0.9999885888</v>
      </c>
    </row>
    <row r="93">
      <c r="A93" s="78" t="s">
        <v>287</v>
      </c>
      <c r="B93" s="78">
        <v>31.0</v>
      </c>
      <c r="C93" s="78">
        <f t="shared" si="1"/>
        <v>3720</v>
      </c>
      <c r="D93" s="78">
        <f t="shared" si="7"/>
        <v>600</v>
      </c>
      <c r="E93" s="78">
        <f t="shared" si="5"/>
        <v>27000</v>
      </c>
      <c r="F93" s="95">
        <f t="shared" si="8"/>
        <v>0.9999885888</v>
      </c>
      <c r="G93" s="69"/>
      <c r="T93" s="78" t="s">
        <v>288</v>
      </c>
      <c r="U93" s="78">
        <v>31.0</v>
      </c>
      <c r="V93" s="78">
        <f t="shared" si="3"/>
        <v>3720</v>
      </c>
      <c r="W93" s="78">
        <f t="shared" si="9"/>
        <v>600</v>
      </c>
      <c r="X93" s="78">
        <f t="shared" si="6"/>
        <v>20232</v>
      </c>
      <c r="Y93" s="95">
        <f t="shared" si="10"/>
        <v>0.9999885888</v>
      </c>
    </row>
    <row r="94">
      <c r="A94" s="78" t="s">
        <v>289</v>
      </c>
      <c r="B94" s="78">
        <v>1.6</v>
      </c>
      <c r="C94" s="78">
        <f t="shared" si="1"/>
        <v>192</v>
      </c>
      <c r="D94" s="78">
        <f t="shared" si="7"/>
        <v>600</v>
      </c>
      <c r="E94" s="78">
        <f t="shared" si="5"/>
        <v>26592</v>
      </c>
      <c r="F94" s="95">
        <f t="shared" si="8"/>
        <v>0.9999885888</v>
      </c>
      <c r="G94" s="69"/>
      <c r="T94" s="78" t="s">
        <v>290</v>
      </c>
      <c r="U94" s="78">
        <v>35.4</v>
      </c>
      <c r="V94" s="78">
        <f t="shared" si="3"/>
        <v>4248</v>
      </c>
      <c r="W94" s="78">
        <f t="shared" si="9"/>
        <v>600</v>
      </c>
      <c r="X94" s="78">
        <f t="shared" si="6"/>
        <v>23880</v>
      </c>
      <c r="Y94" s="95">
        <f t="shared" si="10"/>
        <v>0.9999885888</v>
      </c>
    </row>
    <row r="95">
      <c r="A95" s="78" t="s">
        <v>291</v>
      </c>
      <c r="B95" s="78">
        <v>1.6</v>
      </c>
      <c r="C95" s="78">
        <f t="shared" si="1"/>
        <v>192</v>
      </c>
      <c r="D95" s="78">
        <f t="shared" si="7"/>
        <v>600</v>
      </c>
      <c r="E95" s="78">
        <f t="shared" si="5"/>
        <v>26184</v>
      </c>
      <c r="F95" s="95">
        <f t="shared" si="8"/>
        <v>0.9999885888</v>
      </c>
      <c r="G95" s="69"/>
      <c r="T95" s="78" t="s">
        <v>292</v>
      </c>
      <c r="U95" s="78">
        <v>28.6</v>
      </c>
      <c r="V95" s="78">
        <f t="shared" si="3"/>
        <v>3432</v>
      </c>
      <c r="W95" s="78">
        <f t="shared" si="9"/>
        <v>600</v>
      </c>
      <c r="X95" s="78">
        <f t="shared" si="6"/>
        <v>26712</v>
      </c>
      <c r="Y95" s="95">
        <f t="shared" si="10"/>
        <v>0.9999885888</v>
      </c>
    </row>
    <row r="96">
      <c r="A96" s="78" t="s">
        <v>293</v>
      </c>
      <c r="B96" s="78">
        <v>7.6</v>
      </c>
      <c r="C96" s="78">
        <f t="shared" si="1"/>
        <v>912</v>
      </c>
      <c r="D96" s="78">
        <f t="shared" si="7"/>
        <v>600</v>
      </c>
      <c r="E96" s="78">
        <f t="shared" si="5"/>
        <v>26496</v>
      </c>
      <c r="F96" s="95">
        <f t="shared" si="8"/>
        <v>0.9999885888</v>
      </c>
      <c r="G96" s="69"/>
      <c r="T96" s="78" t="s">
        <v>294</v>
      </c>
      <c r="U96" s="78">
        <v>0.0</v>
      </c>
      <c r="V96" s="78">
        <f t="shared" si="3"/>
        <v>0</v>
      </c>
      <c r="W96" s="78">
        <f t="shared" si="9"/>
        <v>600</v>
      </c>
      <c r="X96" s="78">
        <f t="shared" si="6"/>
        <v>26112</v>
      </c>
      <c r="Y96" s="95">
        <f t="shared" si="10"/>
        <v>0.9999885888</v>
      </c>
    </row>
    <row r="97">
      <c r="A97" s="78" t="s">
        <v>295</v>
      </c>
      <c r="B97" s="78">
        <v>2.6</v>
      </c>
      <c r="C97" s="78">
        <f t="shared" si="1"/>
        <v>312</v>
      </c>
      <c r="D97" s="78">
        <f t="shared" si="7"/>
        <v>600</v>
      </c>
      <c r="E97" s="78">
        <f t="shared" si="5"/>
        <v>26208</v>
      </c>
      <c r="F97" s="95">
        <f t="shared" si="8"/>
        <v>0.9999885888</v>
      </c>
      <c r="G97" s="69"/>
      <c r="T97" s="78" t="s">
        <v>296</v>
      </c>
      <c r="U97" s="78">
        <v>7.0</v>
      </c>
      <c r="V97" s="78">
        <f t="shared" si="3"/>
        <v>840</v>
      </c>
      <c r="W97" s="78">
        <f t="shared" si="9"/>
        <v>600</v>
      </c>
      <c r="X97" s="78">
        <f t="shared" si="6"/>
        <v>26352</v>
      </c>
      <c r="Y97" s="95">
        <f t="shared" si="10"/>
        <v>0.9999885888</v>
      </c>
    </row>
    <row r="98">
      <c r="A98" s="78" t="s">
        <v>297</v>
      </c>
      <c r="B98" s="78">
        <v>0.0</v>
      </c>
      <c r="C98" s="78">
        <f t="shared" si="1"/>
        <v>0</v>
      </c>
      <c r="D98" s="78">
        <f t="shared" si="7"/>
        <v>600</v>
      </c>
      <c r="E98" s="78">
        <f t="shared" si="5"/>
        <v>25608</v>
      </c>
      <c r="F98" s="95">
        <f t="shared" si="8"/>
        <v>0.9999885888</v>
      </c>
      <c r="G98" s="69"/>
      <c r="T98" s="78" t="s">
        <v>298</v>
      </c>
      <c r="U98" s="78">
        <v>9.6</v>
      </c>
      <c r="V98" s="78">
        <f t="shared" si="3"/>
        <v>1152</v>
      </c>
      <c r="W98" s="78">
        <f t="shared" si="9"/>
        <v>600</v>
      </c>
      <c r="X98" s="78">
        <f t="shared" si="6"/>
        <v>26904</v>
      </c>
      <c r="Y98" s="95">
        <f t="shared" si="10"/>
        <v>0.9999885888</v>
      </c>
    </row>
    <row r="99">
      <c r="A99" s="78" t="s">
        <v>299</v>
      </c>
      <c r="B99" s="78">
        <v>4.0</v>
      </c>
      <c r="C99" s="78">
        <f t="shared" si="1"/>
        <v>480</v>
      </c>
      <c r="D99" s="78">
        <f t="shared" si="7"/>
        <v>600</v>
      </c>
      <c r="E99" s="78">
        <f t="shared" si="5"/>
        <v>25488</v>
      </c>
      <c r="F99" s="95">
        <f t="shared" si="8"/>
        <v>0.9999885888</v>
      </c>
      <c r="G99" s="69"/>
      <c r="T99" s="78" t="s">
        <v>300</v>
      </c>
      <c r="U99" s="78">
        <v>18.2</v>
      </c>
      <c r="V99" s="78">
        <f t="shared" si="3"/>
        <v>2184</v>
      </c>
      <c r="W99" s="78">
        <f t="shared" si="9"/>
        <v>600</v>
      </c>
      <c r="X99" s="78">
        <f t="shared" si="6"/>
        <v>27000</v>
      </c>
      <c r="Y99" s="95">
        <f t="shared" si="10"/>
        <v>0.9999885888</v>
      </c>
    </row>
    <row r="100">
      <c r="A100" s="78" t="s">
        <v>301</v>
      </c>
      <c r="B100" s="78">
        <v>31.0</v>
      </c>
      <c r="C100" s="78">
        <f t="shared" si="1"/>
        <v>3720</v>
      </c>
      <c r="D100" s="78">
        <f t="shared" si="7"/>
        <v>600</v>
      </c>
      <c r="E100" s="78">
        <f t="shared" si="5"/>
        <v>27000</v>
      </c>
      <c r="F100" s="95">
        <f t="shared" si="8"/>
        <v>0.9999885888</v>
      </c>
      <c r="G100" s="69"/>
      <c r="T100" s="78" t="s">
        <v>302</v>
      </c>
      <c r="U100" s="78">
        <v>104.4</v>
      </c>
      <c r="V100" s="78">
        <f t="shared" si="3"/>
        <v>10000</v>
      </c>
      <c r="W100" s="78">
        <f t="shared" si="9"/>
        <v>600</v>
      </c>
      <c r="X100" s="78">
        <f t="shared" si="6"/>
        <v>27000</v>
      </c>
      <c r="Y100" s="95">
        <f t="shared" si="10"/>
        <v>0.9999885888</v>
      </c>
    </row>
    <row r="101">
      <c r="A101" s="78" t="s">
        <v>303</v>
      </c>
      <c r="B101" s="78">
        <v>0.2</v>
      </c>
      <c r="C101" s="78">
        <f t="shared" si="1"/>
        <v>24</v>
      </c>
      <c r="D101" s="78">
        <f t="shared" si="7"/>
        <v>600</v>
      </c>
      <c r="E101" s="78">
        <f t="shared" si="5"/>
        <v>26424</v>
      </c>
      <c r="F101" s="95">
        <f t="shared" si="8"/>
        <v>0.9999885888</v>
      </c>
      <c r="G101" s="69"/>
      <c r="T101" s="78" t="s">
        <v>304</v>
      </c>
      <c r="U101" s="78">
        <v>33.2</v>
      </c>
      <c r="V101" s="78">
        <f t="shared" si="3"/>
        <v>3984</v>
      </c>
      <c r="W101" s="78">
        <f t="shared" si="9"/>
        <v>600</v>
      </c>
      <c r="X101" s="78">
        <f t="shared" si="6"/>
        <v>27000</v>
      </c>
      <c r="Y101" s="95">
        <f t="shared" si="10"/>
        <v>0.9999885888</v>
      </c>
    </row>
    <row r="102">
      <c r="A102" s="78" t="s">
        <v>305</v>
      </c>
      <c r="B102" s="78">
        <v>4.4</v>
      </c>
      <c r="C102" s="78">
        <f t="shared" si="1"/>
        <v>528</v>
      </c>
      <c r="D102" s="78">
        <f t="shared" si="7"/>
        <v>600</v>
      </c>
      <c r="E102" s="78">
        <f t="shared" si="5"/>
        <v>26352</v>
      </c>
      <c r="F102" s="95">
        <f t="shared" si="8"/>
        <v>0.9999885888</v>
      </c>
      <c r="G102" s="69"/>
      <c r="T102" s="78" t="s">
        <v>306</v>
      </c>
      <c r="U102" s="78">
        <v>26.2</v>
      </c>
      <c r="V102" s="78">
        <f t="shared" si="3"/>
        <v>3144</v>
      </c>
      <c r="W102" s="78">
        <f t="shared" si="9"/>
        <v>600</v>
      </c>
      <c r="X102" s="78">
        <f t="shared" si="6"/>
        <v>27000</v>
      </c>
      <c r="Y102" s="95">
        <f t="shared" si="10"/>
        <v>0.9999885888</v>
      </c>
    </row>
    <row r="103">
      <c r="A103" s="78" t="s">
        <v>307</v>
      </c>
      <c r="B103" s="78">
        <v>23.6</v>
      </c>
      <c r="C103" s="78">
        <f t="shared" si="1"/>
        <v>2832</v>
      </c>
      <c r="D103" s="78">
        <f t="shared" si="7"/>
        <v>600</v>
      </c>
      <c r="E103" s="78">
        <f t="shared" si="5"/>
        <v>27000</v>
      </c>
      <c r="F103" s="95">
        <f t="shared" si="8"/>
        <v>0.9999885888</v>
      </c>
      <c r="G103" s="69"/>
      <c r="T103" s="78" t="s">
        <v>308</v>
      </c>
      <c r="U103" s="78">
        <v>68.8</v>
      </c>
      <c r="V103" s="78">
        <f t="shared" si="3"/>
        <v>8256</v>
      </c>
      <c r="W103" s="78">
        <f t="shared" si="9"/>
        <v>600</v>
      </c>
      <c r="X103" s="78">
        <f t="shared" si="6"/>
        <v>27000</v>
      </c>
      <c r="Y103" s="95">
        <f t="shared" si="10"/>
        <v>0.9999885888</v>
      </c>
    </row>
    <row r="104">
      <c r="A104" s="78" t="s">
        <v>309</v>
      </c>
      <c r="B104" s="78">
        <v>41.6</v>
      </c>
      <c r="C104" s="78">
        <f t="shared" si="1"/>
        <v>4992</v>
      </c>
      <c r="D104" s="78">
        <f t="shared" si="7"/>
        <v>600</v>
      </c>
      <c r="E104" s="78">
        <f t="shared" si="5"/>
        <v>27000</v>
      </c>
      <c r="F104" s="95">
        <f t="shared" si="8"/>
        <v>0.9999885888</v>
      </c>
      <c r="G104" s="69"/>
      <c r="T104" s="78" t="s">
        <v>310</v>
      </c>
      <c r="U104" s="78">
        <v>10.0</v>
      </c>
      <c r="V104" s="78">
        <f t="shared" si="3"/>
        <v>1200</v>
      </c>
      <c r="W104" s="78">
        <f t="shared" si="9"/>
        <v>600</v>
      </c>
      <c r="X104" s="78">
        <f t="shared" si="6"/>
        <v>27000</v>
      </c>
      <c r="Y104" s="95">
        <f t="shared" si="10"/>
        <v>0.9999885888</v>
      </c>
    </row>
    <row r="105">
      <c r="A105" s="78" t="s">
        <v>311</v>
      </c>
      <c r="B105" s="78">
        <v>3.0</v>
      </c>
      <c r="C105" s="78">
        <f t="shared" si="1"/>
        <v>360</v>
      </c>
      <c r="D105" s="78">
        <f t="shared" si="7"/>
        <v>600</v>
      </c>
      <c r="E105" s="78">
        <f t="shared" si="5"/>
        <v>26760</v>
      </c>
      <c r="F105" s="95">
        <f t="shared" si="8"/>
        <v>0.9999885888</v>
      </c>
      <c r="G105" s="69"/>
      <c r="T105" s="78" t="s">
        <v>312</v>
      </c>
      <c r="U105" s="78">
        <v>37.7</v>
      </c>
      <c r="V105" s="78">
        <f t="shared" si="3"/>
        <v>4524</v>
      </c>
      <c r="W105" s="78">
        <f t="shared" si="9"/>
        <v>600</v>
      </c>
      <c r="X105" s="78">
        <f t="shared" si="6"/>
        <v>27000</v>
      </c>
      <c r="Y105" s="95">
        <f t="shared" si="10"/>
        <v>0.9999885888</v>
      </c>
    </row>
    <row r="106">
      <c r="A106" s="78" t="s">
        <v>313</v>
      </c>
      <c r="B106" s="78">
        <v>0.0</v>
      </c>
      <c r="C106" s="78">
        <f t="shared" si="1"/>
        <v>0</v>
      </c>
      <c r="D106" s="78">
        <f t="shared" si="7"/>
        <v>600</v>
      </c>
      <c r="E106" s="78">
        <f t="shared" si="5"/>
        <v>26160</v>
      </c>
      <c r="F106" s="95">
        <f t="shared" si="8"/>
        <v>0.9999885888</v>
      </c>
      <c r="G106" s="69"/>
      <c r="T106" s="78" t="s">
        <v>314</v>
      </c>
      <c r="U106" s="78">
        <v>11.6</v>
      </c>
      <c r="V106" s="78">
        <f t="shared" si="3"/>
        <v>1392</v>
      </c>
      <c r="W106" s="78">
        <f t="shared" si="9"/>
        <v>600</v>
      </c>
      <c r="X106" s="78">
        <f t="shared" si="6"/>
        <v>27000</v>
      </c>
      <c r="Y106" s="95">
        <f t="shared" si="10"/>
        <v>0.9999885888</v>
      </c>
    </row>
    <row r="107">
      <c r="A107" s="78" t="s">
        <v>315</v>
      </c>
      <c r="B107" s="78">
        <v>0.0</v>
      </c>
      <c r="C107" s="78">
        <f t="shared" si="1"/>
        <v>0</v>
      </c>
      <c r="D107" s="78">
        <f t="shared" si="7"/>
        <v>600</v>
      </c>
      <c r="E107" s="78">
        <f t="shared" si="5"/>
        <v>25560</v>
      </c>
      <c r="F107" s="95">
        <f t="shared" si="8"/>
        <v>0.9999885888</v>
      </c>
      <c r="G107" s="69"/>
      <c r="T107" s="78" t="s">
        <v>316</v>
      </c>
      <c r="U107" s="78">
        <v>0.0</v>
      </c>
      <c r="V107" s="78">
        <f t="shared" si="3"/>
        <v>0</v>
      </c>
      <c r="W107" s="78">
        <f t="shared" si="9"/>
        <v>600</v>
      </c>
      <c r="X107" s="78">
        <f t="shared" si="6"/>
        <v>26400</v>
      </c>
      <c r="Y107" s="95">
        <f t="shared" si="10"/>
        <v>0.9999885888</v>
      </c>
    </row>
    <row r="108">
      <c r="A108" s="78" t="s">
        <v>317</v>
      </c>
      <c r="B108" s="78">
        <v>5.6</v>
      </c>
      <c r="C108" s="78">
        <f t="shared" si="1"/>
        <v>672</v>
      </c>
      <c r="D108" s="78">
        <f t="shared" si="7"/>
        <v>600</v>
      </c>
      <c r="E108" s="78">
        <f t="shared" si="5"/>
        <v>25632</v>
      </c>
      <c r="F108" s="95">
        <f t="shared" si="8"/>
        <v>0.9999885888</v>
      </c>
      <c r="G108" s="69"/>
      <c r="T108" s="78" t="s">
        <v>318</v>
      </c>
      <c r="U108" s="78">
        <v>33.7</v>
      </c>
      <c r="V108" s="78">
        <f t="shared" si="3"/>
        <v>4044</v>
      </c>
      <c r="W108" s="78">
        <f t="shared" si="9"/>
        <v>600</v>
      </c>
      <c r="X108" s="78">
        <f t="shared" si="6"/>
        <v>27000</v>
      </c>
      <c r="Y108" s="95">
        <f t="shared" si="10"/>
        <v>0.9999885888</v>
      </c>
    </row>
    <row r="109">
      <c r="A109" s="78" t="s">
        <v>319</v>
      </c>
      <c r="B109" s="78">
        <v>20.4</v>
      </c>
      <c r="C109" s="78">
        <f t="shared" si="1"/>
        <v>2448</v>
      </c>
      <c r="D109" s="78">
        <f t="shared" si="7"/>
        <v>600</v>
      </c>
      <c r="E109" s="78">
        <f t="shared" si="5"/>
        <v>27000</v>
      </c>
      <c r="F109" s="95">
        <f t="shared" si="8"/>
        <v>0.9999885888</v>
      </c>
      <c r="G109" s="69"/>
      <c r="T109" s="78" t="s">
        <v>320</v>
      </c>
      <c r="U109" s="78">
        <v>9.0</v>
      </c>
      <c r="V109" s="78">
        <f t="shared" si="3"/>
        <v>1080</v>
      </c>
      <c r="W109" s="78">
        <f t="shared" si="9"/>
        <v>600</v>
      </c>
      <c r="X109" s="78">
        <f t="shared" si="6"/>
        <v>27000</v>
      </c>
      <c r="Y109" s="95">
        <f t="shared" si="10"/>
        <v>0.9999885888</v>
      </c>
    </row>
    <row r="110">
      <c r="A110" s="78" t="s">
        <v>321</v>
      </c>
      <c r="B110" s="78">
        <v>2.6</v>
      </c>
      <c r="C110" s="78">
        <f t="shared" si="1"/>
        <v>312</v>
      </c>
      <c r="D110" s="78">
        <f t="shared" si="7"/>
        <v>600</v>
      </c>
      <c r="E110" s="78">
        <f t="shared" si="5"/>
        <v>26712</v>
      </c>
      <c r="F110" s="95">
        <f t="shared" si="8"/>
        <v>0.9999885888</v>
      </c>
      <c r="G110" s="69"/>
      <c r="T110" s="78" t="s">
        <v>322</v>
      </c>
      <c r="U110" s="78">
        <v>8.4</v>
      </c>
      <c r="V110" s="78">
        <f t="shared" si="3"/>
        <v>1008</v>
      </c>
      <c r="W110" s="78">
        <f t="shared" si="9"/>
        <v>600</v>
      </c>
      <c r="X110" s="78">
        <f t="shared" si="6"/>
        <v>27000</v>
      </c>
      <c r="Y110" s="95">
        <f t="shared" si="10"/>
        <v>0.9999885888</v>
      </c>
    </row>
    <row r="111">
      <c r="A111" s="78" t="s">
        <v>323</v>
      </c>
      <c r="B111" s="78">
        <v>15.9</v>
      </c>
      <c r="C111" s="78">
        <f t="shared" si="1"/>
        <v>1908</v>
      </c>
      <c r="D111" s="78">
        <f t="shared" si="7"/>
        <v>600</v>
      </c>
      <c r="E111" s="78">
        <f t="shared" si="5"/>
        <v>27000</v>
      </c>
      <c r="F111" s="95">
        <f t="shared" si="8"/>
        <v>0.9999885888</v>
      </c>
      <c r="G111" s="69"/>
      <c r="T111" s="78" t="s">
        <v>324</v>
      </c>
      <c r="U111" s="78">
        <v>0.6</v>
      </c>
      <c r="V111" s="78">
        <f t="shared" si="3"/>
        <v>72</v>
      </c>
      <c r="W111" s="78">
        <f t="shared" si="9"/>
        <v>600</v>
      </c>
      <c r="X111" s="78">
        <f t="shared" si="6"/>
        <v>26472</v>
      </c>
      <c r="Y111" s="95">
        <f t="shared" si="10"/>
        <v>0.9999885888</v>
      </c>
    </row>
    <row r="112">
      <c r="A112" s="78" t="s">
        <v>325</v>
      </c>
      <c r="B112" s="78">
        <v>9.4</v>
      </c>
      <c r="C112" s="78">
        <f t="shared" si="1"/>
        <v>1128</v>
      </c>
      <c r="D112" s="78">
        <f t="shared" si="7"/>
        <v>600</v>
      </c>
      <c r="E112" s="78">
        <f t="shared" si="5"/>
        <v>27000</v>
      </c>
      <c r="F112" s="95">
        <f t="shared" si="8"/>
        <v>0.9999885888</v>
      </c>
      <c r="G112" s="69"/>
      <c r="T112" s="78" t="s">
        <v>326</v>
      </c>
      <c r="U112" s="78">
        <v>0.0</v>
      </c>
      <c r="V112" s="78">
        <f t="shared" si="3"/>
        <v>0</v>
      </c>
      <c r="W112" s="78">
        <f t="shared" si="9"/>
        <v>600</v>
      </c>
      <c r="X112" s="78">
        <f t="shared" si="6"/>
        <v>25872</v>
      </c>
      <c r="Y112" s="95">
        <f t="shared" si="10"/>
        <v>0.9999885888</v>
      </c>
    </row>
    <row r="113">
      <c r="A113" s="78" t="s">
        <v>327</v>
      </c>
      <c r="B113" s="78">
        <v>13.6</v>
      </c>
      <c r="C113" s="78">
        <f t="shared" si="1"/>
        <v>1632</v>
      </c>
      <c r="D113" s="78">
        <f t="shared" si="7"/>
        <v>600</v>
      </c>
      <c r="E113" s="78">
        <f t="shared" si="5"/>
        <v>27000</v>
      </c>
      <c r="F113" s="95">
        <f t="shared" si="8"/>
        <v>0.9999885888</v>
      </c>
      <c r="G113" s="69"/>
      <c r="T113" s="78" t="s">
        <v>328</v>
      </c>
      <c r="U113" s="78">
        <v>0.0</v>
      </c>
      <c r="V113" s="78">
        <f t="shared" si="3"/>
        <v>0</v>
      </c>
      <c r="W113" s="78">
        <f t="shared" si="9"/>
        <v>600</v>
      </c>
      <c r="X113" s="78">
        <f t="shared" si="6"/>
        <v>25272</v>
      </c>
      <c r="Y113" s="95">
        <f t="shared" si="10"/>
        <v>0.9999885888</v>
      </c>
    </row>
    <row r="114">
      <c r="A114" s="78" t="s">
        <v>329</v>
      </c>
      <c r="B114" s="78">
        <v>5.6</v>
      </c>
      <c r="C114" s="78">
        <f t="shared" si="1"/>
        <v>672</v>
      </c>
      <c r="D114" s="78">
        <f t="shared" si="7"/>
        <v>600</v>
      </c>
      <c r="E114" s="78">
        <f t="shared" si="5"/>
        <v>27000</v>
      </c>
      <c r="F114" s="95">
        <f t="shared" si="8"/>
        <v>0.9999885888</v>
      </c>
      <c r="G114" s="69"/>
      <c r="T114" s="78" t="s">
        <v>330</v>
      </c>
      <c r="U114" s="78">
        <v>0.0</v>
      </c>
      <c r="V114" s="78">
        <f t="shared" si="3"/>
        <v>0</v>
      </c>
      <c r="W114" s="78">
        <f t="shared" si="9"/>
        <v>600</v>
      </c>
      <c r="X114" s="78">
        <f t="shared" si="6"/>
        <v>24672</v>
      </c>
      <c r="Y114" s="95">
        <f t="shared" si="10"/>
        <v>0.9999885888</v>
      </c>
    </row>
    <row r="115">
      <c r="A115" s="78" t="s">
        <v>331</v>
      </c>
      <c r="B115" s="78">
        <v>0.0</v>
      </c>
      <c r="C115" s="78">
        <f t="shared" si="1"/>
        <v>0</v>
      </c>
      <c r="D115" s="78">
        <f t="shared" si="7"/>
        <v>600</v>
      </c>
      <c r="E115" s="78">
        <f t="shared" si="5"/>
        <v>26400</v>
      </c>
      <c r="F115" s="95">
        <f t="shared" si="8"/>
        <v>0.9999885888</v>
      </c>
      <c r="G115" s="69"/>
      <c r="T115" s="78" t="s">
        <v>332</v>
      </c>
      <c r="U115" s="78">
        <v>3.2</v>
      </c>
      <c r="V115" s="78">
        <f t="shared" si="3"/>
        <v>384</v>
      </c>
      <c r="W115" s="78">
        <f t="shared" si="9"/>
        <v>600</v>
      </c>
      <c r="X115" s="78">
        <f t="shared" si="6"/>
        <v>24456</v>
      </c>
      <c r="Y115" s="95">
        <f t="shared" si="10"/>
        <v>0.9999885888</v>
      </c>
    </row>
    <row r="116">
      <c r="A116" s="78" t="s">
        <v>333</v>
      </c>
      <c r="B116" s="78">
        <v>16.6</v>
      </c>
      <c r="C116" s="78">
        <f t="shared" si="1"/>
        <v>1992</v>
      </c>
      <c r="D116" s="78">
        <f t="shared" si="7"/>
        <v>600</v>
      </c>
      <c r="E116" s="78">
        <f t="shared" si="5"/>
        <v>27000</v>
      </c>
      <c r="F116" s="95">
        <f t="shared" si="8"/>
        <v>0.9999885888</v>
      </c>
      <c r="G116" s="69"/>
      <c r="T116" s="78" t="s">
        <v>334</v>
      </c>
      <c r="U116" s="78">
        <v>40.2</v>
      </c>
      <c r="V116" s="78">
        <f t="shared" si="3"/>
        <v>4824</v>
      </c>
      <c r="W116" s="78">
        <f t="shared" si="9"/>
        <v>600</v>
      </c>
      <c r="X116" s="78">
        <f t="shared" si="6"/>
        <v>27000</v>
      </c>
      <c r="Y116" s="95">
        <f t="shared" si="10"/>
        <v>0.9999885888</v>
      </c>
    </row>
    <row r="117">
      <c r="A117" s="78" t="s">
        <v>335</v>
      </c>
      <c r="B117" s="78">
        <v>0.0</v>
      </c>
      <c r="C117" s="78">
        <f t="shared" si="1"/>
        <v>0</v>
      </c>
      <c r="D117" s="78">
        <f t="shared" si="7"/>
        <v>600</v>
      </c>
      <c r="E117" s="78">
        <f t="shared" si="5"/>
        <v>26400</v>
      </c>
      <c r="F117" s="95">
        <f t="shared" si="8"/>
        <v>0.9999885888</v>
      </c>
      <c r="G117" s="69"/>
      <c r="T117" s="78" t="s">
        <v>336</v>
      </c>
      <c r="U117" s="78">
        <v>9.2</v>
      </c>
      <c r="V117" s="78">
        <f t="shared" si="3"/>
        <v>1104</v>
      </c>
      <c r="W117" s="78">
        <f t="shared" si="9"/>
        <v>600</v>
      </c>
      <c r="X117" s="78">
        <f t="shared" si="6"/>
        <v>27000</v>
      </c>
      <c r="Y117" s="95">
        <f t="shared" si="10"/>
        <v>0.9999885888</v>
      </c>
    </row>
    <row r="118">
      <c r="A118" s="78" t="s">
        <v>337</v>
      </c>
      <c r="B118" s="78">
        <v>0.0</v>
      </c>
      <c r="C118" s="78">
        <f t="shared" si="1"/>
        <v>0</v>
      </c>
      <c r="D118" s="78">
        <f t="shared" si="7"/>
        <v>600</v>
      </c>
      <c r="E118" s="78">
        <f t="shared" si="5"/>
        <v>25800</v>
      </c>
      <c r="F118" s="95">
        <f t="shared" si="8"/>
        <v>0.9999885888</v>
      </c>
      <c r="G118" s="69"/>
      <c r="T118" s="78" t="s">
        <v>338</v>
      </c>
      <c r="U118" s="78">
        <v>24.4</v>
      </c>
      <c r="V118" s="78">
        <f t="shared" si="3"/>
        <v>2928</v>
      </c>
      <c r="W118" s="78">
        <f t="shared" si="9"/>
        <v>600</v>
      </c>
      <c r="X118" s="78">
        <f t="shared" si="6"/>
        <v>27000</v>
      </c>
      <c r="Y118" s="95">
        <f t="shared" si="10"/>
        <v>0.9999885888</v>
      </c>
    </row>
    <row r="119">
      <c r="A119" s="78" t="s">
        <v>339</v>
      </c>
      <c r="B119" s="78">
        <v>0.0</v>
      </c>
      <c r="C119" s="78">
        <f t="shared" si="1"/>
        <v>0</v>
      </c>
      <c r="D119" s="78">
        <f t="shared" si="7"/>
        <v>600</v>
      </c>
      <c r="E119" s="78">
        <f t="shared" si="5"/>
        <v>25200</v>
      </c>
      <c r="F119" s="95">
        <f t="shared" si="8"/>
        <v>0.9999885888</v>
      </c>
      <c r="G119" s="69"/>
      <c r="T119" s="78" t="s">
        <v>340</v>
      </c>
      <c r="U119" s="78">
        <v>16.2</v>
      </c>
      <c r="V119" s="78">
        <f t="shared" si="3"/>
        <v>1944</v>
      </c>
      <c r="W119" s="78">
        <f t="shared" si="9"/>
        <v>600</v>
      </c>
      <c r="X119" s="78">
        <f t="shared" si="6"/>
        <v>27000</v>
      </c>
      <c r="Y119" s="95">
        <f t="shared" si="10"/>
        <v>0.9999885888</v>
      </c>
    </row>
    <row r="120">
      <c r="A120" s="78" t="s">
        <v>341</v>
      </c>
      <c r="B120" s="78">
        <v>14.8</v>
      </c>
      <c r="C120" s="78">
        <f t="shared" si="1"/>
        <v>1776</v>
      </c>
      <c r="D120" s="78">
        <f t="shared" si="7"/>
        <v>600</v>
      </c>
      <c r="E120" s="78">
        <f t="shared" si="5"/>
        <v>26376</v>
      </c>
      <c r="F120" s="95">
        <f t="shared" si="8"/>
        <v>0.9999885888</v>
      </c>
      <c r="G120" s="69"/>
      <c r="T120" s="78" t="s">
        <v>342</v>
      </c>
      <c r="U120" s="78">
        <v>1.5</v>
      </c>
      <c r="V120" s="78">
        <f t="shared" si="3"/>
        <v>180</v>
      </c>
      <c r="W120" s="78">
        <f t="shared" si="9"/>
        <v>600</v>
      </c>
      <c r="X120" s="78">
        <f t="shared" si="6"/>
        <v>26580</v>
      </c>
      <c r="Y120" s="95">
        <f t="shared" si="10"/>
        <v>0.9999885888</v>
      </c>
    </row>
    <row r="121">
      <c r="A121" s="78" t="s">
        <v>343</v>
      </c>
      <c r="B121" s="78">
        <v>20.8</v>
      </c>
      <c r="C121" s="78">
        <f t="shared" si="1"/>
        <v>2496</v>
      </c>
      <c r="D121" s="78">
        <f t="shared" si="7"/>
        <v>600</v>
      </c>
      <c r="E121" s="78">
        <f t="shared" si="5"/>
        <v>27000</v>
      </c>
      <c r="F121" s="95">
        <f t="shared" si="8"/>
        <v>0.9999885888</v>
      </c>
      <c r="G121" s="69"/>
      <c r="T121" s="78" t="s">
        <v>344</v>
      </c>
      <c r="U121" s="78">
        <v>37.2</v>
      </c>
      <c r="V121" s="78">
        <f t="shared" si="3"/>
        <v>4464</v>
      </c>
      <c r="W121" s="78">
        <f t="shared" si="9"/>
        <v>600</v>
      </c>
      <c r="X121" s="78">
        <f t="shared" si="6"/>
        <v>27000</v>
      </c>
      <c r="Y121" s="95">
        <f t="shared" si="10"/>
        <v>0.9999885888</v>
      </c>
    </row>
    <row r="122">
      <c r="A122" s="78" t="s">
        <v>345</v>
      </c>
      <c r="B122" s="78">
        <v>37.4</v>
      </c>
      <c r="C122" s="78">
        <f t="shared" si="1"/>
        <v>4488</v>
      </c>
      <c r="D122" s="78">
        <f t="shared" si="7"/>
        <v>600</v>
      </c>
      <c r="E122" s="78">
        <f t="shared" si="5"/>
        <v>27000</v>
      </c>
      <c r="F122" s="95">
        <f t="shared" si="8"/>
        <v>0.9999885888</v>
      </c>
      <c r="G122" s="69"/>
      <c r="T122" s="78" t="s">
        <v>346</v>
      </c>
      <c r="U122" s="78">
        <v>3.0</v>
      </c>
      <c r="V122" s="78">
        <f t="shared" si="3"/>
        <v>360</v>
      </c>
      <c r="W122" s="78">
        <f t="shared" si="9"/>
        <v>600</v>
      </c>
      <c r="X122" s="78">
        <f t="shared" si="6"/>
        <v>26760</v>
      </c>
      <c r="Y122" s="95">
        <f t="shared" si="10"/>
        <v>0.9999885888</v>
      </c>
    </row>
    <row r="123">
      <c r="A123" s="78" t="s">
        <v>347</v>
      </c>
      <c r="B123" s="78">
        <v>9.8</v>
      </c>
      <c r="C123" s="78">
        <f t="shared" si="1"/>
        <v>1176</v>
      </c>
      <c r="D123" s="78">
        <f t="shared" si="7"/>
        <v>600</v>
      </c>
      <c r="E123" s="78">
        <f t="shared" si="5"/>
        <v>27000</v>
      </c>
      <c r="F123" s="95">
        <f t="shared" si="8"/>
        <v>0.9999885888</v>
      </c>
      <c r="G123" s="69"/>
      <c r="T123" s="78" t="s">
        <v>348</v>
      </c>
      <c r="U123" s="78">
        <v>0.0</v>
      </c>
      <c r="V123" s="78">
        <f t="shared" si="3"/>
        <v>0</v>
      </c>
      <c r="W123" s="78">
        <f t="shared" si="9"/>
        <v>600</v>
      </c>
      <c r="X123" s="78">
        <f t="shared" si="6"/>
        <v>26160</v>
      </c>
      <c r="Y123" s="95">
        <f t="shared" si="10"/>
        <v>0.9999885888</v>
      </c>
    </row>
    <row r="124">
      <c r="A124" s="78" t="s">
        <v>349</v>
      </c>
      <c r="B124" s="78">
        <v>1.9</v>
      </c>
      <c r="C124" s="78">
        <f t="shared" si="1"/>
        <v>228</v>
      </c>
      <c r="D124" s="78">
        <f t="shared" si="7"/>
        <v>600</v>
      </c>
      <c r="E124" s="78">
        <f t="shared" si="5"/>
        <v>26628</v>
      </c>
      <c r="F124" s="95">
        <f t="shared" si="8"/>
        <v>0.9999885888</v>
      </c>
      <c r="G124" s="69"/>
      <c r="T124" s="78" t="s">
        <v>350</v>
      </c>
      <c r="U124" s="78">
        <v>0.0</v>
      </c>
      <c r="V124" s="78">
        <f t="shared" si="3"/>
        <v>0</v>
      </c>
      <c r="W124" s="78">
        <f t="shared" si="9"/>
        <v>600</v>
      </c>
      <c r="X124" s="78">
        <f t="shared" si="6"/>
        <v>25560</v>
      </c>
      <c r="Y124" s="95">
        <f t="shared" si="10"/>
        <v>0.9999885888</v>
      </c>
    </row>
    <row r="125">
      <c r="A125" s="78" t="s">
        <v>351</v>
      </c>
      <c r="B125" s="78">
        <v>21.0</v>
      </c>
      <c r="C125" s="78">
        <f t="shared" si="1"/>
        <v>2520</v>
      </c>
      <c r="D125" s="78">
        <f t="shared" si="7"/>
        <v>600</v>
      </c>
      <c r="E125" s="78">
        <f t="shared" si="5"/>
        <v>27000</v>
      </c>
      <c r="F125" s="95">
        <f t="shared" si="8"/>
        <v>0.9999885888</v>
      </c>
      <c r="G125" s="69"/>
      <c r="T125" s="78" t="s">
        <v>352</v>
      </c>
      <c r="U125" s="78">
        <v>0.0</v>
      </c>
      <c r="V125" s="78">
        <f t="shared" si="3"/>
        <v>0</v>
      </c>
      <c r="W125" s="78">
        <f t="shared" si="9"/>
        <v>600</v>
      </c>
      <c r="X125" s="78">
        <f t="shared" si="6"/>
        <v>24960</v>
      </c>
      <c r="Y125" s="95">
        <f t="shared" si="10"/>
        <v>0.9999885888</v>
      </c>
    </row>
    <row r="126">
      <c r="A126" s="78" t="s">
        <v>353</v>
      </c>
      <c r="B126" s="78">
        <v>30.0</v>
      </c>
      <c r="C126" s="78">
        <f t="shared" si="1"/>
        <v>3600</v>
      </c>
      <c r="D126" s="78">
        <f t="shared" si="7"/>
        <v>600</v>
      </c>
      <c r="E126" s="78">
        <f t="shared" si="5"/>
        <v>27000</v>
      </c>
      <c r="F126" s="95">
        <f t="shared" si="8"/>
        <v>0.9999885888</v>
      </c>
      <c r="G126" s="69"/>
      <c r="T126" s="78" t="s">
        <v>354</v>
      </c>
      <c r="U126" s="78">
        <v>1.1</v>
      </c>
      <c r="V126" s="78">
        <f t="shared" si="3"/>
        <v>132</v>
      </c>
      <c r="W126" s="78">
        <f t="shared" si="9"/>
        <v>600</v>
      </c>
      <c r="X126" s="78">
        <f t="shared" si="6"/>
        <v>24492</v>
      </c>
      <c r="Y126" s="95">
        <f t="shared" si="10"/>
        <v>0.9999885888</v>
      </c>
    </row>
    <row r="127">
      <c r="A127" s="78" t="s">
        <v>355</v>
      </c>
      <c r="B127" s="78">
        <v>0.0</v>
      </c>
      <c r="C127" s="78">
        <f t="shared" si="1"/>
        <v>0</v>
      </c>
      <c r="D127" s="78">
        <f t="shared" si="7"/>
        <v>600</v>
      </c>
      <c r="E127" s="78">
        <f t="shared" si="5"/>
        <v>26400</v>
      </c>
      <c r="F127" s="95">
        <f t="shared" si="8"/>
        <v>0.9999885888</v>
      </c>
      <c r="G127" s="69"/>
      <c r="T127" s="78" t="s">
        <v>356</v>
      </c>
      <c r="U127" s="78">
        <v>0.4</v>
      </c>
      <c r="V127" s="78">
        <f t="shared" si="3"/>
        <v>48</v>
      </c>
      <c r="W127" s="78">
        <f t="shared" si="9"/>
        <v>600</v>
      </c>
      <c r="X127" s="78">
        <f t="shared" si="6"/>
        <v>23940</v>
      </c>
      <c r="Y127" s="95">
        <f t="shared" si="10"/>
        <v>0.9999885888</v>
      </c>
    </row>
    <row r="128">
      <c r="A128" s="78" t="s">
        <v>357</v>
      </c>
      <c r="B128" s="78">
        <v>4.4</v>
      </c>
      <c r="C128" s="78">
        <f t="shared" si="1"/>
        <v>528</v>
      </c>
      <c r="D128" s="78">
        <f t="shared" si="7"/>
        <v>600</v>
      </c>
      <c r="E128" s="78">
        <f t="shared" si="5"/>
        <v>26328</v>
      </c>
      <c r="F128" s="95">
        <f t="shared" si="8"/>
        <v>0.9999885888</v>
      </c>
      <c r="G128" s="69"/>
      <c r="T128" s="78" t="s">
        <v>358</v>
      </c>
      <c r="U128" s="78">
        <v>8.2</v>
      </c>
      <c r="V128" s="78">
        <f t="shared" si="3"/>
        <v>984</v>
      </c>
      <c r="W128" s="78">
        <f t="shared" si="9"/>
        <v>600</v>
      </c>
      <c r="X128" s="78">
        <f t="shared" si="6"/>
        <v>24324</v>
      </c>
      <c r="Y128" s="95">
        <f t="shared" si="10"/>
        <v>0.9999885888</v>
      </c>
    </row>
    <row r="129">
      <c r="A129" s="78" t="s">
        <v>359</v>
      </c>
      <c r="B129" s="78">
        <v>12.8</v>
      </c>
      <c r="C129" s="78">
        <f t="shared" si="1"/>
        <v>1536</v>
      </c>
      <c r="D129" s="78">
        <f t="shared" si="7"/>
        <v>600</v>
      </c>
      <c r="E129" s="78">
        <f t="shared" si="5"/>
        <v>27000</v>
      </c>
      <c r="F129" s="95">
        <f t="shared" si="8"/>
        <v>0.9999885888</v>
      </c>
      <c r="G129" s="69"/>
      <c r="T129" s="78" t="s">
        <v>360</v>
      </c>
      <c r="U129" s="78">
        <v>8.4</v>
      </c>
      <c r="V129" s="78">
        <f t="shared" si="3"/>
        <v>1008</v>
      </c>
      <c r="W129" s="78">
        <f t="shared" si="9"/>
        <v>600</v>
      </c>
      <c r="X129" s="78">
        <f t="shared" si="6"/>
        <v>24732</v>
      </c>
      <c r="Y129" s="95">
        <f t="shared" si="10"/>
        <v>0.9999885888</v>
      </c>
    </row>
    <row r="130">
      <c r="A130" s="78" t="s">
        <v>361</v>
      </c>
      <c r="B130" s="78">
        <v>26.0</v>
      </c>
      <c r="C130" s="78">
        <f t="shared" si="1"/>
        <v>3120</v>
      </c>
      <c r="D130" s="78">
        <f t="shared" si="7"/>
        <v>600</v>
      </c>
      <c r="E130" s="78">
        <f t="shared" si="5"/>
        <v>27000</v>
      </c>
      <c r="F130" s="95">
        <f t="shared" si="8"/>
        <v>0.9999885888</v>
      </c>
      <c r="G130" s="69"/>
      <c r="T130" s="78" t="s">
        <v>362</v>
      </c>
      <c r="U130" s="78">
        <v>1.8</v>
      </c>
      <c r="V130" s="78">
        <f t="shared" si="3"/>
        <v>216</v>
      </c>
      <c r="W130" s="78">
        <f t="shared" si="9"/>
        <v>600</v>
      </c>
      <c r="X130" s="78">
        <f t="shared" si="6"/>
        <v>24348</v>
      </c>
      <c r="Y130" s="95">
        <f t="shared" si="10"/>
        <v>0.9999885888</v>
      </c>
    </row>
    <row r="131">
      <c r="A131" s="78" t="s">
        <v>363</v>
      </c>
      <c r="B131" s="78">
        <v>1.8</v>
      </c>
      <c r="C131" s="78">
        <f t="shared" si="1"/>
        <v>216</v>
      </c>
      <c r="D131" s="78">
        <f t="shared" si="7"/>
        <v>600</v>
      </c>
      <c r="E131" s="78">
        <f t="shared" si="5"/>
        <v>26616</v>
      </c>
      <c r="F131" s="95">
        <f t="shared" si="8"/>
        <v>0.9999885888</v>
      </c>
      <c r="G131" s="69"/>
      <c r="T131" s="78" t="s">
        <v>364</v>
      </c>
      <c r="U131" s="78">
        <v>0.0</v>
      </c>
      <c r="V131" s="78">
        <f t="shared" si="3"/>
        <v>0</v>
      </c>
      <c r="W131" s="78">
        <f t="shared" si="9"/>
        <v>600</v>
      </c>
      <c r="X131" s="78">
        <f t="shared" si="6"/>
        <v>23748</v>
      </c>
      <c r="Y131" s="95">
        <f t="shared" si="10"/>
        <v>0.9999885888</v>
      </c>
    </row>
    <row r="132">
      <c r="A132" s="78" t="s">
        <v>365</v>
      </c>
      <c r="B132" s="78">
        <v>35.0</v>
      </c>
      <c r="C132" s="78">
        <f t="shared" si="1"/>
        <v>4200</v>
      </c>
      <c r="D132" s="78">
        <f t="shared" si="7"/>
        <v>600</v>
      </c>
      <c r="E132" s="78">
        <f t="shared" si="5"/>
        <v>27000</v>
      </c>
      <c r="F132" s="95">
        <f t="shared" si="8"/>
        <v>0.9999885888</v>
      </c>
      <c r="G132" s="69"/>
      <c r="T132" s="78" t="s">
        <v>366</v>
      </c>
      <c r="U132" s="78">
        <v>4.2</v>
      </c>
      <c r="V132" s="78">
        <f t="shared" si="3"/>
        <v>504</v>
      </c>
      <c r="W132" s="78">
        <f t="shared" si="9"/>
        <v>600</v>
      </c>
      <c r="X132" s="78">
        <f t="shared" si="6"/>
        <v>23652</v>
      </c>
      <c r="Y132" s="95">
        <f t="shared" si="10"/>
        <v>0.9999885888</v>
      </c>
    </row>
    <row r="133">
      <c r="A133" s="78" t="s">
        <v>367</v>
      </c>
      <c r="B133" s="78">
        <v>7.2</v>
      </c>
      <c r="C133" s="78">
        <f t="shared" si="1"/>
        <v>864</v>
      </c>
      <c r="D133" s="78">
        <f t="shared" si="7"/>
        <v>600</v>
      </c>
      <c r="E133" s="78">
        <f t="shared" si="5"/>
        <v>27000</v>
      </c>
      <c r="F133" s="95">
        <f t="shared" si="8"/>
        <v>0.9999885888</v>
      </c>
      <c r="G133" s="69"/>
      <c r="T133" s="78" t="s">
        <v>368</v>
      </c>
      <c r="U133" s="78">
        <v>22.4</v>
      </c>
      <c r="V133" s="78">
        <f t="shared" si="3"/>
        <v>2688</v>
      </c>
      <c r="W133" s="78">
        <f t="shared" si="9"/>
        <v>600</v>
      </c>
      <c r="X133" s="78">
        <f t="shared" si="6"/>
        <v>25740</v>
      </c>
      <c r="Y133" s="95">
        <f t="shared" si="10"/>
        <v>0.9999885888</v>
      </c>
    </row>
    <row r="134">
      <c r="A134" s="78" t="s">
        <v>369</v>
      </c>
      <c r="B134" s="78">
        <v>0.8</v>
      </c>
      <c r="C134" s="78">
        <f t="shared" si="1"/>
        <v>96</v>
      </c>
      <c r="D134" s="78">
        <f t="shared" si="7"/>
        <v>600</v>
      </c>
      <c r="E134" s="78">
        <f t="shared" si="5"/>
        <v>26496</v>
      </c>
      <c r="F134" s="95">
        <f t="shared" si="8"/>
        <v>0.9999885888</v>
      </c>
      <c r="G134" s="69"/>
      <c r="T134" s="78" t="s">
        <v>370</v>
      </c>
      <c r="U134" s="78">
        <v>15.4</v>
      </c>
      <c r="V134" s="78">
        <f t="shared" si="3"/>
        <v>1848</v>
      </c>
      <c r="W134" s="78">
        <f t="shared" si="9"/>
        <v>600</v>
      </c>
      <c r="X134" s="78">
        <f t="shared" si="6"/>
        <v>26988</v>
      </c>
      <c r="Y134" s="95">
        <f t="shared" si="10"/>
        <v>0.9999885888</v>
      </c>
    </row>
    <row r="135">
      <c r="A135" s="78" t="s">
        <v>371</v>
      </c>
      <c r="B135" s="78">
        <v>0.1</v>
      </c>
      <c r="C135" s="78">
        <f t="shared" si="1"/>
        <v>12</v>
      </c>
      <c r="D135" s="78">
        <f t="shared" si="7"/>
        <v>600</v>
      </c>
      <c r="E135" s="78">
        <f t="shared" si="5"/>
        <v>25908</v>
      </c>
      <c r="F135" s="95">
        <f t="shared" si="8"/>
        <v>0.9999885888</v>
      </c>
      <c r="G135" s="69"/>
      <c r="T135" s="78" t="s">
        <v>372</v>
      </c>
      <c r="U135" s="78">
        <v>27.6</v>
      </c>
      <c r="V135" s="78">
        <f t="shared" si="3"/>
        <v>3312</v>
      </c>
      <c r="W135" s="78">
        <f t="shared" si="9"/>
        <v>600</v>
      </c>
      <c r="X135" s="78">
        <f t="shared" si="6"/>
        <v>27000</v>
      </c>
      <c r="Y135" s="95">
        <f t="shared" si="10"/>
        <v>0.9999885888</v>
      </c>
    </row>
    <row r="136">
      <c r="A136" s="78" t="s">
        <v>373</v>
      </c>
      <c r="B136" s="78">
        <v>0.0</v>
      </c>
      <c r="C136" s="78">
        <f t="shared" si="1"/>
        <v>0</v>
      </c>
      <c r="D136" s="78">
        <f t="shared" si="7"/>
        <v>600</v>
      </c>
      <c r="E136" s="78">
        <f t="shared" si="5"/>
        <v>25308</v>
      </c>
      <c r="F136" s="95">
        <f t="shared" si="8"/>
        <v>0.9999885888</v>
      </c>
      <c r="G136" s="69"/>
      <c r="T136" s="78" t="s">
        <v>374</v>
      </c>
      <c r="U136" s="78">
        <v>4.8</v>
      </c>
      <c r="V136" s="78">
        <f t="shared" si="3"/>
        <v>576</v>
      </c>
      <c r="W136" s="78">
        <f t="shared" si="9"/>
        <v>600</v>
      </c>
      <c r="X136" s="78">
        <f t="shared" si="6"/>
        <v>26976</v>
      </c>
      <c r="Y136" s="95">
        <f t="shared" si="10"/>
        <v>0.9999885888</v>
      </c>
    </row>
    <row r="137">
      <c r="A137" s="78" t="s">
        <v>375</v>
      </c>
      <c r="B137" s="78">
        <v>0.0</v>
      </c>
      <c r="C137" s="78">
        <f t="shared" si="1"/>
        <v>0</v>
      </c>
      <c r="D137" s="78">
        <f t="shared" si="7"/>
        <v>600</v>
      </c>
      <c r="E137" s="78">
        <f t="shared" si="5"/>
        <v>24708</v>
      </c>
      <c r="F137" s="95">
        <f t="shared" si="8"/>
        <v>0.9999885888</v>
      </c>
      <c r="G137" s="69"/>
      <c r="T137" s="78" t="s">
        <v>376</v>
      </c>
      <c r="U137" s="78">
        <v>0.8</v>
      </c>
      <c r="V137" s="78">
        <f t="shared" si="3"/>
        <v>96</v>
      </c>
      <c r="W137" s="78">
        <f t="shared" si="9"/>
        <v>600</v>
      </c>
      <c r="X137" s="78">
        <f t="shared" si="6"/>
        <v>26472</v>
      </c>
      <c r="Y137" s="95">
        <f t="shared" si="10"/>
        <v>0.9999885888</v>
      </c>
    </row>
    <row r="138">
      <c r="A138" s="78" t="s">
        <v>377</v>
      </c>
      <c r="B138" s="78">
        <v>2.0</v>
      </c>
      <c r="C138" s="78">
        <f t="shared" si="1"/>
        <v>240</v>
      </c>
      <c r="D138" s="78">
        <f t="shared" si="7"/>
        <v>600</v>
      </c>
      <c r="E138" s="78">
        <f t="shared" si="5"/>
        <v>24348</v>
      </c>
      <c r="F138" s="95">
        <f t="shared" si="8"/>
        <v>0.9999885888</v>
      </c>
      <c r="G138" s="69"/>
      <c r="T138" s="78" t="s">
        <v>378</v>
      </c>
      <c r="U138" s="78">
        <v>0.0</v>
      </c>
      <c r="V138" s="78">
        <f t="shared" si="3"/>
        <v>0</v>
      </c>
      <c r="W138" s="78">
        <f t="shared" si="9"/>
        <v>600</v>
      </c>
      <c r="X138" s="78">
        <f t="shared" si="6"/>
        <v>25872</v>
      </c>
      <c r="Y138" s="95">
        <f t="shared" si="10"/>
        <v>0.9999885888</v>
      </c>
    </row>
    <row r="139">
      <c r="A139" s="78" t="s">
        <v>379</v>
      </c>
      <c r="B139" s="78">
        <v>4.6</v>
      </c>
      <c r="C139" s="78">
        <f t="shared" si="1"/>
        <v>552</v>
      </c>
      <c r="D139" s="78">
        <f t="shared" si="7"/>
        <v>600</v>
      </c>
      <c r="E139" s="78">
        <f t="shared" si="5"/>
        <v>24300</v>
      </c>
      <c r="F139" s="95">
        <f t="shared" si="8"/>
        <v>0.9999885888</v>
      </c>
      <c r="G139" s="69"/>
      <c r="T139" s="78" t="s">
        <v>380</v>
      </c>
      <c r="U139" s="78">
        <v>0.0</v>
      </c>
      <c r="V139" s="78">
        <f t="shared" si="3"/>
        <v>0</v>
      </c>
      <c r="W139" s="78">
        <f t="shared" si="9"/>
        <v>600</v>
      </c>
      <c r="X139" s="78">
        <f t="shared" si="6"/>
        <v>25272</v>
      </c>
      <c r="Y139" s="95">
        <f t="shared" si="10"/>
        <v>0.9999885888</v>
      </c>
    </row>
    <row r="140">
      <c r="A140" s="78" t="s">
        <v>381</v>
      </c>
      <c r="B140" s="78">
        <v>3.8</v>
      </c>
      <c r="C140" s="78">
        <f t="shared" si="1"/>
        <v>456</v>
      </c>
      <c r="D140" s="78">
        <f t="shared" si="7"/>
        <v>600</v>
      </c>
      <c r="E140" s="78">
        <f t="shared" si="5"/>
        <v>24156</v>
      </c>
      <c r="F140" s="95">
        <f t="shared" si="8"/>
        <v>0.9999885888</v>
      </c>
      <c r="G140" s="69"/>
      <c r="T140" s="78" t="s">
        <v>382</v>
      </c>
      <c r="U140" s="78">
        <v>19.8</v>
      </c>
      <c r="V140" s="78">
        <f t="shared" si="3"/>
        <v>2376</v>
      </c>
      <c r="W140" s="78">
        <f t="shared" si="9"/>
        <v>600</v>
      </c>
      <c r="X140" s="78">
        <f t="shared" si="6"/>
        <v>27000</v>
      </c>
      <c r="Y140" s="95">
        <f t="shared" si="10"/>
        <v>0.9999885888</v>
      </c>
    </row>
    <row r="141">
      <c r="A141" s="78" t="s">
        <v>383</v>
      </c>
      <c r="B141" s="78">
        <v>0.0</v>
      </c>
      <c r="C141" s="78">
        <f t="shared" si="1"/>
        <v>0</v>
      </c>
      <c r="D141" s="78">
        <f t="shared" si="7"/>
        <v>600</v>
      </c>
      <c r="E141" s="78">
        <f t="shared" si="5"/>
        <v>23556</v>
      </c>
      <c r="F141" s="95">
        <f t="shared" si="8"/>
        <v>0.9999885888</v>
      </c>
      <c r="G141" s="69"/>
      <c r="T141" s="78" t="s">
        <v>384</v>
      </c>
      <c r="U141" s="78">
        <v>0.4</v>
      </c>
      <c r="V141" s="78">
        <f t="shared" si="3"/>
        <v>48</v>
      </c>
      <c r="W141" s="78">
        <f t="shared" si="9"/>
        <v>600</v>
      </c>
      <c r="X141" s="78">
        <f t="shared" si="6"/>
        <v>26448</v>
      </c>
      <c r="Y141" s="95">
        <f t="shared" si="10"/>
        <v>0.9999885888</v>
      </c>
    </row>
    <row r="142">
      <c r="A142" s="78" t="s">
        <v>385</v>
      </c>
      <c r="B142" s="78">
        <v>0.0</v>
      </c>
      <c r="C142" s="78">
        <f t="shared" si="1"/>
        <v>0</v>
      </c>
      <c r="D142" s="78">
        <f t="shared" si="7"/>
        <v>600</v>
      </c>
      <c r="E142" s="78">
        <f t="shared" si="5"/>
        <v>22956</v>
      </c>
      <c r="F142" s="95">
        <f t="shared" si="8"/>
        <v>0.9999885888</v>
      </c>
      <c r="G142" s="69"/>
      <c r="T142" s="78" t="s">
        <v>386</v>
      </c>
      <c r="U142" s="78">
        <v>0.0</v>
      </c>
      <c r="V142" s="78">
        <f t="shared" si="3"/>
        <v>0</v>
      </c>
      <c r="W142" s="78">
        <f t="shared" si="9"/>
        <v>600</v>
      </c>
      <c r="X142" s="78">
        <f t="shared" si="6"/>
        <v>25848</v>
      </c>
      <c r="Y142" s="95">
        <f t="shared" si="10"/>
        <v>0.9999885888</v>
      </c>
    </row>
    <row r="143">
      <c r="A143" s="78" t="s">
        <v>387</v>
      </c>
      <c r="B143" s="78">
        <v>0.0</v>
      </c>
      <c r="C143" s="78">
        <f t="shared" si="1"/>
        <v>0</v>
      </c>
      <c r="D143" s="78">
        <f t="shared" si="7"/>
        <v>600</v>
      </c>
      <c r="E143" s="78">
        <f t="shared" si="5"/>
        <v>22356</v>
      </c>
      <c r="F143" s="95">
        <f t="shared" si="8"/>
        <v>0.9999885888</v>
      </c>
      <c r="G143" s="69"/>
      <c r="T143" s="78" t="s">
        <v>388</v>
      </c>
      <c r="U143" s="78">
        <v>0.0</v>
      </c>
      <c r="V143" s="78">
        <f t="shared" si="3"/>
        <v>0</v>
      </c>
      <c r="W143" s="78">
        <f t="shared" si="9"/>
        <v>600</v>
      </c>
      <c r="X143" s="78">
        <f t="shared" si="6"/>
        <v>25248</v>
      </c>
      <c r="Y143" s="95">
        <f t="shared" si="10"/>
        <v>0.9999885888</v>
      </c>
    </row>
    <row r="144">
      <c r="A144" s="78" t="s">
        <v>389</v>
      </c>
      <c r="B144" s="78">
        <v>0.0</v>
      </c>
      <c r="C144" s="78">
        <f t="shared" si="1"/>
        <v>0</v>
      </c>
      <c r="D144" s="78">
        <f t="shared" si="7"/>
        <v>600</v>
      </c>
      <c r="E144" s="78">
        <f t="shared" si="5"/>
        <v>21756</v>
      </c>
      <c r="F144" s="95">
        <f t="shared" si="8"/>
        <v>0.9999885888</v>
      </c>
      <c r="G144" s="69"/>
      <c r="T144" s="78" t="s">
        <v>390</v>
      </c>
      <c r="U144" s="78">
        <v>0.0</v>
      </c>
      <c r="V144" s="78">
        <f t="shared" si="3"/>
        <v>0</v>
      </c>
      <c r="W144" s="78">
        <f t="shared" si="9"/>
        <v>600</v>
      </c>
      <c r="X144" s="78">
        <f t="shared" si="6"/>
        <v>24648</v>
      </c>
      <c r="Y144" s="95">
        <f t="shared" si="10"/>
        <v>0.9999885888</v>
      </c>
    </row>
    <row r="145">
      <c r="A145" s="78" t="s">
        <v>391</v>
      </c>
      <c r="B145" s="78">
        <v>0.0</v>
      </c>
      <c r="C145" s="78">
        <f t="shared" si="1"/>
        <v>0</v>
      </c>
      <c r="D145" s="78">
        <f t="shared" si="7"/>
        <v>600</v>
      </c>
      <c r="E145" s="78">
        <f t="shared" si="5"/>
        <v>21156</v>
      </c>
      <c r="F145" s="95">
        <f t="shared" si="8"/>
        <v>0.9999885888</v>
      </c>
      <c r="G145" s="69"/>
      <c r="T145" s="78" t="s">
        <v>392</v>
      </c>
      <c r="U145" s="78">
        <v>0.0</v>
      </c>
      <c r="V145" s="78">
        <f t="shared" si="3"/>
        <v>0</v>
      </c>
      <c r="W145" s="78">
        <f t="shared" si="9"/>
        <v>600</v>
      </c>
      <c r="X145" s="78">
        <f t="shared" si="6"/>
        <v>24048</v>
      </c>
      <c r="Y145" s="95">
        <f t="shared" si="10"/>
        <v>0.9999885888</v>
      </c>
    </row>
    <row r="146">
      <c r="A146" s="78" t="s">
        <v>393</v>
      </c>
      <c r="B146" s="78">
        <v>0.2</v>
      </c>
      <c r="C146" s="78">
        <f t="shared" si="1"/>
        <v>24</v>
      </c>
      <c r="D146" s="78">
        <f t="shared" si="7"/>
        <v>600</v>
      </c>
      <c r="E146" s="78">
        <f t="shared" si="5"/>
        <v>20580</v>
      </c>
      <c r="F146" s="95">
        <f t="shared" si="8"/>
        <v>0.9999885888</v>
      </c>
      <c r="G146" s="69"/>
      <c r="T146" s="78" t="s">
        <v>394</v>
      </c>
      <c r="U146" s="78">
        <v>0.4</v>
      </c>
      <c r="V146" s="78">
        <f t="shared" si="3"/>
        <v>48</v>
      </c>
      <c r="W146" s="78">
        <f t="shared" si="9"/>
        <v>600</v>
      </c>
      <c r="X146" s="78">
        <f t="shared" si="6"/>
        <v>23496</v>
      </c>
      <c r="Y146" s="95">
        <f t="shared" si="10"/>
        <v>0.9999885888</v>
      </c>
    </row>
    <row r="147">
      <c r="A147" s="78" t="s">
        <v>395</v>
      </c>
      <c r="B147" s="78">
        <v>0.0</v>
      </c>
      <c r="C147" s="78">
        <f t="shared" si="1"/>
        <v>0</v>
      </c>
      <c r="D147" s="78">
        <f t="shared" si="7"/>
        <v>600</v>
      </c>
      <c r="E147" s="78">
        <f t="shared" si="5"/>
        <v>19980</v>
      </c>
      <c r="F147" s="95">
        <f t="shared" si="8"/>
        <v>0.9999885888</v>
      </c>
      <c r="G147" s="69"/>
      <c r="T147" s="78" t="s">
        <v>396</v>
      </c>
      <c r="U147" s="78">
        <v>0.0</v>
      </c>
      <c r="V147" s="78">
        <f t="shared" si="3"/>
        <v>0</v>
      </c>
      <c r="W147" s="78">
        <f t="shared" si="9"/>
        <v>600</v>
      </c>
      <c r="X147" s="78">
        <f t="shared" si="6"/>
        <v>22896</v>
      </c>
      <c r="Y147" s="95">
        <f t="shared" si="10"/>
        <v>0.9999885888</v>
      </c>
    </row>
    <row r="148">
      <c r="A148" s="78" t="s">
        <v>397</v>
      </c>
      <c r="B148" s="78">
        <v>0.2</v>
      </c>
      <c r="C148" s="78">
        <f t="shared" si="1"/>
        <v>24</v>
      </c>
      <c r="D148" s="78">
        <f t="shared" si="7"/>
        <v>600</v>
      </c>
      <c r="E148" s="78">
        <f t="shared" si="5"/>
        <v>19404</v>
      </c>
      <c r="F148" s="95">
        <f t="shared" si="8"/>
        <v>0.9999885888</v>
      </c>
      <c r="G148" s="69"/>
      <c r="T148" s="78" t="s">
        <v>398</v>
      </c>
      <c r="U148" s="78">
        <v>0.0</v>
      </c>
      <c r="V148" s="78">
        <f t="shared" si="3"/>
        <v>0</v>
      </c>
      <c r="W148" s="78">
        <f t="shared" si="9"/>
        <v>600</v>
      </c>
      <c r="X148" s="78">
        <f t="shared" si="6"/>
        <v>22296</v>
      </c>
      <c r="Y148" s="95">
        <f t="shared" si="10"/>
        <v>0.9999885888</v>
      </c>
    </row>
    <row r="149">
      <c r="A149" s="78" t="s">
        <v>399</v>
      </c>
      <c r="B149" s="78">
        <v>0.0</v>
      </c>
      <c r="C149" s="78">
        <f t="shared" si="1"/>
        <v>0</v>
      </c>
      <c r="D149" s="78">
        <f t="shared" si="7"/>
        <v>600</v>
      </c>
      <c r="E149" s="78">
        <f t="shared" si="5"/>
        <v>18804</v>
      </c>
      <c r="F149" s="95">
        <f t="shared" si="8"/>
        <v>0.9999885888</v>
      </c>
      <c r="G149" s="69"/>
      <c r="T149" s="78" t="s">
        <v>400</v>
      </c>
      <c r="U149" s="78">
        <v>0.0</v>
      </c>
      <c r="V149" s="78">
        <f t="shared" si="3"/>
        <v>0</v>
      </c>
      <c r="W149" s="78">
        <f t="shared" si="9"/>
        <v>600</v>
      </c>
      <c r="X149" s="78">
        <f t="shared" si="6"/>
        <v>21696</v>
      </c>
      <c r="Y149" s="95">
        <f t="shared" si="10"/>
        <v>0.9999885888</v>
      </c>
    </row>
    <row r="150">
      <c r="A150" s="78" t="s">
        <v>401</v>
      </c>
      <c r="B150" s="78">
        <v>0.0</v>
      </c>
      <c r="C150" s="78">
        <f t="shared" si="1"/>
        <v>0</v>
      </c>
      <c r="D150" s="78">
        <f t="shared" si="7"/>
        <v>600</v>
      </c>
      <c r="E150" s="78">
        <f t="shared" si="5"/>
        <v>18204</v>
      </c>
      <c r="F150" s="95">
        <f t="shared" si="8"/>
        <v>0.9999885888</v>
      </c>
      <c r="G150" s="69"/>
      <c r="T150" s="78" t="s">
        <v>402</v>
      </c>
      <c r="U150" s="78">
        <v>0.0</v>
      </c>
      <c r="V150" s="78">
        <f t="shared" si="3"/>
        <v>0</v>
      </c>
      <c r="W150" s="78">
        <f t="shared" si="9"/>
        <v>600</v>
      </c>
      <c r="X150" s="78">
        <f t="shared" si="6"/>
        <v>21096</v>
      </c>
      <c r="Y150" s="95">
        <f t="shared" si="10"/>
        <v>0.9999885888</v>
      </c>
    </row>
    <row r="151">
      <c r="A151" s="78" t="s">
        <v>403</v>
      </c>
      <c r="B151" s="78">
        <v>0.0</v>
      </c>
      <c r="C151" s="78">
        <f t="shared" si="1"/>
        <v>0</v>
      </c>
      <c r="D151" s="78">
        <f t="shared" si="7"/>
        <v>600</v>
      </c>
      <c r="E151" s="78">
        <f t="shared" si="5"/>
        <v>17604</v>
      </c>
      <c r="F151" s="95">
        <f t="shared" si="8"/>
        <v>0.9999885888</v>
      </c>
      <c r="G151" s="69"/>
      <c r="T151" s="78" t="s">
        <v>404</v>
      </c>
      <c r="U151" s="78">
        <v>0.0</v>
      </c>
      <c r="V151" s="78">
        <f t="shared" si="3"/>
        <v>0</v>
      </c>
      <c r="W151" s="78">
        <f t="shared" si="9"/>
        <v>600</v>
      </c>
      <c r="X151" s="78">
        <f t="shared" si="6"/>
        <v>20496</v>
      </c>
      <c r="Y151" s="95">
        <f t="shared" si="10"/>
        <v>0.9999885888</v>
      </c>
    </row>
    <row r="152">
      <c r="A152" s="78" t="s">
        <v>405</v>
      </c>
      <c r="B152" s="78">
        <v>2.8</v>
      </c>
      <c r="C152" s="78">
        <f t="shared" si="1"/>
        <v>336</v>
      </c>
      <c r="D152" s="78">
        <f t="shared" si="7"/>
        <v>600</v>
      </c>
      <c r="E152" s="78">
        <f t="shared" si="5"/>
        <v>17340</v>
      </c>
      <c r="F152" s="95">
        <f t="shared" si="8"/>
        <v>0.9999885888</v>
      </c>
      <c r="G152" s="69"/>
      <c r="T152" s="78" t="s">
        <v>406</v>
      </c>
      <c r="U152" s="78">
        <v>0.2</v>
      </c>
      <c r="V152" s="78">
        <f t="shared" si="3"/>
        <v>24</v>
      </c>
      <c r="W152" s="78">
        <f t="shared" si="9"/>
        <v>600</v>
      </c>
      <c r="X152" s="78">
        <f t="shared" si="6"/>
        <v>19920</v>
      </c>
      <c r="Y152" s="95">
        <f t="shared" si="10"/>
        <v>0.9999885888</v>
      </c>
    </row>
    <row r="153">
      <c r="A153" s="78" t="s">
        <v>407</v>
      </c>
      <c r="B153" s="78">
        <v>0.0</v>
      </c>
      <c r="C153" s="78">
        <f t="shared" si="1"/>
        <v>0</v>
      </c>
      <c r="D153" s="78">
        <f t="shared" si="7"/>
        <v>600</v>
      </c>
      <c r="E153" s="78">
        <f t="shared" si="5"/>
        <v>16740</v>
      </c>
      <c r="F153" s="95">
        <f t="shared" si="8"/>
        <v>0.9999885888</v>
      </c>
      <c r="G153" s="69"/>
      <c r="T153" s="78" t="s">
        <v>408</v>
      </c>
      <c r="U153" s="78">
        <v>0.0</v>
      </c>
      <c r="V153" s="78">
        <f t="shared" si="3"/>
        <v>0</v>
      </c>
      <c r="W153" s="78">
        <f t="shared" si="9"/>
        <v>600</v>
      </c>
      <c r="X153" s="78">
        <f t="shared" si="6"/>
        <v>19320</v>
      </c>
      <c r="Y153" s="95">
        <f t="shared" si="10"/>
        <v>0.9999885888</v>
      </c>
    </row>
    <row r="154">
      <c r="A154" s="78" t="s">
        <v>409</v>
      </c>
      <c r="B154" s="78">
        <v>0.0</v>
      </c>
      <c r="C154" s="78">
        <f t="shared" si="1"/>
        <v>0</v>
      </c>
      <c r="D154" s="78">
        <f t="shared" si="7"/>
        <v>600</v>
      </c>
      <c r="E154" s="78">
        <f t="shared" si="5"/>
        <v>16140</v>
      </c>
      <c r="F154" s="95">
        <f t="shared" si="8"/>
        <v>0.9999885888</v>
      </c>
      <c r="G154" s="69"/>
      <c r="T154" s="78" t="s">
        <v>410</v>
      </c>
      <c r="U154" s="78">
        <v>0.0</v>
      </c>
      <c r="V154" s="78">
        <f t="shared" si="3"/>
        <v>0</v>
      </c>
      <c r="W154" s="78">
        <f t="shared" si="9"/>
        <v>600</v>
      </c>
      <c r="X154" s="78">
        <f t="shared" si="6"/>
        <v>18720</v>
      </c>
      <c r="Y154" s="95">
        <f t="shared" si="10"/>
        <v>0.9999885888</v>
      </c>
    </row>
    <row r="155">
      <c r="A155" s="78" t="s">
        <v>411</v>
      </c>
      <c r="B155" s="78">
        <v>0.0</v>
      </c>
      <c r="C155" s="78">
        <f t="shared" si="1"/>
        <v>0</v>
      </c>
      <c r="D155" s="78">
        <f t="shared" si="7"/>
        <v>600</v>
      </c>
      <c r="E155" s="78">
        <f t="shared" si="5"/>
        <v>15540</v>
      </c>
      <c r="F155" s="95">
        <f t="shared" si="8"/>
        <v>0.9999885888</v>
      </c>
      <c r="G155" s="69"/>
      <c r="T155" s="78" t="s">
        <v>412</v>
      </c>
      <c r="U155" s="78">
        <v>0.0</v>
      </c>
      <c r="V155" s="78">
        <f t="shared" si="3"/>
        <v>0</v>
      </c>
      <c r="W155" s="78">
        <f t="shared" si="9"/>
        <v>600</v>
      </c>
      <c r="X155" s="78">
        <f t="shared" si="6"/>
        <v>18120</v>
      </c>
      <c r="Y155" s="95">
        <f t="shared" si="10"/>
        <v>0.9999885888</v>
      </c>
    </row>
    <row r="156">
      <c r="A156" s="78" t="s">
        <v>413</v>
      </c>
      <c r="B156" s="78">
        <v>0.0</v>
      </c>
      <c r="C156" s="78">
        <f t="shared" si="1"/>
        <v>0</v>
      </c>
      <c r="D156" s="78">
        <f t="shared" si="7"/>
        <v>600</v>
      </c>
      <c r="E156" s="78">
        <f t="shared" si="5"/>
        <v>14940</v>
      </c>
      <c r="F156" s="95">
        <f t="shared" si="8"/>
        <v>0.9999885888</v>
      </c>
      <c r="G156" s="69"/>
      <c r="T156" s="78" t="s">
        <v>414</v>
      </c>
      <c r="U156" s="78">
        <v>0.0</v>
      </c>
      <c r="V156" s="78">
        <f t="shared" si="3"/>
        <v>0</v>
      </c>
      <c r="W156" s="78">
        <f t="shared" si="9"/>
        <v>600</v>
      </c>
      <c r="X156" s="78">
        <f t="shared" si="6"/>
        <v>17520</v>
      </c>
      <c r="Y156" s="95">
        <f t="shared" si="10"/>
        <v>0.9999885888</v>
      </c>
    </row>
    <row r="157">
      <c r="A157" s="78" t="s">
        <v>415</v>
      </c>
      <c r="B157" s="78">
        <v>8.2</v>
      </c>
      <c r="C157" s="78">
        <f t="shared" si="1"/>
        <v>984</v>
      </c>
      <c r="D157" s="78">
        <f t="shared" si="7"/>
        <v>600</v>
      </c>
      <c r="E157" s="78">
        <f t="shared" si="5"/>
        <v>15324</v>
      </c>
      <c r="F157" s="95">
        <f t="shared" si="8"/>
        <v>0.9999885888</v>
      </c>
      <c r="G157" s="69"/>
      <c r="T157" s="78" t="s">
        <v>416</v>
      </c>
      <c r="U157" s="78">
        <v>0.0</v>
      </c>
      <c r="V157" s="78">
        <f t="shared" si="3"/>
        <v>0</v>
      </c>
      <c r="W157" s="78">
        <f t="shared" si="9"/>
        <v>600</v>
      </c>
      <c r="X157" s="78">
        <f t="shared" si="6"/>
        <v>16920</v>
      </c>
      <c r="Y157" s="95">
        <f t="shared" si="10"/>
        <v>0.9999885888</v>
      </c>
    </row>
    <row r="158">
      <c r="A158" s="78" t="s">
        <v>417</v>
      </c>
      <c r="B158" s="78">
        <v>29.6</v>
      </c>
      <c r="C158" s="78">
        <f t="shared" si="1"/>
        <v>3552</v>
      </c>
      <c r="D158" s="78">
        <f t="shared" si="7"/>
        <v>600</v>
      </c>
      <c r="E158" s="78">
        <f t="shared" si="5"/>
        <v>18276</v>
      </c>
      <c r="F158" s="95">
        <f t="shared" si="8"/>
        <v>0.9999885888</v>
      </c>
      <c r="G158" s="69"/>
      <c r="T158" s="78" t="s">
        <v>418</v>
      </c>
      <c r="U158" s="78">
        <v>0.2</v>
      </c>
      <c r="V158" s="78">
        <f t="shared" si="3"/>
        <v>24</v>
      </c>
      <c r="W158" s="78">
        <f t="shared" si="9"/>
        <v>600</v>
      </c>
      <c r="X158" s="78">
        <f t="shared" si="6"/>
        <v>16344</v>
      </c>
      <c r="Y158" s="95">
        <f t="shared" si="10"/>
        <v>0.9999885888</v>
      </c>
    </row>
    <row r="159">
      <c r="A159" s="78" t="s">
        <v>419</v>
      </c>
      <c r="B159" s="78">
        <v>0.8</v>
      </c>
      <c r="C159" s="78">
        <f t="shared" si="1"/>
        <v>96</v>
      </c>
      <c r="D159" s="78">
        <f t="shared" si="7"/>
        <v>600</v>
      </c>
      <c r="E159" s="78">
        <f t="shared" si="5"/>
        <v>17772</v>
      </c>
      <c r="F159" s="95">
        <f t="shared" si="8"/>
        <v>0.9999885888</v>
      </c>
      <c r="G159" s="69"/>
      <c r="T159" s="78" t="s">
        <v>420</v>
      </c>
      <c r="U159" s="78">
        <v>0.2</v>
      </c>
      <c r="V159" s="78">
        <f t="shared" si="3"/>
        <v>24</v>
      </c>
      <c r="W159" s="78">
        <f t="shared" si="9"/>
        <v>600</v>
      </c>
      <c r="X159" s="78">
        <f t="shared" si="6"/>
        <v>15768</v>
      </c>
      <c r="Y159" s="95">
        <f t="shared" si="10"/>
        <v>0.9999885888</v>
      </c>
    </row>
    <row r="160">
      <c r="A160" s="78" t="s">
        <v>421</v>
      </c>
      <c r="B160" s="78">
        <v>5.2</v>
      </c>
      <c r="C160" s="78">
        <f t="shared" si="1"/>
        <v>624</v>
      </c>
      <c r="D160" s="78">
        <f t="shared" si="7"/>
        <v>600</v>
      </c>
      <c r="E160" s="78">
        <f t="shared" si="5"/>
        <v>17796</v>
      </c>
      <c r="F160" s="95">
        <f t="shared" si="8"/>
        <v>0.9999885888</v>
      </c>
      <c r="G160" s="69"/>
      <c r="T160" s="78" t="s">
        <v>422</v>
      </c>
      <c r="U160" s="78">
        <v>0.0</v>
      </c>
      <c r="V160" s="78">
        <f t="shared" si="3"/>
        <v>0</v>
      </c>
      <c r="W160" s="78">
        <f t="shared" si="9"/>
        <v>600</v>
      </c>
      <c r="X160" s="78">
        <f t="shared" si="6"/>
        <v>15168</v>
      </c>
      <c r="Y160" s="95">
        <f t="shared" si="10"/>
        <v>0.9999885888</v>
      </c>
    </row>
    <row r="161">
      <c r="A161" s="78" t="s">
        <v>423</v>
      </c>
      <c r="B161" s="78">
        <v>23.4</v>
      </c>
      <c r="C161" s="78">
        <f t="shared" si="1"/>
        <v>2808</v>
      </c>
      <c r="D161" s="78">
        <f t="shared" si="7"/>
        <v>600</v>
      </c>
      <c r="E161" s="78">
        <f t="shared" si="5"/>
        <v>20004</v>
      </c>
      <c r="F161" s="95">
        <f t="shared" si="8"/>
        <v>0.9999885888</v>
      </c>
      <c r="G161" s="69"/>
      <c r="T161" s="78" t="s">
        <v>424</v>
      </c>
      <c r="U161" s="78">
        <v>0.0</v>
      </c>
      <c r="V161" s="78">
        <f t="shared" si="3"/>
        <v>0</v>
      </c>
      <c r="W161" s="78">
        <f t="shared" si="9"/>
        <v>600</v>
      </c>
      <c r="X161" s="78">
        <f t="shared" si="6"/>
        <v>14568</v>
      </c>
      <c r="Y161" s="95">
        <f t="shared" si="10"/>
        <v>0.9999885888</v>
      </c>
    </row>
    <row r="162">
      <c r="A162" s="78" t="s">
        <v>425</v>
      </c>
      <c r="B162" s="78">
        <v>0.0</v>
      </c>
      <c r="C162" s="78">
        <f t="shared" si="1"/>
        <v>0</v>
      </c>
      <c r="D162" s="78">
        <f t="shared" si="7"/>
        <v>600</v>
      </c>
      <c r="E162" s="78">
        <f t="shared" si="5"/>
        <v>19404</v>
      </c>
      <c r="F162" s="95">
        <f t="shared" si="8"/>
        <v>0.9999885888</v>
      </c>
      <c r="G162" s="69"/>
      <c r="T162" s="78" t="s">
        <v>426</v>
      </c>
      <c r="U162" s="78">
        <v>0.0</v>
      </c>
      <c r="V162" s="78">
        <f t="shared" si="3"/>
        <v>0</v>
      </c>
      <c r="W162" s="78">
        <f t="shared" si="9"/>
        <v>600</v>
      </c>
      <c r="X162" s="78">
        <f t="shared" si="6"/>
        <v>13968</v>
      </c>
      <c r="Y162" s="95">
        <f t="shared" si="10"/>
        <v>0.9999885888</v>
      </c>
    </row>
    <row r="163">
      <c r="A163" s="78" t="s">
        <v>427</v>
      </c>
      <c r="B163" s="78">
        <v>4.4</v>
      </c>
      <c r="C163" s="78">
        <f t="shared" si="1"/>
        <v>528</v>
      </c>
      <c r="D163" s="78">
        <f t="shared" si="7"/>
        <v>600</v>
      </c>
      <c r="E163" s="78">
        <f t="shared" si="5"/>
        <v>19332</v>
      </c>
      <c r="F163" s="95">
        <f t="shared" si="8"/>
        <v>0.9999885888</v>
      </c>
      <c r="G163" s="69"/>
      <c r="T163" s="78" t="s">
        <v>428</v>
      </c>
      <c r="U163" s="78">
        <v>0.0</v>
      </c>
      <c r="V163" s="78">
        <f t="shared" si="3"/>
        <v>0</v>
      </c>
      <c r="W163" s="78">
        <f t="shared" si="9"/>
        <v>600</v>
      </c>
      <c r="X163" s="78">
        <f t="shared" si="6"/>
        <v>13368</v>
      </c>
      <c r="Y163" s="95">
        <f t="shared" si="10"/>
        <v>0.9999885888</v>
      </c>
    </row>
    <row r="164">
      <c r="A164" s="78" t="s">
        <v>429</v>
      </c>
      <c r="B164" s="78">
        <v>0.0</v>
      </c>
      <c r="C164" s="78">
        <f t="shared" si="1"/>
        <v>0</v>
      </c>
      <c r="D164" s="78">
        <f t="shared" si="7"/>
        <v>600</v>
      </c>
      <c r="E164" s="78">
        <f t="shared" si="5"/>
        <v>18732</v>
      </c>
      <c r="F164" s="95">
        <f t="shared" si="8"/>
        <v>0.9999885888</v>
      </c>
      <c r="G164" s="69"/>
      <c r="T164" s="78" t="s">
        <v>430</v>
      </c>
      <c r="U164" s="78">
        <v>0.0</v>
      </c>
      <c r="V164" s="78">
        <f t="shared" si="3"/>
        <v>0</v>
      </c>
      <c r="W164" s="78">
        <f t="shared" si="9"/>
        <v>600</v>
      </c>
      <c r="X164" s="78">
        <f t="shared" si="6"/>
        <v>12768</v>
      </c>
      <c r="Y164" s="95">
        <f t="shared" si="10"/>
        <v>0.9999885888</v>
      </c>
    </row>
    <row r="165">
      <c r="A165" s="78" t="s">
        <v>431</v>
      </c>
      <c r="B165" s="78">
        <v>0.0</v>
      </c>
      <c r="C165" s="78">
        <f t="shared" si="1"/>
        <v>0</v>
      </c>
      <c r="D165" s="78">
        <f t="shared" si="7"/>
        <v>600</v>
      </c>
      <c r="E165" s="78">
        <f t="shared" si="5"/>
        <v>18132</v>
      </c>
      <c r="F165" s="95">
        <f t="shared" si="8"/>
        <v>0.9999885888</v>
      </c>
      <c r="G165" s="69"/>
      <c r="T165" s="78" t="s">
        <v>432</v>
      </c>
      <c r="U165" s="78">
        <v>0.0</v>
      </c>
      <c r="V165" s="78">
        <f t="shared" si="3"/>
        <v>0</v>
      </c>
      <c r="W165" s="78">
        <f t="shared" si="9"/>
        <v>600</v>
      </c>
      <c r="X165" s="78">
        <f t="shared" si="6"/>
        <v>12168</v>
      </c>
      <c r="Y165" s="95">
        <f t="shared" si="10"/>
        <v>0.9999885888</v>
      </c>
    </row>
    <row r="166">
      <c r="A166" s="78" t="s">
        <v>433</v>
      </c>
      <c r="B166" s="78">
        <v>0.0</v>
      </c>
      <c r="C166" s="78">
        <f t="shared" si="1"/>
        <v>0</v>
      </c>
      <c r="D166" s="78">
        <f t="shared" si="7"/>
        <v>600</v>
      </c>
      <c r="E166" s="78">
        <f t="shared" si="5"/>
        <v>17532</v>
      </c>
      <c r="F166" s="95">
        <f t="shared" si="8"/>
        <v>0.9999885888</v>
      </c>
      <c r="G166" s="69"/>
      <c r="T166" s="78" t="s">
        <v>434</v>
      </c>
      <c r="U166" s="78">
        <v>0.0</v>
      </c>
      <c r="V166" s="78">
        <f t="shared" si="3"/>
        <v>0</v>
      </c>
      <c r="W166" s="78">
        <f t="shared" si="9"/>
        <v>600</v>
      </c>
      <c r="X166" s="78">
        <f t="shared" si="6"/>
        <v>11568</v>
      </c>
      <c r="Y166" s="95">
        <f t="shared" si="10"/>
        <v>0.9999885888</v>
      </c>
    </row>
    <row r="167">
      <c r="A167" s="78" t="s">
        <v>435</v>
      </c>
      <c r="B167" s="78">
        <v>0.0</v>
      </c>
      <c r="C167" s="78">
        <f t="shared" si="1"/>
        <v>0</v>
      </c>
      <c r="D167" s="78">
        <f t="shared" si="7"/>
        <v>600</v>
      </c>
      <c r="E167" s="78">
        <f t="shared" si="5"/>
        <v>16932</v>
      </c>
      <c r="F167" s="95">
        <f t="shared" si="8"/>
        <v>0.9999885888</v>
      </c>
      <c r="G167" s="69"/>
      <c r="T167" s="78" t="s">
        <v>436</v>
      </c>
      <c r="U167" s="78">
        <v>0.0</v>
      </c>
      <c r="V167" s="78">
        <f t="shared" si="3"/>
        <v>0</v>
      </c>
      <c r="W167" s="78">
        <f t="shared" si="9"/>
        <v>600</v>
      </c>
      <c r="X167" s="78">
        <f t="shared" si="6"/>
        <v>10968</v>
      </c>
      <c r="Y167" s="95">
        <f t="shared" si="10"/>
        <v>0.9999885888</v>
      </c>
    </row>
    <row r="168">
      <c r="A168" s="78" t="s">
        <v>437</v>
      </c>
      <c r="B168" s="78">
        <v>0.0</v>
      </c>
      <c r="C168" s="78">
        <f t="shared" si="1"/>
        <v>0</v>
      </c>
      <c r="D168" s="78">
        <f t="shared" si="7"/>
        <v>600</v>
      </c>
      <c r="E168" s="78">
        <f t="shared" si="5"/>
        <v>16332</v>
      </c>
      <c r="F168" s="95">
        <f t="shared" si="8"/>
        <v>0.9999885888</v>
      </c>
      <c r="G168" s="69"/>
      <c r="T168" s="78" t="s">
        <v>438</v>
      </c>
      <c r="U168" s="78">
        <v>7.4</v>
      </c>
      <c r="V168" s="78">
        <f t="shared" si="3"/>
        <v>888</v>
      </c>
      <c r="W168" s="78">
        <f t="shared" si="9"/>
        <v>600</v>
      </c>
      <c r="X168" s="78">
        <f t="shared" si="6"/>
        <v>11256</v>
      </c>
      <c r="Y168" s="95">
        <f t="shared" si="10"/>
        <v>0.9999885888</v>
      </c>
    </row>
    <row r="169">
      <c r="A169" s="78" t="s">
        <v>439</v>
      </c>
      <c r="B169" s="78">
        <v>0.0</v>
      </c>
      <c r="C169" s="78">
        <f t="shared" si="1"/>
        <v>0</v>
      </c>
      <c r="D169" s="78">
        <f t="shared" si="7"/>
        <v>600</v>
      </c>
      <c r="E169" s="78">
        <f t="shared" si="5"/>
        <v>15732</v>
      </c>
      <c r="F169" s="95">
        <f t="shared" si="8"/>
        <v>0.9999885888</v>
      </c>
      <c r="G169" s="69"/>
      <c r="T169" s="78" t="s">
        <v>440</v>
      </c>
      <c r="U169" s="78">
        <v>2.8</v>
      </c>
      <c r="V169" s="78">
        <f t="shared" si="3"/>
        <v>336</v>
      </c>
      <c r="W169" s="78">
        <f t="shared" si="9"/>
        <v>600</v>
      </c>
      <c r="X169" s="78">
        <f t="shared" si="6"/>
        <v>10992</v>
      </c>
      <c r="Y169" s="95">
        <f t="shared" si="10"/>
        <v>0.9999885888</v>
      </c>
    </row>
    <row r="170">
      <c r="A170" s="78" t="s">
        <v>441</v>
      </c>
      <c r="B170" s="78">
        <v>0.0</v>
      </c>
      <c r="C170" s="78">
        <f t="shared" si="1"/>
        <v>0</v>
      </c>
      <c r="D170" s="78">
        <f t="shared" si="7"/>
        <v>600</v>
      </c>
      <c r="E170" s="78">
        <f t="shared" si="5"/>
        <v>15132</v>
      </c>
      <c r="F170" s="95">
        <f t="shared" si="8"/>
        <v>0.9999885888</v>
      </c>
      <c r="G170" s="69"/>
      <c r="T170" s="78" t="s">
        <v>442</v>
      </c>
      <c r="U170" s="78">
        <v>0.0</v>
      </c>
      <c r="V170" s="78">
        <f t="shared" si="3"/>
        <v>0</v>
      </c>
      <c r="W170" s="78">
        <f t="shared" si="9"/>
        <v>600</v>
      </c>
      <c r="X170" s="78">
        <f t="shared" si="6"/>
        <v>10392</v>
      </c>
      <c r="Y170" s="95">
        <f t="shared" si="10"/>
        <v>0.9999885888</v>
      </c>
    </row>
    <row r="171">
      <c r="A171" s="78" t="s">
        <v>443</v>
      </c>
      <c r="B171" s="78">
        <v>0.0</v>
      </c>
      <c r="C171" s="78">
        <f t="shared" si="1"/>
        <v>0</v>
      </c>
      <c r="D171" s="78">
        <f t="shared" si="7"/>
        <v>600</v>
      </c>
      <c r="E171" s="78">
        <f t="shared" si="5"/>
        <v>14532</v>
      </c>
      <c r="F171" s="95">
        <f t="shared" si="8"/>
        <v>0.9999885888</v>
      </c>
      <c r="G171" s="69"/>
      <c r="T171" s="78" t="s">
        <v>444</v>
      </c>
      <c r="U171" s="78">
        <v>0.0</v>
      </c>
      <c r="V171" s="78">
        <f t="shared" si="3"/>
        <v>0</v>
      </c>
      <c r="W171" s="78">
        <f t="shared" si="9"/>
        <v>600</v>
      </c>
      <c r="X171" s="78">
        <f t="shared" si="6"/>
        <v>9792</v>
      </c>
      <c r="Y171" s="95">
        <f t="shared" si="10"/>
        <v>0.9999885888</v>
      </c>
    </row>
    <row r="172">
      <c r="A172" s="78" t="s">
        <v>445</v>
      </c>
      <c r="B172" s="78">
        <v>0.0</v>
      </c>
      <c r="C172" s="78">
        <f t="shared" si="1"/>
        <v>0</v>
      </c>
      <c r="D172" s="78">
        <f t="shared" si="7"/>
        <v>600</v>
      </c>
      <c r="E172" s="78">
        <f t="shared" si="5"/>
        <v>13932</v>
      </c>
      <c r="F172" s="95">
        <f t="shared" si="8"/>
        <v>0.9999885888</v>
      </c>
      <c r="G172" s="69"/>
      <c r="T172" s="78" t="s">
        <v>446</v>
      </c>
      <c r="U172" s="78">
        <v>0.0</v>
      </c>
      <c r="V172" s="78">
        <f t="shared" si="3"/>
        <v>0</v>
      </c>
      <c r="W172" s="78">
        <f t="shared" si="9"/>
        <v>600</v>
      </c>
      <c r="X172" s="78">
        <f t="shared" si="6"/>
        <v>9192</v>
      </c>
      <c r="Y172" s="95">
        <f t="shared" si="10"/>
        <v>0.9999885888</v>
      </c>
    </row>
    <row r="173">
      <c r="A173" s="78" t="s">
        <v>447</v>
      </c>
      <c r="B173" s="78">
        <v>0.0</v>
      </c>
      <c r="C173" s="78">
        <f t="shared" si="1"/>
        <v>0</v>
      </c>
      <c r="D173" s="78">
        <f t="shared" si="7"/>
        <v>600</v>
      </c>
      <c r="E173" s="78">
        <f t="shared" si="5"/>
        <v>13332</v>
      </c>
      <c r="F173" s="95">
        <f t="shared" si="8"/>
        <v>0.9999885888</v>
      </c>
      <c r="G173" s="69"/>
      <c r="T173" s="78" t="s">
        <v>448</v>
      </c>
      <c r="U173" s="78">
        <v>0.0</v>
      </c>
      <c r="V173" s="78">
        <f t="shared" si="3"/>
        <v>0</v>
      </c>
      <c r="W173" s="78">
        <f t="shared" si="9"/>
        <v>600</v>
      </c>
      <c r="X173" s="78">
        <f t="shared" si="6"/>
        <v>8592</v>
      </c>
      <c r="Y173" s="95">
        <f t="shared" si="10"/>
        <v>0.9999885888</v>
      </c>
    </row>
    <row r="174">
      <c r="A174" s="78" t="s">
        <v>449</v>
      </c>
      <c r="B174" s="78">
        <v>0.0</v>
      </c>
      <c r="C174" s="78">
        <f t="shared" si="1"/>
        <v>0</v>
      </c>
      <c r="D174" s="78">
        <f t="shared" si="7"/>
        <v>600</v>
      </c>
      <c r="E174" s="78">
        <f t="shared" si="5"/>
        <v>12732</v>
      </c>
      <c r="F174" s="95">
        <f t="shared" si="8"/>
        <v>0.9999885888</v>
      </c>
      <c r="G174" s="69"/>
      <c r="T174" s="78" t="s">
        <v>450</v>
      </c>
      <c r="U174" s="78">
        <v>0.0</v>
      </c>
      <c r="V174" s="78">
        <f t="shared" si="3"/>
        <v>0</v>
      </c>
      <c r="W174" s="78">
        <f t="shared" si="9"/>
        <v>600</v>
      </c>
      <c r="X174" s="78">
        <f t="shared" si="6"/>
        <v>7992</v>
      </c>
      <c r="Y174" s="95">
        <f t="shared" si="10"/>
        <v>0.9999885888</v>
      </c>
    </row>
    <row r="175">
      <c r="A175" s="78" t="s">
        <v>451</v>
      </c>
      <c r="B175" s="78">
        <v>0.2</v>
      </c>
      <c r="C175" s="78">
        <f t="shared" si="1"/>
        <v>24</v>
      </c>
      <c r="D175" s="78">
        <f t="shared" si="7"/>
        <v>600</v>
      </c>
      <c r="E175" s="78">
        <f t="shared" si="5"/>
        <v>12156</v>
      </c>
      <c r="F175" s="95">
        <f t="shared" si="8"/>
        <v>0.9999885888</v>
      </c>
      <c r="G175" s="69"/>
      <c r="T175" s="78" t="s">
        <v>452</v>
      </c>
      <c r="U175" s="78">
        <v>0.0</v>
      </c>
      <c r="V175" s="78">
        <f t="shared" si="3"/>
        <v>0</v>
      </c>
      <c r="W175" s="78">
        <f t="shared" si="9"/>
        <v>600</v>
      </c>
      <c r="X175" s="78">
        <f t="shared" si="6"/>
        <v>7392</v>
      </c>
      <c r="Y175" s="95">
        <f t="shared" si="10"/>
        <v>0.9999885888</v>
      </c>
    </row>
    <row r="176">
      <c r="A176" s="78" t="s">
        <v>453</v>
      </c>
      <c r="B176" s="78">
        <v>0.0</v>
      </c>
      <c r="C176" s="78">
        <f t="shared" si="1"/>
        <v>0</v>
      </c>
      <c r="D176" s="78">
        <f t="shared" si="7"/>
        <v>600</v>
      </c>
      <c r="E176" s="78">
        <f t="shared" si="5"/>
        <v>11556</v>
      </c>
      <c r="F176" s="95">
        <f t="shared" si="8"/>
        <v>0.9999885888</v>
      </c>
      <c r="G176" s="69"/>
      <c r="T176" s="78" t="s">
        <v>454</v>
      </c>
      <c r="U176" s="78">
        <v>0.0</v>
      </c>
      <c r="V176" s="78">
        <f t="shared" si="3"/>
        <v>0</v>
      </c>
      <c r="W176" s="78">
        <f t="shared" si="9"/>
        <v>600</v>
      </c>
      <c r="X176" s="78">
        <f t="shared" si="6"/>
        <v>6792</v>
      </c>
      <c r="Y176" s="95">
        <f t="shared" si="10"/>
        <v>0.9999885888</v>
      </c>
    </row>
    <row r="177">
      <c r="A177" s="78" t="s">
        <v>455</v>
      </c>
      <c r="B177" s="78">
        <v>0.0</v>
      </c>
      <c r="C177" s="78">
        <f t="shared" si="1"/>
        <v>0</v>
      </c>
      <c r="D177" s="78">
        <f t="shared" si="7"/>
        <v>600</v>
      </c>
      <c r="E177" s="78">
        <f t="shared" si="5"/>
        <v>10956</v>
      </c>
      <c r="F177" s="95">
        <f t="shared" si="8"/>
        <v>0.9999885888</v>
      </c>
      <c r="G177" s="69"/>
      <c r="T177" s="78" t="s">
        <v>456</v>
      </c>
      <c r="U177" s="78">
        <v>0.0</v>
      </c>
      <c r="V177" s="78">
        <f t="shared" si="3"/>
        <v>0</v>
      </c>
      <c r="W177" s="78">
        <f t="shared" si="9"/>
        <v>600</v>
      </c>
      <c r="X177" s="78">
        <f t="shared" si="6"/>
        <v>6192</v>
      </c>
      <c r="Y177" s="95">
        <f t="shared" si="10"/>
        <v>0.9999885888</v>
      </c>
    </row>
    <row r="178">
      <c r="A178" s="78" t="s">
        <v>457</v>
      </c>
      <c r="B178" s="78">
        <v>0.0</v>
      </c>
      <c r="C178" s="78">
        <f t="shared" si="1"/>
        <v>0</v>
      </c>
      <c r="D178" s="78">
        <f t="shared" si="7"/>
        <v>600</v>
      </c>
      <c r="E178" s="78">
        <f t="shared" si="5"/>
        <v>10356</v>
      </c>
      <c r="F178" s="95">
        <f t="shared" si="8"/>
        <v>0.9999885888</v>
      </c>
      <c r="G178" s="69"/>
      <c r="T178" s="78" t="s">
        <v>458</v>
      </c>
      <c r="U178" s="78">
        <v>0.0</v>
      </c>
      <c r="V178" s="78">
        <f t="shared" si="3"/>
        <v>0</v>
      </c>
      <c r="W178" s="78">
        <f t="shared" si="9"/>
        <v>600</v>
      </c>
      <c r="X178" s="78">
        <f t="shared" si="6"/>
        <v>5592</v>
      </c>
      <c r="Y178" s="95">
        <f t="shared" si="10"/>
        <v>0.9999885888</v>
      </c>
    </row>
    <row r="179">
      <c r="A179" s="78" t="s">
        <v>459</v>
      </c>
      <c r="B179" s="78">
        <v>0.0</v>
      </c>
      <c r="C179" s="78">
        <f t="shared" si="1"/>
        <v>0</v>
      </c>
      <c r="D179" s="78">
        <f t="shared" si="7"/>
        <v>600</v>
      </c>
      <c r="E179" s="78">
        <f t="shared" si="5"/>
        <v>9756</v>
      </c>
      <c r="F179" s="95">
        <f t="shared" si="8"/>
        <v>0.9999885888</v>
      </c>
      <c r="G179" s="69"/>
      <c r="T179" s="78" t="s">
        <v>460</v>
      </c>
      <c r="U179" s="78">
        <v>0.0</v>
      </c>
      <c r="V179" s="78">
        <f t="shared" si="3"/>
        <v>0</v>
      </c>
      <c r="W179" s="78">
        <f t="shared" si="9"/>
        <v>600</v>
      </c>
      <c r="X179" s="78">
        <f t="shared" si="6"/>
        <v>4992</v>
      </c>
      <c r="Y179" s="95">
        <f t="shared" si="10"/>
        <v>0.9999885888</v>
      </c>
    </row>
    <row r="180">
      <c r="A180" s="78" t="s">
        <v>461</v>
      </c>
      <c r="B180" s="78">
        <v>0.0</v>
      </c>
      <c r="C180" s="78">
        <f t="shared" si="1"/>
        <v>0</v>
      </c>
      <c r="D180" s="78">
        <f t="shared" si="7"/>
        <v>600</v>
      </c>
      <c r="E180" s="78">
        <f t="shared" si="5"/>
        <v>9156</v>
      </c>
      <c r="F180" s="95">
        <f t="shared" si="8"/>
        <v>0.9999885888</v>
      </c>
      <c r="G180" s="69"/>
      <c r="T180" s="78" t="s">
        <v>462</v>
      </c>
      <c r="U180" s="78">
        <v>0.0</v>
      </c>
      <c r="V180" s="78">
        <f t="shared" si="3"/>
        <v>0</v>
      </c>
      <c r="W180" s="78">
        <f t="shared" si="9"/>
        <v>600</v>
      </c>
      <c r="X180" s="78">
        <f t="shared" si="6"/>
        <v>4392</v>
      </c>
      <c r="Y180" s="95">
        <f t="shared" si="10"/>
        <v>0.9999885888</v>
      </c>
    </row>
    <row r="181">
      <c r="A181" s="78" t="s">
        <v>463</v>
      </c>
      <c r="B181" s="78">
        <v>3.6</v>
      </c>
      <c r="C181" s="78">
        <f t="shared" si="1"/>
        <v>432</v>
      </c>
      <c r="D181" s="78">
        <f t="shared" si="7"/>
        <v>600</v>
      </c>
      <c r="E181" s="78">
        <f t="shared" si="5"/>
        <v>8988</v>
      </c>
      <c r="F181" s="95">
        <f t="shared" si="8"/>
        <v>0.9999885888</v>
      </c>
      <c r="G181" s="69"/>
      <c r="T181" s="78" t="s">
        <v>464</v>
      </c>
      <c r="U181" s="78">
        <v>0.0</v>
      </c>
      <c r="V181" s="78">
        <f t="shared" si="3"/>
        <v>0</v>
      </c>
      <c r="W181" s="78">
        <f t="shared" si="9"/>
        <v>600</v>
      </c>
      <c r="X181" s="78">
        <f t="shared" si="6"/>
        <v>3792</v>
      </c>
      <c r="Y181" s="95">
        <f t="shared" si="10"/>
        <v>0.9999885888</v>
      </c>
    </row>
    <row r="182">
      <c r="A182" s="78" t="s">
        <v>465</v>
      </c>
      <c r="B182" s="78">
        <v>0.0</v>
      </c>
      <c r="C182" s="78">
        <f t="shared" si="1"/>
        <v>0</v>
      </c>
      <c r="D182" s="78">
        <f t="shared" si="7"/>
        <v>600</v>
      </c>
      <c r="E182" s="78">
        <f t="shared" si="5"/>
        <v>8388</v>
      </c>
      <c r="F182" s="95">
        <f t="shared" si="8"/>
        <v>0.9999885888</v>
      </c>
      <c r="G182" s="69"/>
      <c r="T182" s="78" t="s">
        <v>466</v>
      </c>
      <c r="U182" s="78">
        <v>0.0</v>
      </c>
      <c r="V182" s="78">
        <f t="shared" si="3"/>
        <v>0</v>
      </c>
      <c r="W182" s="78">
        <f t="shared" si="9"/>
        <v>600</v>
      </c>
      <c r="X182" s="78">
        <f t="shared" si="6"/>
        <v>3192</v>
      </c>
      <c r="Y182" s="95">
        <f t="shared" si="10"/>
        <v>0.9999885888</v>
      </c>
    </row>
    <row r="183">
      <c r="A183" s="78" t="s">
        <v>467</v>
      </c>
      <c r="B183" s="78">
        <v>0.0</v>
      </c>
      <c r="C183" s="78">
        <f t="shared" si="1"/>
        <v>0</v>
      </c>
      <c r="D183" s="78">
        <f t="shared" si="7"/>
        <v>600</v>
      </c>
      <c r="E183" s="78">
        <f t="shared" si="5"/>
        <v>7788</v>
      </c>
      <c r="F183" s="95">
        <f t="shared" si="8"/>
        <v>0.9999885888</v>
      </c>
      <c r="G183" s="69"/>
      <c r="T183" s="78" t="s">
        <v>468</v>
      </c>
      <c r="U183" s="78">
        <v>0.0</v>
      </c>
      <c r="V183" s="78">
        <f t="shared" si="3"/>
        <v>0</v>
      </c>
      <c r="W183" s="78">
        <f t="shared" si="9"/>
        <v>600</v>
      </c>
      <c r="X183" s="78">
        <f t="shared" si="6"/>
        <v>2592</v>
      </c>
      <c r="Y183" s="95">
        <f t="shared" si="10"/>
        <v>0.9999885888</v>
      </c>
    </row>
    <row r="184">
      <c r="A184" s="78" t="s">
        <v>469</v>
      </c>
      <c r="B184" s="78">
        <v>0.0</v>
      </c>
      <c r="C184" s="78">
        <f t="shared" si="1"/>
        <v>0</v>
      </c>
      <c r="D184" s="78">
        <f t="shared" si="7"/>
        <v>600</v>
      </c>
      <c r="E184" s="78">
        <f t="shared" si="5"/>
        <v>7188</v>
      </c>
      <c r="F184" s="95">
        <f t="shared" si="8"/>
        <v>0.9999885888</v>
      </c>
      <c r="G184" s="69"/>
      <c r="T184" s="78" t="s">
        <v>470</v>
      </c>
      <c r="U184" s="78">
        <v>0.0</v>
      </c>
      <c r="V184" s="78">
        <f t="shared" si="3"/>
        <v>0</v>
      </c>
      <c r="W184" s="78">
        <f t="shared" si="9"/>
        <v>600</v>
      </c>
      <c r="X184" s="78">
        <f t="shared" si="6"/>
        <v>1992</v>
      </c>
      <c r="Y184" s="95">
        <f t="shared" si="10"/>
        <v>0.9999885888</v>
      </c>
    </row>
    <row r="185">
      <c r="A185" s="78" t="s">
        <v>471</v>
      </c>
      <c r="B185" s="78">
        <v>1.6</v>
      </c>
      <c r="C185" s="78">
        <f t="shared" si="1"/>
        <v>192</v>
      </c>
      <c r="D185" s="78">
        <f t="shared" si="7"/>
        <v>600</v>
      </c>
      <c r="E185" s="78">
        <f t="shared" si="5"/>
        <v>6780</v>
      </c>
      <c r="F185" s="95">
        <f t="shared" si="8"/>
        <v>0.9999885888</v>
      </c>
      <c r="G185" s="69"/>
      <c r="T185" s="78" t="s">
        <v>472</v>
      </c>
      <c r="U185" s="78">
        <v>7.0</v>
      </c>
      <c r="V185" s="78">
        <f t="shared" si="3"/>
        <v>840</v>
      </c>
      <c r="W185" s="78">
        <f t="shared" si="9"/>
        <v>600</v>
      </c>
      <c r="X185" s="78">
        <f t="shared" si="6"/>
        <v>2232</v>
      </c>
      <c r="Y185" s="95">
        <f t="shared" si="10"/>
        <v>0.9999885888</v>
      </c>
    </row>
    <row r="186">
      <c r="A186" s="78" t="s">
        <v>473</v>
      </c>
      <c r="B186" s="78">
        <v>20.8</v>
      </c>
      <c r="C186" s="78">
        <f t="shared" si="1"/>
        <v>2496</v>
      </c>
      <c r="D186" s="78">
        <f t="shared" si="7"/>
        <v>600</v>
      </c>
      <c r="E186" s="78">
        <f t="shared" si="5"/>
        <v>8676</v>
      </c>
      <c r="F186" s="95">
        <f t="shared" si="8"/>
        <v>0.9999885888</v>
      </c>
      <c r="G186" s="69"/>
      <c r="T186" s="78" t="s">
        <v>474</v>
      </c>
      <c r="U186" s="78">
        <v>0.0</v>
      </c>
      <c r="V186" s="78">
        <f t="shared" si="3"/>
        <v>0</v>
      </c>
      <c r="W186" s="78">
        <f t="shared" si="9"/>
        <v>600</v>
      </c>
      <c r="X186" s="78">
        <f t="shared" si="6"/>
        <v>1632</v>
      </c>
      <c r="Y186" s="95">
        <f t="shared" si="10"/>
        <v>0.9999885888</v>
      </c>
    </row>
    <row r="187">
      <c r="A187" s="78" t="s">
        <v>475</v>
      </c>
      <c r="B187" s="78">
        <v>3.2</v>
      </c>
      <c r="C187" s="78">
        <f t="shared" si="1"/>
        <v>384</v>
      </c>
      <c r="D187" s="78">
        <f t="shared" si="7"/>
        <v>600</v>
      </c>
      <c r="E187" s="78">
        <f t="shared" si="5"/>
        <v>8460</v>
      </c>
      <c r="F187" s="95">
        <f t="shared" si="8"/>
        <v>0.9999885888</v>
      </c>
      <c r="G187" s="69"/>
      <c r="T187" s="78" t="s">
        <v>476</v>
      </c>
      <c r="U187" s="78">
        <v>0.0</v>
      </c>
      <c r="V187" s="78">
        <f t="shared" si="3"/>
        <v>0</v>
      </c>
      <c r="W187" s="78">
        <f t="shared" si="9"/>
        <v>600</v>
      </c>
      <c r="X187" s="78">
        <f t="shared" si="6"/>
        <v>1032</v>
      </c>
      <c r="Y187" s="95">
        <f t="shared" si="10"/>
        <v>0.9999885888</v>
      </c>
    </row>
    <row r="188">
      <c r="A188" s="78" t="s">
        <v>477</v>
      </c>
      <c r="B188" s="78">
        <v>1.2</v>
      </c>
      <c r="C188" s="78">
        <f t="shared" si="1"/>
        <v>144</v>
      </c>
      <c r="D188" s="78">
        <f t="shared" si="7"/>
        <v>600</v>
      </c>
      <c r="E188" s="78">
        <f t="shared" si="5"/>
        <v>8004</v>
      </c>
      <c r="F188" s="95">
        <f t="shared" si="8"/>
        <v>0.9999885888</v>
      </c>
      <c r="G188" s="69"/>
      <c r="T188" s="78" t="s">
        <v>478</v>
      </c>
      <c r="U188" s="78">
        <v>0.0</v>
      </c>
      <c r="V188" s="78">
        <f t="shared" si="3"/>
        <v>0</v>
      </c>
      <c r="W188" s="78">
        <f t="shared" si="9"/>
        <v>600</v>
      </c>
      <c r="X188" s="78">
        <f t="shared" si="6"/>
        <v>432</v>
      </c>
      <c r="Y188" s="95">
        <f t="shared" si="10"/>
        <v>0.9999885888</v>
      </c>
    </row>
    <row r="189">
      <c r="A189" s="78" t="s">
        <v>479</v>
      </c>
      <c r="B189" s="78">
        <v>0.0</v>
      </c>
      <c r="C189" s="78">
        <f t="shared" si="1"/>
        <v>0</v>
      </c>
      <c r="D189" s="78">
        <f t="shared" si="7"/>
        <v>600</v>
      </c>
      <c r="E189" s="78">
        <f t="shared" si="5"/>
        <v>7404</v>
      </c>
      <c r="F189" s="95">
        <f t="shared" si="8"/>
        <v>0.9999885888</v>
      </c>
      <c r="G189" s="69"/>
      <c r="T189" s="78" t="s">
        <v>480</v>
      </c>
      <c r="U189" s="78">
        <v>0.0</v>
      </c>
      <c r="V189" s="78">
        <f t="shared" si="3"/>
        <v>0</v>
      </c>
      <c r="W189" s="78">
        <f t="shared" si="9"/>
        <v>600</v>
      </c>
      <c r="X189" s="78">
        <f t="shared" si="6"/>
        <v>0</v>
      </c>
      <c r="Y189" s="95">
        <f t="shared" si="10"/>
        <v>0.9999885888</v>
      </c>
    </row>
    <row r="190">
      <c r="A190" s="78" t="s">
        <v>481</v>
      </c>
      <c r="B190" s="78">
        <v>15.4</v>
      </c>
      <c r="C190" s="78">
        <f t="shared" si="1"/>
        <v>1848</v>
      </c>
      <c r="D190" s="78">
        <f t="shared" si="7"/>
        <v>600</v>
      </c>
      <c r="E190" s="78">
        <f t="shared" si="5"/>
        <v>8652</v>
      </c>
      <c r="F190" s="95">
        <f t="shared" si="8"/>
        <v>0.9999885888</v>
      </c>
      <c r="G190" s="69"/>
      <c r="T190" s="78" t="s">
        <v>482</v>
      </c>
      <c r="U190" s="78">
        <v>1.4</v>
      </c>
      <c r="V190" s="78">
        <f t="shared" si="3"/>
        <v>168</v>
      </c>
      <c r="W190" s="78">
        <f t="shared" si="9"/>
        <v>600</v>
      </c>
      <c r="X190" s="78">
        <f t="shared" si="6"/>
        <v>0</v>
      </c>
      <c r="Y190" s="95">
        <f t="shared" si="10"/>
        <v>0.9999885888</v>
      </c>
    </row>
    <row r="191">
      <c r="A191" s="78" t="s">
        <v>483</v>
      </c>
      <c r="B191" s="78">
        <v>1.2</v>
      </c>
      <c r="C191" s="78">
        <f t="shared" si="1"/>
        <v>144</v>
      </c>
      <c r="D191" s="78">
        <f t="shared" si="7"/>
        <v>600</v>
      </c>
      <c r="E191" s="78">
        <f t="shared" si="5"/>
        <v>8196</v>
      </c>
      <c r="F191" s="95">
        <f t="shared" si="8"/>
        <v>0.9999885888</v>
      </c>
      <c r="G191" s="69"/>
      <c r="T191" s="78" t="s">
        <v>484</v>
      </c>
      <c r="U191" s="78">
        <v>13.4</v>
      </c>
      <c r="V191" s="78">
        <f t="shared" si="3"/>
        <v>1608</v>
      </c>
      <c r="W191" s="78">
        <f t="shared" si="9"/>
        <v>600</v>
      </c>
      <c r="X191" s="78">
        <f t="shared" si="6"/>
        <v>1008</v>
      </c>
      <c r="Y191" s="95">
        <f t="shared" si="10"/>
        <v>0.9999885888</v>
      </c>
    </row>
    <row r="192">
      <c r="A192" s="78" t="s">
        <v>485</v>
      </c>
      <c r="B192" s="78">
        <v>0.0</v>
      </c>
      <c r="C192" s="78">
        <f t="shared" si="1"/>
        <v>0</v>
      </c>
      <c r="D192" s="78">
        <f t="shared" si="7"/>
        <v>600</v>
      </c>
      <c r="E192" s="78">
        <f t="shared" si="5"/>
        <v>7596</v>
      </c>
      <c r="F192" s="95">
        <f t="shared" si="8"/>
        <v>0.9999885888</v>
      </c>
      <c r="G192" s="69"/>
      <c r="T192" s="78" t="s">
        <v>486</v>
      </c>
      <c r="U192" s="78">
        <v>4.0</v>
      </c>
      <c r="V192" s="78">
        <f t="shared" si="3"/>
        <v>480</v>
      </c>
      <c r="W192" s="78">
        <f t="shared" si="9"/>
        <v>600</v>
      </c>
      <c r="X192" s="78">
        <f t="shared" si="6"/>
        <v>888</v>
      </c>
      <c r="Y192" s="95">
        <f t="shared" si="10"/>
        <v>0.9999885888</v>
      </c>
    </row>
    <row r="193">
      <c r="A193" s="78" t="s">
        <v>487</v>
      </c>
      <c r="B193" s="78">
        <v>5.8</v>
      </c>
      <c r="C193" s="78">
        <f t="shared" si="1"/>
        <v>696</v>
      </c>
      <c r="D193" s="78">
        <f t="shared" si="7"/>
        <v>600</v>
      </c>
      <c r="E193" s="78">
        <f t="shared" si="5"/>
        <v>7692</v>
      </c>
      <c r="F193" s="95">
        <f t="shared" si="8"/>
        <v>0.9999885888</v>
      </c>
      <c r="G193" s="69"/>
      <c r="T193" s="78" t="s">
        <v>488</v>
      </c>
      <c r="U193" s="78">
        <v>0.0</v>
      </c>
      <c r="V193" s="78">
        <f t="shared" si="3"/>
        <v>0</v>
      </c>
      <c r="W193" s="78">
        <f t="shared" si="9"/>
        <v>600</v>
      </c>
      <c r="X193" s="78">
        <f t="shared" si="6"/>
        <v>288</v>
      </c>
      <c r="Y193" s="95">
        <f t="shared" si="10"/>
        <v>0.9999885888</v>
      </c>
    </row>
    <row r="194">
      <c r="A194" s="78" t="s">
        <v>489</v>
      </c>
      <c r="B194" s="78">
        <v>20.4</v>
      </c>
      <c r="C194" s="78">
        <f t="shared" si="1"/>
        <v>2448</v>
      </c>
      <c r="D194" s="78">
        <f t="shared" si="7"/>
        <v>600</v>
      </c>
      <c r="E194" s="78">
        <f t="shared" si="5"/>
        <v>9540</v>
      </c>
      <c r="F194" s="95">
        <f t="shared" si="8"/>
        <v>0.9999885888</v>
      </c>
      <c r="G194" s="69"/>
      <c r="T194" s="78" t="s">
        <v>490</v>
      </c>
      <c r="U194" s="78">
        <v>0.0</v>
      </c>
      <c r="V194" s="78">
        <f t="shared" si="3"/>
        <v>0</v>
      </c>
      <c r="W194" s="78">
        <f t="shared" si="9"/>
        <v>600</v>
      </c>
      <c r="X194" s="78">
        <f t="shared" si="6"/>
        <v>0</v>
      </c>
      <c r="Y194" s="95">
        <f t="shared" si="10"/>
        <v>0.9999885888</v>
      </c>
    </row>
    <row r="195">
      <c r="A195" s="78" t="s">
        <v>491</v>
      </c>
      <c r="B195" s="78">
        <v>20.4</v>
      </c>
      <c r="C195" s="78">
        <f t="shared" si="1"/>
        <v>2448</v>
      </c>
      <c r="D195" s="78">
        <f t="shared" si="7"/>
        <v>600</v>
      </c>
      <c r="E195" s="78">
        <f t="shared" si="5"/>
        <v>11388</v>
      </c>
      <c r="F195" s="95">
        <f t="shared" si="8"/>
        <v>0.9999885888</v>
      </c>
      <c r="G195" s="69"/>
      <c r="T195" s="78" t="s">
        <v>492</v>
      </c>
      <c r="U195" s="78">
        <v>0.0</v>
      </c>
      <c r="V195" s="78">
        <f t="shared" si="3"/>
        <v>0</v>
      </c>
      <c r="W195" s="78">
        <f t="shared" si="9"/>
        <v>600</v>
      </c>
      <c r="X195" s="78">
        <f t="shared" si="6"/>
        <v>0</v>
      </c>
      <c r="Y195" s="95">
        <f t="shared" si="10"/>
        <v>0.9999885888</v>
      </c>
    </row>
    <row r="196">
      <c r="A196" s="78" t="s">
        <v>493</v>
      </c>
      <c r="B196" s="78">
        <v>0.6</v>
      </c>
      <c r="C196" s="78">
        <f t="shared" si="1"/>
        <v>72</v>
      </c>
      <c r="D196" s="78">
        <f t="shared" si="7"/>
        <v>600</v>
      </c>
      <c r="E196" s="78">
        <f t="shared" si="5"/>
        <v>10860</v>
      </c>
      <c r="F196" s="95">
        <f t="shared" si="8"/>
        <v>0.9999885888</v>
      </c>
      <c r="G196" s="69"/>
      <c r="T196" s="78" t="s">
        <v>494</v>
      </c>
      <c r="U196" s="78">
        <v>0.0</v>
      </c>
      <c r="V196" s="78">
        <f t="shared" si="3"/>
        <v>0</v>
      </c>
      <c r="W196" s="78">
        <f t="shared" si="9"/>
        <v>600</v>
      </c>
      <c r="X196" s="78">
        <f t="shared" si="6"/>
        <v>0</v>
      </c>
      <c r="Y196" s="95">
        <f t="shared" si="10"/>
        <v>0.9999885888</v>
      </c>
    </row>
    <row r="197">
      <c r="A197" s="78" t="s">
        <v>495</v>
      </c>
      <c r="B197" s="78">
        <v>0.0</v>
      </c>
      <c r="C197" s="78">
        <f t="shared" si="1"/>
        <v>0</v>
      </c>
      <c r="D197" s="78">
        <f t="shared" si="7"/>
        <v>600</v>
      </c>
      <c r="E197" s="78">
        <f t="shared" si="5"/>
        <v>10260</v>
      </c>
      <c r="F197" s="95">
        <f t="shared" si="8"/>
        <v>0.9999885888</v>
      </c>
      <c r="G197" s="69"/>
      <c r="T197" s="78" t="s">
        <v>496</v>
      </c>
      <c r="U197" s="78">
        <v>0.0</v>
      </c>
      <c r="V197" s="78">
        <f t="shared" si="3"/>
        <v>0</v>
      </c>
      <c r="W197" s="78">
        <f t="shared" si="9"/>
        <v>600</v>
      </c>
      <c r="X197" s="78">
        <f t="shared" si="6"/>
        <v>0</v>
      </c>
      <c r="Y197" s="95">
        <f t="shared" si="10"/>
        <v>0.9999885888</v>
      </c>
    </row>
    <row r="198">
      <c r="A198" s="78" t="s">
        <v>497</v>
      </c>
      <c r="B198" s="78">
        <v>0.0</v>
      </c>
      <c r="C198" s="78">
        <f t="shared" si="1"/>
        <v>0</v>
      </c>
      <c r="D198" s="78">
        <f t="shared" si="7"/>
        <v>600</v>
      </c>
      <c r="E198" s="78">
        <f t="shared" si="5"/>
        <v>9660</v>
      </c>
      <c r="F198" s="95">
        <f t="shared" si="8"/>
        <v>0.9999885888</v>
      </c>
      <c r="G198" s="69"/>
      <c r="T198" s="78" t="s">
        <v>498</v>
      </c>
      <c r="U198" s="78">
        <v>0.0</v>
      </c>
      <c r="V198" s="78">
        <f t="shared" si="3"/>
        <v>0</v>
      </c>
      <c r="W198" s="78">
        <f t="shared" si="9"/>
        <v>600</v>
      </c>
      <c r="X198" s="78">
        <f t="shared" si="6"/>
        <v>0</v>
      </c>
      <c r="Y198" s="95">
        <f t="shared" si="10"/>
        <v>0.9999885888</v>
      </c>
    </row>
    <row r="199">
      <c r="A199" s="78" t="s">
        <v>499</v>
      </c>
      <c r="B199" s="78">
        <v>1.8</v>
      </c>
      <c r="C199" s="78">
        <f t="shared" si="1"/>
        <v>216</v>
      </c>
      <c r="D199" s="78">
        <f t="shared" si="7"/>
        <v>600</v>
      </c>
      <c r="E199" s="78">
        <f t="shared" si="5"/>
        <v>9276</v>
      </c>
      <c r="F199" s="95">
        <f t="shared" si="8"/>
        <v>0.9999885888</v>
      </c>
      <c r="G199" s="69"/>
      <c r="T199" s="78" t="s">
        <v>500</v>
      </c>
      <c r="U199" s="78">
        <v>0.0</v>
      </c>
      <c r="V199" s="78">
        <f t="shared" si="3"/>
        <v>0</v>
      </c>
      <c r="W199" s="78">
        <f t="shared" si="9"/>
        <v>600</v>
      </c>
      <c r="X199" s="78">
        <f t="shared" si="6"/>
        <v>0</v>
      </c>
      <c r="Y199" s="95">
        <f t="shared" si="10"/>
        <v>0.9999885888</v>
      </c>
    </row>
    <row r="200">
      <c r="A200" s="78" t="s">
        <v>501</v>
      </c>
      <c r="B200" s="78">
        <v>6.2</v>
      </c>
      <c r="C200" s="78">
        <f t="shared" si="1"/>
        <v>744</v>
      </c>
      <c r="D200" s="78">
        <f t="shared" si="7"/>
        <v>600</v>
      </c>
      <c r="E200" s="78">
        <f t="shared" si="5"/>
        <v>9420</v>
      </c>
      <c r="F200" s="95">
        <f t="shared" si="8"/>
        <v>0.9999885888</v>
      </c>
      <c r="G200" s="69"/>
      <c r="T200" s="78" t="s">
        <v>502</v>
      </c>
      <c r="U200" s="78">
        <v>0.0</v>
      </c>
      <c r="V200" s="78">
        <f t="shared" si="3"/>
        <v>0</v>
      </c>
      <c r="W200" s="78">
        <f t="shared" si="9"/>
        <v>600</v>
      </c>
      <c r="X200" s="78">
        <f t="shared" si="6"/>
        <v>0</v>
      </c>
      <c r="Y200" s="95">
        <f t="shared" si="10"/>
        <v>0.9999885888</v>
      </c>
    </row>
    <row r="201">
      <c r="A201" s="78" t="s">
        <v>503</v>
      </c>
      <c r="B201" s="78">
        <v>9.4</v>
      </c>
      <c r="C201" s="78">
        <f t="shared" si="1"/>
        <v>1128</v>
      </c>
      <c r="D201" s="78">
        <f t="shared" si="7"/>
        <v>600</v>
      </c>
      <c r="E201" s="78">
        <f t="shared" si="5"/>
        <v>9948</v>
      </c>
      <c r="F201" s="95">
        <f t="shared" si="8"/>
        <v>0.9999885888</v>
      </c>
      <c r="G201" s="69"/>
      <c r="T201" s="78" t="s">
        <v>504</v>
      </c>
      <c r="U201" s="78">
        <v>0.0</v>
      </c>
      <c r="V201" s="78">
        <f t="shared" si="3"/>
        <v>0</v>
      </c>
      <c r="W201" s="78">
        <f t="shared" si="9"/>
        <v>600</v>
      </c>
      <c r="X201" s="78">
        <f t="shared" si="6"/>
        <v>0</v>
      </c>
      <c r="Y201" s="95">
        <f t="shared" si="10"/>
        <v>0.9999885888</v>
      </c>
    </row>
    <row r="202">
      <c r="A202" s="78" t="s">
        <v>505</v>
      </c>
      <c r="B202" s="78">
        <v>26.6</v>
      </c>
      <c r="C202" s="78">
        <f t="shared" si="1"/>
        <v>3192</v>
      </c>
      <c r="D202" s="78">
        <f t="shared" si="7"/>
        <v>600</v>
      </c>
      <c r="E202" s="78">
        <f t="shared" si="5"/>
        <v>12540</v>
      </c>
      <c r="F202" s="95">
        <f t="shared" si="8"/>
        <v>0.9999885888</v>
      </c>
      <c r="G202" s="69"/>
      <c r="T202" s="78" t="s">
        <v>506</v>
      </c>
      <c r="U202" s="78">
        <v>0.0</v>
      </c>
      <c r="V202" s="78">
        <f t="shared" si="3"/>
        <v>0</v>
      </c>
      <c r="W202" s="78">
        <f t="shared" si="9"/>
        <v>600</v>
      </c>
      <c r="X202" s="78">
        <f t="shared" si="6"/>
        <v>0</v>
      </c>
      <c r="Y202" s="95">
        <f t="shared" si="10"/>
        <v>0.9999885888</v>
      </c>
    </row>
    <row r="203">
      <c r="A203" s="78" t="s">
        <v>507</v>
      </c>
      <c r="B203" s="78">
        <v>13.6</v>
      </c>
      <c r="C203" s="78">
        <f t="shared" si="1"/>
        <v>1632</v>
      </c>
      <c r="D203" s="78">
        <f t="shared" si="7"/>
        <v>600</v>
      </c>
      <c r="E203" s="78">
        <f t="shared" si="5"/>
        <v>13572</v>
      </c>
      <c r="F203" s="95">
        <f t="shared" si="8"/>
        <v>0.9999885888</v>
      </c>
      <c r="G203" s="69"/>
      <c r="T203" s="78" t="s">
        <v>508</v>
      </c>
      <c r="U203" s="78">
        <v>0.0</v>
      </c>
      <c r="V203" s="78">
        <f t="shared" si="3"/>
        <v>0</v>
      </c>
      <c r="W203" s="78">
        <f t="shared" si="9"/>
        <v>600</v>
      </c>
      <c r="X203" s="78">
        <f t="shared" si="6"/>
        <v>0</v>
      </c>
      <c r="Y203" s="95">
        <f t="shared" si="10"/>
        <v>0.9999885888</v>
      </c>
    </row>
    <row r="204">
      <c r="A204" s="78" t="s">
        <v>509</v>
      </c>
      <c r="B204" s="78">
        <v>0.0</v>
      </c>
      <c r="C204" s="78">
        <f t="shared" si="1"/>
        <v>0</v>
      </c>
      <c r="D204" s="78">
        <f t="shared" si="7"/>
        <v>600</v>
      </c>
      <c r="E204" s="78">
        <f t="shared" si="5"/>
        <v>12972</v>
      </c>
      <c r="F204" s="95">
        <f t="shared" si="8"/>
        <v>0.9999885888</v>
      </c>
      <c r="G204" s="69"/>
      <c r="T204" s="78" t="s">
        <v>510</v>
      </c>
      <c r="U204" s="78">
        <v>0.2</v>
      </c>
      <c r="V204" s="78">
        <f t="shared" si="3"/>
        <v>24</v>
      </c>
      <c r="W204" s="78">
        <f t="shared" si="9"/>
        <v>600</v>
      </c>
      <c r="X204" s="78">
        <f t="shared" si="6"/>
        <v>0</v>
      </c>
      <c r="Y204" s="95">
        <f t="shared" si="10"/>
        <v>0.9999885888</v>
      </c>
    </row>
    <row r="205">
      <c r="A205" s="78" t="s">
        <v>511</v>
      </c>
      <c r="B205" s="78">
        <v>0.0</v>
      </c>
      <c r="C205" s="78">
        <f t="shared" si="1"/>
        <v>0</v>
      </c>
      <c r="D205" s="78">
        <f t="shared" si="7"/>
        <v>600</v>
      </c>
      <c r="E205" s="78">
        <f t="shared" si="5"/>
        <v>12372</v>
      </c>
      <c r="F205" s="95">
        <f t="shared" si="8"/>
        <v>0.9999885888</v>
      </c>
      <c r="G205" s="69"/>
      <c r="T205" s="78" t="s">
        <v>512</v>
      </c>
      <c r="U205" s="78">
        <v>0.0</v>
      </c>
      <c r="V205" s="78">
        <f t="shared" si="3"/>
        <v>0</v>
      </c>
      <c r="W205" s="78">
        <f t="shared" si="9"/>
        <v>600</v>
      </c>
      <c r="X205" s="78">
        <f t="shared" si="6"/>
        <v>0</v>
      </c>
      <c r="Y205" s="95">
        <f t="shared" si="10"/>
        <v>0.9999885888</v>
      </c>
    </row>
    <row r="206">
      <c r="A206" s="78" t="s">
        <v>513</v>
      </c>
      <c r="B206" s="78">
        <v>0.0</v>
      </c>
      <c r="C206" s="78">
        <f t="shared" si="1"/>
        <v>0</v>
      </c>
      <c r="D206" s="78">
        <f t="shared" si="7"/>
        <v>600</v>
      </c>
      <c r="E206" s="78">
        <f t="shared" si="5"/>
        <v>11772</v>
      </c>
      <c r="F206" s="95">
        <f t="shared" si="8"/>
        <v>0.9999885888</v>
      </c>
      <c r="G206" s="69"/>
      <c r="T206" s="78" t="s">
        <v>514</v>
      </c>
      <c r="U206" s="78">
        <v>1.0</v>
      </c>
      <c r="V206" s="78">
        <f t="shared" si="3"/>
        <v>120</v>
      </c>
      <c r="W206" s="78">
        <f t="shared" si="9"/>
        <v>600</v>
      </c>
      <c r="X206" s="78">
        <f t="shared" si="6"/>
        <v>0</v>
      </c>
      <c r="Y206" s="95">
        <f t="shared" si="10"/>
        <v>0.9999885888</v>
      </c>
    </row>
    <row r="207">
      <c r="A207" s="78" t="s">
        <v>515</v>
      </c>
      <c r="B207" s="78">
        <v>0.0</v>
      </c>
      <c r="C207" s="78">
        <f t="shared" si="1"/>
        <v>0</v>
      </c>
      <c r="D207" s="78">
        <f t="shared" si="7"/>
        <v>600</v>
      </c>
      <c r="E207" s="78">
        <f t="shared" si="5"/>
        <v>11172</v>
      </c>
      <c r="F207" s="95">
        <f t="shared" si="8"/>
        <v>0.9999885888</v>
      </c>
      <c r="G207" s="69"/>
      <c r="T207" s="78" t="s">
        <v>516</v>
      </c>
      <c r="U207" s="78">
        <v>1.2</v>
      </c>
      <c r="V207" s="78">
        <f t="shared" si="3"/>
        <v>144</v>
      </c>
      <c r="W207" s="78">
        <f t="shared" si="9"/>
        <v>600</v>
      </c>
      <c r="X207" s="78">
        <f t="shared" si="6"/>
        <v>0</v>
      </c>
      <c r="Y207" s="95">
        <f t="shared" si="10"/>
        <v>0.9999885888</v>
      </c>
    </row>
    <row r="208">
      <c r="A208" s="78" t="s">
        <v>517</v>
      </c>
      <c r="B208" s="78">
        <v>0.0</v>
      </c>
      <c r="C208" s="78">
        <f t="shared" si="1"/>
        <v>0</v>
      </c>
      <c r="D208" s="78">
        <f t="shared" si="7"/>
        <v>600</v>
      </c>
      <c r="E208" s="78">
        <f t="shared" si="5"/>
        <v>10572</v>
      </c>
      <c r="F208" s="95">
        <f t="shared" si="8"/>
        <v>0.9999885888</v>
      </c>
      <c r="G208" s="69"/>
      <c r="T208" s="78" t="s">
        <v>518</v>
      </c>
      <c r="U208" s="78">
        <v>2.4</v>
      </c>
      <c r="V208" s="78">
        <f t="shared" si="3"/>
        <v>288</v>
      </c>
      <c r="W208" s="78">
        <f t="shared" si="9"/>
        <v>600</v>
      </c>
      <c r="X208" s="78">
        <f t="shared" si="6"/>
        <v>0</v>
      </c>
      <c r="Y208" s="95">
        <f t="shared" si="10"/>
        <v>0.9999885888</v>
      </c>
    </row>
    <row r="209">
      <c r="A209" s="78" t="s">
        <v>519</v>
      </c>
      <c r="B209" s="78">
        <v>0.0</v>
      </c>
      <c r="C209" s="78">
        <f t="shared" si="1"/>
        <v>0</v>
      </c>
      <c r="D209" s="78">
        <f t="shared" si="7"/>
        <v>600</v>
      </c>
      <c r="E209" s="78">
        <f t="shared" si="5"/>
        <v>9972</v>
      </c>
      <c r="F209" s="95">
        <f t="shared" si="8"/>
        <v>0.9999885888</v>
      </c>
      <c r="G209" s="69"/>
      <c r="T209" s="78" t="s">
        <v>520</v>
      </c>
      <c r="U209" s="78">
        <v>4.0</v>
      </c>
      <c r="V209" s="78">
        <f t="shared" si="3"/>
        <v>480</v>
      </c>
      <c r="W209" s="78">
        <f t="shared" si="9"/>
        <v>600</v>
      </c>
      <c r="X209" s="78">
        <f t="shared" si="6"/>
        <v>0</v>
      </c>
      <c r="Y209" s="95">
        <f t="shared" si="10"/>
        <v>0.9999885888</v>
      </c>
    </row>
    <row r="210">
      <c r="A210" s="78" t="s">
        <v>521</v>
      </c>
      <c r="B210" s="78">
        <v>0.0</v>
      </c>
      <c r="C210" s="78">
        <f t="shared" si="1"/>
        <v>0</v>
      </c>
      <c r="D210" s="78">
        <f t="shared" si="7"/>
        <v>600</v>
      </c>
      <c r="E210" s="78">
        <f t="shared" si="5"/>
        <v>9372</v>
      </c>
      <c r="F210" s="95">
        <f t="shared" si="8"/>
        <v>0.9999885888</v>
      </c>
      <c r="G210" s="69"/>
      <c r="T210" s="78" t="s">
        <v>522</v>
      </c>
      <c r="U210" s="78">
        <v>0.0</v>
      </c>
      <c r="V210" s="78">
        <f t="shared" si="3"/>
        <v>0</v>
      </c>
      <c r="W210" s="78">
        <f t="shared" si="9"/>
        <v>600</v>
      </c>
      <c r="X210" s="78">
        <f t="shared" si="6"/>
        <v>0</v>
      </c>
      <c r="Y210" s="95">
        <f t="shared" si="10"/>
        <v>0.9999885888</v>
      </c>
    </row>
    <row r="211">
      <c r="A211" s="78" t="s">
        <v>523</v>
      </c>
      <c r="B211" s="78">
        <v>0.0</v>
      </c>
      <c r="C211" s="78">
        <f t="shared" si="1"/>
        <v>0</v>
      </c>
      <c r="D211" s="78">
        <f t="shared" si="7"/>
        <v>600</v>
      </c>
      <c r="E211" s="78">
        <f t="shared" si="5"/>
        <v>8772</v>
      </c>
      <c r="F211" s="95">
        <f t="shared" si="8"/>
        <v>0.9999885888</v>
      </c>
      <c r="G211" s="69"/>
      <c r="T211" s="78" t="s">
        <v>524</v>
      </c>
      <c r="U211" s="78">
        <v>0.0</v>
      </c>
      <c r="V211" s="78">
        <f t="shared" si="3"/>
        <v>0</v>
      </c>
      <c r="W211" s="78">
        <f t="shared" si="9"/>
        <v>600</v>
      </c>
      <c r="X211" s="78">
        <f t="shared" si="6"/>
        <v>0</v>
      </c>
      <c r="Y211" s="95">
        <f t="shared" si="10"/>
        <v>0.9999885888</v>
      </c>
    </row>
    <row r="212">
      <c r="A212" s="78" t="s">
        <v>525</v>
      </c>
      <c r="B212" s="78">
        <v>0.0</v>
      </c>
      <c r="C212" s="78">
        <f t="shared" si="1"/>
        <v>0</v>
      </c>
      <c r="D212" s="78">
        <f t="shared" si="7"/>
        <v>600</v>
      </c>
      <c r="E212" s="78">
        <f t="shared" si="5"/>
        <v>8172</v>
      </c>
      <c r="F212" s="95">
        <f t="shared" si="8"/>
        <v>0.9999885888</v>
      </c>
      <c r="G212" s="69"/>
      <c r="T212" s="78" t="s">
        <v>526</v>
      </c>
      <c r="U212" s="78">
        <v>0.0</v>
      </c>
      <c r="V212" s="78">
        <f t="shared" si="3"/>
        <v>0</v>
      </c>
      <c r="W212" s="78">
        <f t="shared" si="9"/>
        <v>600</v>
      </c>
      <c r="X212" s="78">
        <f t="shared" si="6"/>
        <v>0</v>
      </c>
      <c r="Y212" s="95">
        <f t="shared" si="10"/>
        <v>0.9999885888</v>
      </c>
    </row>
    <row r="213">
      <c r="A213" s="78" t="s">
        <v>527</v>
      </c>
      <c r="B213" s="78">
        <v>0.0</v>
      </c>
      <c r="C213" s="78">
        <f t="shared" si="1"/>
        <v>0</v>
      </c>
      <c r="D213" s="78">
        <f t="shared" si="7"/>
        <v>600</v>
      </c>
      <c r="E213" s="78">
        <f t="shared" si="5"/>
        <v>7572</v>
      </c>
      <c r="F213" s="95">
        <f t="shared" si="8"/>
        <v>0.9999885888</v>
      </c>
      <c r="G213" s="69"/>
      <c r="T213" s="78" t="s">
        <v>528</v>
      </c>
      <c r="U213" s="78">
        <v>0.0</v>
      </c>
      <c r="V213" s="78">
        <f t="shared" si="3"/>
        <v>0</v>
      </c>
      <c r="W213" s="78">
        <f t="shared" si="9"/>
        <v>600</v>
      </c>
      <c r="X213" s="78">
        <f t="shared" si="6"/>
        <v>0</v>
      </c>
      <c r="Y213" s="95">
        <f t="shared" si="10"/>
        <v>0.9999885888</v>
      </c>
    </row>
    <row r="214">
      <c r="A214" s="78" t="s">
        <v>529</v>
      </c>
      <c r="B214" s="78">
        <v>0.0</v>
      </c>
      <c r="C214" s="78">
        <f t="shared" si="1"/>
        <v>0</v>
      </c>
      <c r="D214" s="78">
        <f t="shared" si="7"/>
        <v>600</v>
      </c>
      <c r="E214" s="78">
        <f t="shared" si="5"/>
        <v>6972</v>
      </c>
      <c r="F214" s="95">
        <f t="shared" si="8"/>
        <v>0.9999885888</v>
      </c>
      <c r="G214" s="69"/>
      <c r="T214" s="78" t="s">
        <v>530</v>
      </c>
      <c r="U214" s="78">
        <v>0.0</v>
      </c>
      <c r="V214" s="78">
        <f t="shared" si="3"/>
        <v>0</v>
      </c>
      <c r="W214" s="78">
        <f t="shared" si="9"/>
        <v>600</v>
      </c>
      <c r="X214" s="78">
        <f t="shared" si="6"/>
        <v>0</v>
      </c>
      <c r="Y214" s="95">
        <f t="shared" si="10"/>
        <v>0.9999885888</v>
      </c>
    </row>
    <row r="215">
      <c r="A215" s="78" t="s">
        <v>531</v>
      </c>
      <c r="B215" s="78">
        <v>37.0</v>
      </c>
      <c r="C215" s="78">
        <f t="shared" si="1"/>
        <v>4440</v>
      </c>
      <c r="D215" s="78">
        <f t="shared" si="7"/>
        <v>600</v>
      </c>
      <c r="E215" s="78">
        <f t="shared" si="5"/>
        <v>10812</v>
      </c>
      <c r="F215" s="95">
        <f t="shared" si="8"/>
        <v>0.9999885888</v>
      </c>
      <c r="G215" s="69"/>
      <c r="T215" s="78" t="s">
        <v>532</v>
      </c>
      <c r="U215" s="78">
        <v>0.0</v>
      </c>
      <c r="V215" s="78">
        <f t="shared" si="3"/>
        <v>0</v>
      </c>
      <c r="W215" s="78">
        <f t="shared" si="9"/>
        <v>600</v>
      </c>
      <c r="X215" s="78">
        <f t="shared" si="6"/>
        <v>0</v>
      </c>
      <c r="Y215" s="95">
        <f t="shared" si="10"/>
        <v>0.9999885888</v>
      </c>
    </row>
    <row r="216">
      <c r="A216" s="78" t="s">
        <v>533</v>
      </c>
      <c r="B216" s="78">
        <v>1.8</v>
      </c>
      <c r="C216" s="78">
        <f t="shared" si="1"/>
        <v>216</v>
      </c>
      <c r="D216" s="78">
        <f t="shared" si="7"/>
        <v>600</v>
      </c>
      <c r="E216" s="78">
        <f t="shared" si="5"/>
        <v>10428</v>
      </c>
      <c r="F216" s="95">
        <f t="shared" si="8"/>
        <v>0.9999885888</v>
      </c>
      <c r="G216" s="69"/>
      <c r="T216" s="78" t="s">
        <v>534</v>
      </c>
      <c r="U216" s="78">
        <v>0.0</v>
      </c>
      <c r="V216" s="78">
        <f t="shared" si="3"/>
        <v>0</v>
      </c>
      <c r="W216" s="78">
        <f t="shared" si="9"/>
        <v>600</v>
      </c>
      <c r="X216" s="78">
        <f t="shared" si="6"/>
        <v>0</v>
      </c>
      <c r="Y216" s="95">
        <f t="shared" si="10"/>
        <v>0.9999885888</v>
      </c>
    </row>
    <row r="217">
      <c r="A217" s="78" t="s">
        <v>535</v>
      </c>
      <c r="B217" s="78">
        <v>0.0</v>
      </c>
      <c r="C217" s="78">
        <f t="shared" si="1"/>
        <v>0</v>
      </c>
      <c r="D217" s="78">
        <f t="shared" si="7"/>
        <v>600</v>
      </c>
      <c r="E217" s="78">
        <f t="shared" si="5"/>
        <v>9828</v>
      </c>
      <c r="F217" s="95">
        <f t="shared" si="8"/>
        <v>0.9999885888</v>
      </c>
      <c r="G217" s="69"/>
      <c r="T217" s="78" t="s">
        <v>536</v>
      </c>
      <c r="U217" s="78">
        <v>0.6</v>
      </c>
      <c r="V217" s="78">
        <f t="shared" si="3"/>
        <v>72</v>
      </c>
      <c r="W217" s="78">
        <f t="shared" si="9"/>
        <v>600</v>
      </c>
      <c r="X217" s="78">
        <f t="shared" si="6"/>
        <v>0</v>
      </c>
      <c r="Y217" s="95">
        <f t="shared" si="10"/>
        <v>0.9999885888</v>
      </c>
    </row>
    <row r="218">
      <c r="A218" s="78" t="s">
        <v>537</v>
      </c>
      <c r="B218" s="78">
        <v>0.0</v>
      </c>
      <c r="C218" s="78">
        <f t="shared" si="1"/>
        <v>0</v>
      </c>
      <c r="D218" s="78">
        <f t="shared" si="7"/>
        <v>600</v>
      </c>
      <c r="E218" s="78">
        <f t="shared" si="5"/>
        <v>9228</v>
      </c>
      <c r="F218" s="95">
        <f t="shared" si="8"/>
        <v>0.9999885888</v>
      </c>
      <c r="G218" s="69"/>
      <c r="T218" s="78" t="s">
        <v>538</v>
      </c>
      <c r="U218" s="78">
        <v>0.0</v>
      </c>
      <c r="V218" s="78">
        <f t="shared" si="3"/>
        <v>0</v>
      </c>
      <c r="W218" s="78">
        <f t="shared" si="9"/>
        <v>600</v>
      </c>
      <c r="X218" s="78">
        <f t="shared" si="6"/>
        <v>0</v>
      </c>
      <c r="Y218" s="95">
        <f t="shared" si="10"/>
        <v>0.9999885888</v>
      </c>
    </row>
    <row r="219">
      <c r="A219" s="78" t="s">
        <v>539</v>
      </c>
      <c r="B219" s="78">
        <v>8.0</v>
      </c>
      <c r="C219" s="78">
        <f t="shared" si="1"/>
        <v>960</v>
      </c>
      <c r="D219" s="78">
        <f t="shared" si="7"/>
        <v>600</v>
      </c>
      <c r="E219" s="78">
        <f t="shared" si="5"/>
        <v>9588</v>
      </c>
      <c r="F219" s="95">
        <f t="shared" si="8"/>
        <v>0.9999885888</v>
      </c>
      <c r="G219" s="69"/>
      <c r="T219" s="78" t="s">
        <v>540</v>
      </c>
      <c r="U219" s="78">
        <v>0.0</v>
      </c>
      <c r="V219" s="78">
        <f t="shared" si="3"/>
        <v>0</v>
      </c>
      <c r="W219" s="78">
        <f t="shared" si="9"/>
        <v>600</v>
      </c>
      <c r="X219" s="78">
        <f t="shared" si="6"/>
        <v>0</v>
      </c>
      <c r="Y219" s="95">
        <f t="shared" si="10"/>
        <v>0.9999885888</v>
      </c>
    </row>
    <row r="220">
      <c r="A220" s="78" t="s">
        <v>541</v>
      </c>
      <c r="B220" s="78">
        <v>18.2</v>
      </c>
      <c r="C220" s="78">
        <f t="shared" si="1"/>
        <v>2184</v>
      </c>
      <c r="D220" s="78">
        <f t="shared" si="7"/>
        <v>600</v>
      </c>
      <c r="E220" s="78">
        <f t="shared" si="5"/>
        <v>11172</v>
      </c>
      <c r="F220" s="95">
        <f t="shared" si="8"/>
        <v>0.9999885888</v>
      </c>
      <c r="G220" s="69"/>
      <c r="T220" s="78" t="s">
        <v>542</v>
      </c>
      <c r="U220" s="78">
        <v>8.4</v>
      </c>
      <c r="V220" s="78">
        <f t="shared" si="3"/>
        <v>1008</v>
      </c>
      <c r="W220" s="78">
        <f t="shared" si="9"/>
        <v>600</v>
      </c>
      <c r="X220" s="78">
        <f t="shared" si="6"/>
        <v>408</v>
      </c>
      <c r="Y220" s="95">
        <f t="shared" si="10"/>
        <v>0.9999885888</v>
      </c>
    </row>
    <row r="221">
      <c r="A221" s="78" t="s">
        <v>543</v>
      </c>
      <c r="B221" s="78">
        <v>0.6</v>
      </c>
      <c r="C221" s="78">
        <f t="shared" si="1"/>
        <v>72</v>
      </c>
      <c r="D221" s="78">
        <f t="shared" si="7"/>
        <v>600</v>
      </c>
      <c r="E221" s="78">
        <f t="shared" si="5"/>
        <v>10644</v>
      </c>
      <c r="F221" s="95">
        <f t="shared" si="8"/>
        <v>0.9999885888</v>
      </c>
      <c r="G221" s="69"/>
      <c r="T221" s="78" t="s">
        <v>544</v>
      </c>
      <c r="U221" s="78">
        <v>4.0</v>
      </c>
      <c r="V221" s="78">
        <f t="shared" si="3"/>
        <v>480</v>
      </c>
      <c r="W221" s="78">
        <f t="shared" si="9"/>
        <v>600</v>
      </c>
      <c r="X221" s="78">
        <f t="shared" si="6"/>
        <v>288</v>
      </c>
      <c r="Y221" s="95">
        <f t="shared" si="10"/>
        <v>0.9999885888</v>
      </c>
    </row>
    <row r="222">
      <c r="A222" s="78" t="s">
        <v>545</v>
      </c>
      <c r="B222" s="78">
        <v>0.0</v>
      </c>
      <c r="C222" s="78">
        <f t="shared" si="1"/>
        <v>0</v>
      </c>
      <c r="D222" s="78">
        <f t="shared" si="7"/>
        <v>600</v>
      </c>
      <c r="E222" s="78">
        <f t="shared" si="5"/>
        <v>10044</v>
      </c>
      <c r="F222" s="95">
        <f t="shared" si="8"/>
        <v>0.9999885888</v>
      </c>
      <c r="G222" s="69"/>
      <c r="T222" s="78" t="s">
        <v>546</v>
      </c>
      <c r="U222" s="78">
        <v>4.2</v>
      </c>
      <c r="V222" s="78">
        <f t="shared" si="3"/>
        <v>504</v>
      </c>
      <c r="W222" s="78">
        <f t="shared" si="9"/>
        <v>600</v>
      </c>
      <c r="X222" s="78">
        <f t="shared" si="6"/>
        <v>192</v>
      </c>
      <c r="Y222" s="95">
        <f t="shared" si="10"/>
        <v>0.9999885888</v>
      </c>
    </row>
    <row r="223">
      <c r="A223" s="78" t="s">
        <v>547</v>
      </c>
      <c r="B223" s="78">
        <v>0.0</v>
      </c>
      <c r="C223" s="78">
        <f t="shared" si="1"/>
        <v>0</v>
      </c>
      <c r="D223" s="78">
        <f t="shared" si="7"/>
        <v>600</v>
      </c>
      <c r="E223" s="78">
        <f t="shared" si="5"/>
        <v>9444</v>
      </c>
      <c r="F223" s="95">
        <f t="shared" si="8"/>
        <v>0.9999885888</v>
      </c>
      <c r="G223" s="69"/>
      <c r="T223" s="78" t="s">
        <v>548</v>
      </c>
      <c r="U223" s="78">
        <v>0.0</v>
      </c>
      <c r="V223" s="78">
        <f t="shared" si="3"/>
        <v>0</v>
      </c>
      <c r="W223" s="78">
        <f t="shared" si="9"/>
        <v>600</v>
      </c>
      <c r="X223" s="78">
        <f t="shared" si="6"/>
        <v>0</v>
      </c>
      <c r="Y223" s="95">
        <f t="shared" si="10"/>
        <v>0.9999885888</v>
      </c>
    </row>
    <row r="224">
      <c r="A224" s="78" t="s">
        <v>549</v>
      </c>
      <c r="B224" s="78">
        <v>0.0</v>
      </c>
      <c r="C224" s="78">
        <f t="shared" si="1"/>
        <v>0</v>
      </c>
      <c r="D224" s="78">
        <f t="shared" si="7"/>
        <v>600</v>
      </c>
      <c r="E224" s="78">
        <f t="shared" si="5"/>
        <v>8844</v>
      </c>
      <c r="F224" s="95">
        <f t="shared" si="8"/>
        <v>0.9999885888</v>
      </c>
      <c r="G224" s="69"/>
      <c r="T224" s="78" t="s">
        <v>550</v>
      </c>
      <c r="U224" s="78">
        <v>0.0</v>
      </c>
      <c r="V224" s="78">
        <f t="shared" si="3"/>
        <v>0</v>
      </c>
      <c r="W224" s="78">
        <f t="shared" si="9"/>
        <v>600</v>
      </c>
      <c r="X224" s="78">
        <f t="shared" si="6"/>
        <v>0</v>
      </c>
      <c r="Y224" s="95">
        <f t="shared" si="10"/>
        <v>0.9999885888</v>
      </c>
    </row>
    <row r="225">
      <c r="A225" s="78" t="s">
        <v>551</v>
      </c>
      <c r="B225" s="78">
        <v>0.0</v>
      </c>
      <c r="C225" s="78">
        <f t="shared" si="1"/>
        <v>0</v>
      </c>
      <c r="D225" s="78">
        <f t="shared" si="7"/>
        <v>600</v>
      </c>
      <c r="E225" s="78">
        <f t="shared" si="5"/>
        <v>8244</v>
      </c>
      <c r="F225" s="95">
        <f t="shared" si="8"/>
        <v>0.9999885888</v>
      </c>
      <c r="G225" s="69"/>
      <c r="T225" s="78" t="s">
        <v>552</v>
      </c>
      <c r="U225" s="78">
        <v>0.0</v>
      </c>
      <c r="V225" s="78">
        <f t="shared" si="3"/>
        <v>0</v>
      </c>
      <c r="W225" s="78">
        <f t="shared" si="9"/>
        <v>600</v>
      </c>
      <c r="X225" s="78">
        <f t="shared" si="6"/>
        <v>0</v>
      </c>
      <c r="Y225" s="95">
        <f t="shared" si="10"/>
        <v>0.9999885888</v>
      </c>
    </row>
    <row r="226">
      <c r="A226" s="78" t="s">
        <v>553</v>
      </c>
      <c r="B226" s="78">
        <v>0.0</v>
      </c>
      <c r="C226" s="78">
        <f t="shared" si="1"/>
        <v>0</v>
      </c>
      <c r="D226" s="78">
        <f t="shared" si="7"/>
        <v>600</v>
      </c>
      <c r="E226" s="78">
        <f t="shared" si="5"/>
        <v>7644</v>
      </c>
      <c r="F226" s="95">
        <f t="shared" si="8"/>
        <v>0.9999885888</v>
      </c>
      <c r="G226" s="69"/>
      <c r="T226" s="78" t="s">
        <v>554</v>
      </c>
      <c r="U226" s="78">
        <v>0.0</v>
      </c>
      <c r="V226" s="78">
        <f t="shared" si="3"/>
        <v>0</v>
      </c>
      <c r="W226" s="78">
        <f t="shared" si="9"/>
        <v>600</v>
      </c>
      <c r="X226" s="78">
        <f t="shared" si="6"/>
        <v>0</v>
      </c>
      <c r="Y226" s="95">
        <f t="shared" si="10"/>
        <v>0.9999885888</v>
      </c>
    </row>
    <row r="227">
      <c r="A227" s="78" t="s">
        <v>555</v>
      </c>
      <c r="B227" s="78">
        <v>0.0</v>
      </c>
      <c r="C227" s="78">
        <f t="shared" si="1"/>
        <v>0</v>
      </c>
      <c r="D227" s="78">
        <f t="shared" si="7"/>
        <v>600</v>
      </c>
      <c r="E227" s="78">
        <f t="shared" si="5"/>
        <v>7044</v>
      </c>
      <c r="F227" s="95">
        <f t="shared" si="8"/>
        <v>0.9999885888</v>
      </c>
      <c r="G227" s="69"/>
      <c r="T227" s="78" t="s">
        <v>556</v>
      </c>
      <c r="U227" s="78">
        <v>0.0</v>
      </c>
      <c r="V227" s="78">
        <f t="shared" si="3"/>
        <v>0</v>
      </c>
      <c r="W227" s="78">
        <f t="shared" si="9"/>
        <v>600</v>
      </c>
      <c r="X227" s="78">
        <f t="shared" si="6"/>
        <v>0</v>
      </c>
      <c r="Y227" s="95">
        <f t="shared" si="10"/>
        <v>0.9999885888</v>
      </c>
    </row>
    <row r="228">
      <c r="A228" s="78" t="s">
        <v>557</v>
      </c>
      <c r="B228" s="78">
        <v>0.0</v>
      </c>
      <c r="C228" s="78">
        <f t="shared" si="1"/>
        <v>0</v>
      </c>
      <c r="D228" s="78">
        <f t="shared" si="7"/>
        <v>600</v>
      </c>
      <c r="E228" s="78">
        <f t="shared" si="5"/>
        <v>6444</v>
      </c>
      <c r="F228" s="95">
        <f t="shared" si="8"/>
        <v>0.9999885888</v>
      </c>
      <c r="G228" s="69"/>
      <c r="T228" s="78" t="s">
        <v>558</v>
      </c>
      <c r="U228" s="78">
        <v>0.0</v>
      </c>
      <c r="V228" s="78">
        <f t="shared" si="3"/>
        <v>0</v>
      </c>
      <c r="W228" s="78">
        <f t="shared" si="9"/>
        <v>600</v>
      </c>
      <c r="X228" s="78">
        <f t="shared" si="6"/>
        <v>0</v>
      </c>
      <c r="Y228" s="95">
        <f t="shared" si="10"/>
        <v>0.9999885888</v>
      </c>
    </row>
    <row r="229">
      <c r="A229" s="78" t="s">
        <v>559</v>
      </c>
      <c r="B229" s="78">
        <v>0.0</v>
      </c>
      <c r="C229" s="78">
        <f t="shared" si="1"/>
        <v>0</v>
      </c>
      <c r="D229" s="78">
        <f t="shared" si="7"/>
        <v>600</v>
      </c>
      <c r="E229" s="78">
        <f t="shared" si="5"/>
        <v>5844</v>
      </c>
      <c r="F229" s="95">
        <f t="shared" si="8"/>
        <v>0.9999885888</v>
      </c>
      <c r="G229" s="69"/>
      <c r="T229" s="78" t="s">
        <v>560</v>
      </c>
      <c r="U229" s="78">
        <v>0.0</v>
      </c>
      <c r="V229" s="78">
        <f t="shared" si="3"/>
        <v>0</v>
      </c>
      <c r="W229" s="78">
        <f t="shared" si="9"/>
        <v>600</v>
      </c>
      <c r="X229" s="78">
        <f t="shared" si="6"/>
        <v>0</v>
      </c>
      <c r="Y229" s="95">
        <f t="shared" si="10"/>
        <v>0.9999885888</v>
      </c>
    </row>
    <row r="230">
      <c r="A230" s="78" t="s">
        <v>561</v>
      </c>
      <c r="B230" s="78">
        <v>0.0</v>
      </c>
      <c r="C230" s="78">
        <f t="shared" si="1"/>
        <v>0</v>
      </c>
      <c r="D230" s="78">
        <f t="shared" si="7"/>
        <v>600</v>
      </c>
      <c r="E230" s="78">
        <f t="shared" si="5"/>
        <v>5244</v>
      </c>
      <c r="F230" s="95">
        <f t="shared" si="8"/>
        <v>0.9999885888</v>
      </c>
      <c r="G230" s="69"/>
      <c r="T230" s="78" t="s">
        <v>562</v>
      </c>
      <c r="U230" s="78">
        <v>0.0</v>
      </c>
      <c r="V230" s="78">
        <f t="shared" si="3"/>
        <v>0</v>
      </c>
      <c r="W230" s="78">
        <f t="shared" si="9"/>
        <v>600</v>
      </c>
      <c r="X230" s="78">
        <f t="shared" si="6"/>
        <v>0</v>
      </c>
      <c r="Y230" s="95">
        <f t="shared" si="10"/>
        <v>0.9999885888</v>
      </c>
    </row>
    <row r="231">
      <c r="A231" s="78" t="s">
        <v>563</v>
      </c>
      <c r="B231" s="78">
        <v>0.0</v>
      </c>
      <c r="C231" s="78">
        <f t="shared" si="1"/>
        <v>0</v>
      </c>
      <c r="D231" s="78">
        <f t="shared" si="7"/>
        <v>600</v>
      </c>
      <c r="E231" s="78">
        <f t="shared" si="5"/>
        <v>4644</v>
      </c>
      <c r="F231" s="95">
        <f t="shared" si="8"/>
        <v>0.9999885888</v>
      </c>
      <c r="G231" s="69"/>
      <c r="T231" s="78" t="s">
        <v>564</v>
      </c>
      <c r="U231" s="78">
        <v>0.0</v>
      </c>
      <c r="V231" s="78">
        <f t="shared" si="3"/>
        <v>0</v>
      </c>
      <c r="W231" s="78">
        <f t="shared" si="9"/>
        <v>600</v>
      </c>
      <c r="X231" s="78">
        <f t="shared" si="6"/>
        <v>0</v>
      </c>
      <c r="Y231" s="95">
        <f t="shared" si="10"/>
        <v>0.9999885888</v>
      </c>
    </row>
    <row r="232">
      <c r="A232" s="78" t="s">
        <v>565</v>
      </c>
      <c r="B232" s="78">
        <v>0.0</v>
      </c>
      <c r="C232" s="78">
        <f t="shared" si="1"/>
        <v>0</v>
      </c>
      <c r="D232" s="78">
        <f t="shared" si="7"/>
        <v>600</v>
      </c>
      <c r="E232" s="78">
        <f t="shared" si="5"/>
        <v>4044</v>
      </c>
      <c r="F232" s="95">
        <f t="shared" si="8"/>
        <v>0.9999885888</v>
      </c>
      <c r="G232" s="69"/>
      <c r="T232" s="78" t="s">
        <v>566</v>
      </c>
      <c r="U232" s="78">
        <v>0.0</v>
      </c>
      <c r="V232" s="78">
        <f t="shared" si="3"/>
        <v>0</v>
      </c>
      <c r="W232" s="78">
        <f t="shared" si="9"/>
        <v>600</v>
      </c>
      <c r="X232" s="78">
        <f t="shared" si="6"/>
        <v>0</v>
      </c>
      <c r="Y232" s="95">
        <f t="shared" si="10"/>
        <v>0.9999885888</v>
      </c>
    </row>
    <row r="233">
      <c r="A233" s="78" t="s">
        <v>567</v>
      </c>
      <c r="B233" s="78">
        <v>0.0</v>
      </c>
      <c r="C233" s="78">
        <f t="shared" si="1"/>
        <v>0</v>
      </c>
      <c r="D233" s="78">
        <f t="shared" si="7"/>
        <v>600</v>
      </c>
      <c r="E233" s="78">
        <f t="shared" si="5"/>
        <v>3444</v>
      </c>
      <c r="F233" s="95">
        <f t="shared" si="8"/>
        <v>0.9999885888</v>
      </c>
      <c r="G233" s="69"/>
      <c r="T233" s="78" t="s">
        <v>568</v>
      </c>
      <c r="U233" s="78">
        <v>0.0</v>
      </c>
      <c r="V233" s="78">
        <f t="shared" si="3"/>
        <v>0</v>
      </c>
      <c r="W233" s="78">
        <f t="shared" si="9"/>
        <v>600</v>
      </c>
      <c r="X233" s="78">
        <f t="shared" si="6"/>
        <v>0</v>
      </c>
      <c r="Y233" s="95">
        <f t="shared" si="10"/>
        <v>0.9999885888</v>
      </c>
    </row>
    <row r="234">
      <c r="A234" s="78" t="s">
        <v>569</v>
      </c>
      <c r="B234" s="78">
        <v>0.0</v>
      </c>
      <c r="C234" s="78">
        <f t="shared" si="1"/>
        <v>0</v>
      </c>
      <c r="D234" s="78">
        <f t="shared" si="7"/>
        <v>600</v>
      </c>
      <c r="E234" s="78">
        <f t="shared" si="5"/>
        <v>2844</v>
      </c>
      <c r="F234" s="95">
        <f t="shared" si="8"/>
        <v>0.9999885888</v>
      </c>
      <c r="G234" s="69"/>
      <c r="T234" s="78" t="s">
        <v>570</v>
      </c>
      <c r="U234" s="78">
        <v>3.2</v>
      </c>
      <c r="V234" s="78">
        <f t="shared" si="3"/>
        <v>384</v>
      </c>
      <c r="W234" s="78">
        <f t="shared" si="9"/>
        <v>600</v>
      </c>
      <c r="X234" s="78">
        <f t="shared" si="6"/>
        <v>0</v>
      </c>
      <c r="Y234" s="95">
        <f t="shared" si="10"/>
        <v>0.9999885888</v>
      </c>
    </row>
    <row r="235">
      <c r="A235" s="78" t="s">
        <v>571</v>
      </c>
      <c r="B235" s="78">
        <v>0.0</v>
      </c>
      <c r="C235" s="78">
        <f t="shared" si="1"/>
        <v>0</v>
      </c>
      <c r="D235" s="78">
        <f t="shared" si="7"/>
        <v>600</v>
      </c>
      <c r="E235" s="78">
        <f t="shared" si="5"/>
        <v>2244</v>
      </c>
      <c r="F235" s="95">
        <f t="shared" si="8"/>
        <v>0.9999885888</v>
      </c>
      <c r="G235" s="69"/>
      <c r="T235" s="78" t="s">
        <v>572</v>
      </c>
      <c r="U235" s="78">
        <v>14.6</v>
      </c>
      <c r="V235" s="78">
        <f t="shared" si="3"/>
        <v>1752</v>
      </c>
      <c r="W235" s="78">
        <f t="shared" si="9"/>
        <v>600</v>
      </c>
      <c r="X235" s="78">
        <f t="shared" si="6"/>
        <v>1152</v>
      </c>
      <c r="Y235" s="95">
        <f t="shared" si="10"/>
        <v>0.9999885888</v>
      </c>
    </row>
    <row r="236">
      <c r="A236" s="78" t="s">
        <v>573</v>
      </c>
      <c r="B236" s="78">
        <v>0.0</v>
      </c>
      <c r="C236" s="78">
        <f t="shared" si="1"/>
        <v>0</v>
      </c>
      <c r="D236" s="78">
        <f t="shared" si="7"/>
        <v>600</v>
      </c>
      <c r="E236" s="78">
        <f t="shared" si="5"/>
        <v>1644</v>
      </c>
      <c r="F236" s="95">
        <f t="shared" si="8"/>
        <v>0.9999885888</v>
      </c>
      <c r="G236" s="69"/>
      <c r="T236" s="78" t="s">
        <v>574</v>
      </c>
      <c r="U236" s="78">
        <v>24.4</v>
      </c>
      <c r="V236" s="78">
        <f t="shared" si="3"/>
        <v>2928</v>
      </c>
      <c r="W236" s="78">
        <f t="shared" si="9"/>
        <v>600</v>
      </c>
      <c r="X236" s="78">
        <f t="shared" si="6"/>
        <v>3480</v>
      </c>
      <c r="Y236" s="95">
        <f t="shared" si="10"/>
        <v>0.9999885888</v>
      </c>
    </row>
    <row r="237">
      <c r="A237" s="78" t="s">
        <v>575</v>
      </c>
      <c r="B237" s="78">
        <v>0.0</v>
      </c>
      <c r="C237" s="78">
        <f t="shared" si="1"/>
        <v>0</v>
      </c>
      <c r="D237" s="78">
        <f t="shared" si="7"/>
        <v>600</v>
      </c>
      <c r="E237" s="78">
        <f t="shared" si="5"/>
        <v>1044</v>
      </c>
      <c r="F237" s="95">
        <f t="shared" si="8"/>
        <v>0.9999885888</v>
      </c>
      <c r="G237" s="69"/>
      <c r="T237" s="78" t="s">
        <v>576</v>
      </c>
      <c r="U237" s="78">
        <v>1.8</v>
      </c>
      <c r="V237" s="78">
        <f t="shared" si="3"/>
        <v>216</v>
      </c>
      <c r="W237" s="78">
        <f t="shared" si="9"/>
        <v>600</v>
      </c>
      <c r="X237" s="78">
        <f t="shared" si="6"/>
        <v>3096</v>
      </c>
      <c r="Y237" s="95">
        <f t="shared" si="10"/>
        <v>0.9999885888</v>
      </c>
    </row>
    <row r="238">
      <c r="A238" s="78" t="s">
        <v>577</v>
      </c>
      <c r="B238" s="78">
        <v>0.0</v>
      </c>
      <c r="C238" s="78">
        <f t="shared" si="1"/>
        <v>0</v>
      </c>
      <c r="D238" s="78">
        <f t="shared" si="7"/>
        <v>600</v>
      </c>
      <c r="E238" s="78">
        <f t="shared" si="5"/>
        <v>444</v>
      </c>
      <c r="F238" s="95">
        <f t="shared" si="8"/>
        <v>0.9999885888</v>
      </c>
      <c r="G238" s="69"/>
      <c r="T238" s="78" t="s">
        <v>578</v>
      </c>
      <c r="U238" s="78">
        <v>0.0</v>
      </c>
      <c r="V238" s="78">
        <f t="shared" si="3"/>
        <v>0</v>
      </c>
      <c r="W238" s="78">
        <f t="shared" si="9"/>
        <v>600</v>
      </c>
      <c r="X238" s="78">
        <f t="shared" si="6"/>
        <v>2496</v>
      </c>
      <c r="Y238" s="95">
        <f t="shared" si="10"/>
        <v>0.9999885888</v>
      </c>
    </row>
    <row r="239">
      <c r="A239" s="78" t="s">
        <v>579</v>
      </c>
      <c r="B239" s="78">
        <v>0.0</v>
      </c>
      <c r="C239" s="78">
        <f t="shared" si="1"/>
        <v>0</v>
      </c>
      <c r="D239" s="78">
        <f t="shared" si="7"/>
        <v>600</v>
      </c>
      <c r="E239" s="78">
        <f t="shared" si="5"/>
        <v>0</v>
      </c>
      <c r="F239" s="95">
        <f t="shared" si="8"/>
        <v>0.9999885888</v>
      </c>
      <c r="G239" s="69"/>
      <c r="T239" s="78" t="s">
        <v>580</v>
      </c>
      <c r="U239" s="78">
        <v>0.0</v>
      </c>
      <c r="V239" s="78">
        <f t="shared" si="3"/>
        <v>0</v>
      </c>
      <c r="W239" s="78">
        <f t="shared" si="9"/>
        <v>600</v>
      </c>
      <c r="X239" s="78">
        <f t="shared" si="6"/>
        <v>1896</v>
      </c>
      <c r="Y239" s="95">
        <f t="shared" si="10"/>
        <v>0.9999885888</v>
      </c>
    </row>
    <row r="240">
      <c r="A240" s="78" t="s">
        <v>581</v>
      </c>
      <c r="B240" s="78">
        <v>0.0</v>
      </c>
      <c r="C240" s="78">
        <f t="shared" si="1"/>
        <v>0</v>
      </c>
      <c r="D240" s="78">
        <f t="shared" si="7"/>
        <v>600</v>
      </c>
      <c r="E240" s="78">
        <f t="shared" si="5"/>
        <v>0</v>
      </c>
      <c r="F240" s="95">
        <f t="shared" si="8"/>
        <v>0.9999885888</v>
      </c>
      <c r="G240" s="69"/>
      <c r="T240" s="78" t="s">
        <v>582</v>
      </c>
      <c r="U240" s="78">
        <v>0.0</v>
      </c>
      <c r="V240" s="78">
        <f t="shared" si="3"/>
        <v>0</v>
      </c>
      <c r="W240" s="78">
        <f t="shared" si="9"/>
        <v>600</v>
      </c>
      <c r="X240" s="78">
        <f t="shared" si="6"/>
        <v>1296</v>
      </c>
      <c r="Y240" s="95">
        <f t="shared" si="10"/>
        <v>0.9999885888</v>
      </c>
    </row>
    <row r="241">
      <c r="A241" s="78" t="s">
        <v>583</v>
      </c>
      <c r="B241" s="78">
        <v>0.0</v>
      </c>
      <c r="C241" s="78">
        <f t="shared" si="1"/>
        <v>0</v>
      </c>
      <c r="D241" s="78">
        <f t="shared" si="7"/>
        <v>600</v>
      </c>
      <c r="E241" s="78">
        <f t="shared" si="5"/>
        <v>0</v>
      </c>
      <c r="F241" s="95">
        <f t="shared" si="8"/>
        <v>0.9999885888</v>
      </c>
      <c r="G241" s="69"/>
      <c r="T241" s="78" t="s">
        <v>584</v>
      </c>
      <c r="U241" s="78">
        <v>0.0</v>
      </c>
      <c r="V241" s="78">
        <f t="shared" si="3"/>
        <v>0</v>
      </c>
      <c r="W241" s="78">
        <f t="shared" si="9"/>
        <v>600</v>
      </c>
      <c r="X241" s="78">
        <f t="shared" si="6"/>
        <v>696</v>
      </c>
      <c r="Y241" s="95">
        <f t="shared" si="10"/>
        <v>0.9999885888</v>
      </c>
    </row>
    <row r="242">
      <c r="A242" s="78" t="s">
        <v>585</v>
      </c>
      <c r="B242" s="78">
        <v>0.0</v>
      </c>
      <c r="C242" s="78">
        <f t="shared" si="1"/>
        <v>0</v>
      </c>
      <c r="D242" s="78">
        <f t="shared" si="7"/>
        <v>600</v>
      </c>
      <c r="E242" s="78">
        <f t="shared" si="5"/>
        <v>0</v>
      </c>
      <c r="F242" s="95">
        <f t="shared" si="8"/>
        <v>0.9999885888</v>
      </c>
      <c r="G242" s="69"/>
      <c r="T242" s="78" t="s">
        <v>586</v>
      </c>
      <c r="U242" s="78">
        <v>0.0</v>
      </c>
      <c r="V242" s="78">
        <f t="shared" si="3"/>
        <v>0</v>
      </c>
      <c r="W242" s="78">
        <f t="shared" si="9"/>
        <v>600</v>
      </c>
      <c r="X242" s="78">
        <f t="shared" si="6"/>
        <v>96</v>
      </c>
      <c r="Y242" s="95">
        <f t="shared" si="10"/>
        <v>0.9999885888</v>
      </c>
    </row>
    <row r="243">
      <c r="A243" s="78" t="s">
        <v>587</v>
      </c>
      <c r="B243" s="78">
        <v>0.0</v>
      </c>
      <c r="C243" s="78">
        <f t="shared" si="1"/>
        <v>0</v>
      </c>
      <c r="D243" s="78">
        <f t="shared" si="7"/>
        <v>600</v>
      </c>
      <c r="E243" s="78">
        <f t="shared" si="5"/>
        <v>0</v>
      </c>
      <c r="F243" s="95">
        <f t="shared" si="8"/>
        <v>0.9999885888</v>
      </c>
      <c r="G243" s="69"/>
      <c r="T243" s="78" t="s">
        <v>588</v>
      </c>
      <c r="U243" s="78">
        <v>0.0</v>
      </c>
      <c r="V243" s="78">
        <f t="shared" si="3"/>
        <v>0</v>
      </c>
      <c r="W243" s="78">
        <f t="shared" si="9"/>
        <v>600</v>
      </c>
      <c r="X243" s="78">
        <f t="shared" si="6"/>
        <v>0</v>
      </c>
      <c r="Y243" s="95">
        <f t="shared" si="10"/>
        <v>0.9999885888</v>
      </c>
    </row>
    <row r="244">
      <c r="A244" s="78" t="s">
        <v>589</v>
      </c>
      <c r="B244" s="78">
        <v>0.0</v>
      </c>
      <c r="C244" s="78">
        <f t="shared" si="1"/>
        <v>0</v>
      </c>
      <c r="D244" s="78">
        <f t="shared" si="7"/>
        <v>600</v>
      </c>
      <c r="E244" s="78">
        <f t="shared" si="5"/>
        <v>0</v>
      </c>
      <c r="F244" s="95">
        <f t="shared" si="8"/>
        <v>0.9999885888</v>
      </c>
      <c r="G244" s="69"/>
      <c r="T244" s="78" t="s">
        <v>590</v>
      </c>
      <c r="U244" s="78">
        <v>0.0</v>
      </c>
      <c r="V244" s="78">
        <f t="shared" si="3"/>
        <v>0</v>
      </c>
      <c r="W244" s="78">
        <f t="shared" si="9"/>
        <v>600</v>
      </c>
      <c r="X244" s="78">
        <f t="shared" si="6"/>
        <v>0</v>
      </c>
      <c r="Y244" s="95">
        <f t="shared" si="10"/>
        <v>0.9999885888</v>
      </c>
    </row>
    <row r="245">
      <c r="A245" s="78" t="s">
        <v>591</v>
      </c>
      <c r="B245" s="78">
        <v>0.0</v>
      </c>
      <c r="C245" s="78">
        <f t="shared" si="1"/>
        <v>0</v>
      </c>
      <c r="D245" s="78">
        <f t="shared" si="7"/>
        <v>600</v>
      </c>
      <c r="E245" s="78">
        <f t="shared" si="5"/>
        <v>0</v>
      </c>
      <c r="F245" s="95">
        <f t="shared" si="8"/>
        <v>0.9999885888</v>
      </c>
      <c r="G245" s="69"/>
      <c r="T245" s="78" t="s">
        <v>592</v>
      </c>
      <c r="U245" s="78">
        <v>0.0</v>
      </c>
      <c r="V245" s="78">
        <f t="shared" si="3"/>
        <v>0</v>
      </c>
      <c r="W245" s="78">
        <f t="shared" si="9"/>
        <v>600</v>
      </c>
      <c r="X245" s="78">
        <f t="shared" si="6"/>
        <v>0</v>
      </c>
      <c r="Y245" s="95">
        <f t="shared" si="10"/>
        <v>0.9999885888</v>
      </c>
    </row>
    <row r="246">
      <c r="A246" s="78" t="s">
        <v>593</v>
      </c>
      <c r="B246" s="78">
        <v>0.0</v>
      </c>
      <c r="C246" s="78">
        <f t="shared" si="1"/>
        <v>0</v>
      </c>
      <c r="D246" s="78">
        <f t="shared" si="7"/>
        <v>600</v>
      </c>
      <c r="E246" s="78">
        <f t="shared" si="5"/>
        <v>0</v>
      </c>
      <c r="F246" s="95">
        <f t="shared" si="8"/>
        <v>0.9999885888</v>
      </c>
      <c r="G246" s="69"/>
      <c r="T246" s="78" t="s">
        <v>594</v>
      </c>
      <c r="U246" s="78">
        <v>0.0</v>
      </c>
      <c r="V246" s="78">
        <f t="shared" si="3"/>
        <v>0</v>
      </c>
      <c r="W246" s="78">
        <f t="shared" si="9"/>
        <v>600</v>
      </c>
      <c r="X246" s="78">
        <f t="shared" si="6"/>
        <v>0</v>
      </c>
      <c r="Y246" s="95">
        <f t="shared" si="10"/>
        <v>0.9999885888</v>
      </c>
    </row>
    <row r="247">
      <c r="A247" s="78" t="s">
        <v>595</v>
      </c>
      <c r="B247" s="78">
        <v>0.0</v>
      </c>
      <c r="C247" s="78">
        <f t="shared" si="1"/>
        <v>0</v>
      </c>
      <c r="D247" s="78">
        <f t="shared" si="7"/>
        <v>600</v>
      </c>
      <c r="E247" s="78">
        <f t="shared" si="5"/>
        <v>0</v>
      </c>
      <c r="F247" s="95">
        <f t="shared" si="8"/>
        <v>0.9999885888</v>
      </c>
      <c r="G247" s="69"/>
      <c r="T247" s="78" t="s">
        <v>596</v>
      </c>
      <c r="U247" s="78">
        <v>0.0</v>
      </c>
      <c r="V247" s="78">
        <f t="shared" si="3"/>
        <v>0</v>
      </c>
      <c r="W247" s="78">
        <f t="shared" si="9"/>
        <v>600</v>
      </c>
      <c r="X247" s="78">
        <f t="shared" si="6"/>
        <v>0</v>
      </c>
      <c r="Y247" s="95">
        <f t="shared" si="10"/>
        <v>0.9999885888</v>
      </c>
    </row>
    <row r="248">
      <c r="A248" s="78" t="s">
        <v>597</v>
      </c>
      <c r="B248" s="78">
        <v>0.0</v>
      </c>
      <c r="C248" s="78">
        <f t="shared" si="1"/>
        <v>0</v>
      </c>
      <c r="D248" s="78">
        <f t="shared" si="7"/>
        <v>600</v>
      </c>
      <c r="E248" s="78">
        <f t="shared" si="5"/>
        <v>0</v>
      </c>
      <c r="F248" s="95">
        <f t="shared" si="8"/>
        <v>0.9999885888</v>
      </c>
      <c r="G248" s="69"/>
      <c r="T248" s="78" t="s">
        <v>598</v>
      </c>
      <c r="U248" s="78">
        <v>0.0</v>
      </c>
      <c r="V248" s="78">
        <f t="shared" si="3"/>
        <v>0</v>
      </c>
      <c r="W248" s="78">
        <f t="shared" si="9"/>
        <v>600</v>
      </c>
      <c r="X248" s="78">
        <f t="shared" si="6"/>
        <v>0</v>
      </c>
      <c r="Y248" s="95">
        <f t="shared" si="10"/>
        <v>0.9999885888</v>
      </c>
    </row>
    <row r="249">
      <c r="A249" s="78" t="s">
        <v>599</v>
      </c>
      <c r="B249" s="78">
        <v>0.0</v>
      </c>
      <c r="C249" s="78">
        <f t="shared" si="1"/>
        <v>0</v>
      </c>
      <c r="D249" s="78">
        <f t="shared" si="7"/>
        <v>600</v>
      </c>
      <c r="E249" s="78">
        <f t="shared" si="5"/>
        <v>0</v>
      </c>
      <c r="F249" s="95">
        <f t="shared" si="8"/>
        <v>0.9999885888</v>
      </c>
      <c r="G249" s="69"/>
      <c r="T249" s="78" t="s">
        <v>600</v>
      </c>
      <c r="U249" s="78">
        <v>0.0</v>
      </c>
      <c r="V249" s="78">
        <f t="shared" si="3"/>
        <v>0</v>
      </c>
      <c r="W249" s="78">
        <f t="shared" si="9"/>
        <v>600</v>
      </c>
      <c r="X249" s="78">
        <f t="shared" si="6"/>
        <v>0</v>
      </c>
      <c r="Y249" s="95">
        <f t="shared" si="10"/>
        <v>0.9999885888</v>
      </c>
    </row>
    <row r="250">
      <c r="A250" s="78" t="s">
        <v>601</v>
      </c>
      <c r="B250" s="78">
        <v>0.0</v>
      </c>
      <c r="C250" s="78">
        <f t="shared" si="1"/>
        <v>0</v>
      </c>
      <c r="D250" s="78">
        <f t="shared" si="7"/>
        <v>600</v>
      </c>
      <c r="E250" s="78">
        <f t="shared" si="5"/>
        <v>0</v>
      </c>
      <c r="F250" s="95">
        <f t="shared" si="8"/>
        <v>0.9999885888</v>
      </c>
      <c r="G250" s="69"/>
      <c r="T250" s="78" t="s">
        <v>602</v>
      </c>
      <c r="U250" s="78">
        <v>0.0</v>
      </c>
      <c r="V250" s="78">
        <f t="shared" si="3"/>
        <v>0</v>
      </c>
      <c r="W250" s="78">
        <f t="shared" si="9"/>
        <v>600</v>
      </c>
      <c r="X250" s="78">
        <f t="shared" si="6"/>
        <v>0</v>
      </c>
      <c r="Y250" s="95">
        <f t="shared" si="10"/>
        <v>0.9999885888</v>
      </c>
    </row>
    <row r="251">
      <c r="A251" s="78" t="s">
        <v>603</v>
      </c>
      <c r="B251" s="78">
        <v>0.0</v>
      </c>
      <c r="C251" s="78">
        <f t="shared" si="1"/>
        <v>0</v>
      </c>
      <c r="D251" s="78">
        <f t="shared" si="7"/>
        <v>600</v>
      </c>
      <c r="E251" s="78">
        <f t="shared" si="5"/>
        <v>0</v>
      </c>
      <c r="F251" s="95">
        <f t="shared" si="8"/>
        <v>0.9999885888</v>
      </c>
      <c r="G251" s="69"/>
      <c r="T251" s="78" t="s">
        <v>604</v>
      </c>
      <c r="U251" s="78">
        <v>0.0</v>
      </c>
      <c r="V251" s="78">
        <f t="shared" si="3"/>
        <v>0</v>
      </c>
      <c r="W251" s="78">
        <f t="shared" si="9"/>
        <v>600</v>
      </c>
      <c r="X251" s="78">
        <f t="shared" si="6"/>
        <v>0</v>
      </c>
      <c r="Y251" s="95">
        <f t="shared" si="10"/>
        <v>0.9999885888</v>
      </c>
    </row>
    <row r="252">
      <c r="A252" s="78" t="s">
        <v>605</v>
      </c>
      <c r="B252" s="78">
        <v>0.0</v>
      </c>
      <c r="C252" s="78">
        <f t="shared" si="1"/>
        <v>0</v>
      </c>
      <c r="D252" s="78">
        <f t="shared" si="7"/>
        <v>600</v>
      </c>
      <c r="E252" s="78">
        <f t="shared" si="5"/>
        <v>0</v>
      </c>
      <c r="F252" s="95">
        <f t="shared" si="8"/>
        <v>0.9999885888</v>
      </c>
      <c r="G252" s="69"/>
      <c r="T252" s="78" t="s">
        <v>606</v>
      </c>
      <c r="U252" s="78">
        <v>0.0</v>
      </c>
      <c r="V252" s="78">
        <f t="shared" si="3"/>
        <v>0</v>
      </c>
      <c r="W252" s="78">
        <f t="shared" si="9"/>
        <v>600</v>
      </c>
      <c r="X252" s="78">
        <f t="shared" si="6"/>
        <v>0</v>
      </c>
      <c r="Y252" s="95">
        <f t="shared" si="10"/>
        <v>0.9999885888</v>
      </c>
    </row>
    <row r="253">
      <c r="A253" s="78" t="s">
        <v>607</v>
      </c>
      <c r="B253" s="78">
        <v>0.0</v>
      </c>
      <c r="C253" s="78">
        <f t="shared" si="1"/>
        <v>0</v>
      </c>
      <c r="D253" s="78">
        <f t="shared" si="7"/>
        <v>600</v>
      </c>
      <c r="E253" s="78">
        <f t="shared" si="5"/>
        <v>0</v>
      </c>
      <c r="F253" s="95">
        <f t="shared" si="8"/>
        <v>0.9999885888</v>
      </c>
      <c r="G253" s="69"/>
      <c r="T253" s="78" t="s">
        <v>608</v>
      </c>
      <c r="U253" s="78">
        <v>0.0</v>
      </c>
      <c r="V253" s="78">
        <f t="shared" si="3"/>
        <v>0</v>
      </c>
      <c r="W253" s="78">
        <f t="shared" si="9"/>
        <v>600</v>
      </c>
      <c r="X253" s="78">
        <f t="shared" si="6"/>
        <v>0</v>
      </c>
      <c r="Y253" s="95">
        <f t="shared" si="10"/>
        <v>0.9999885888</v>
      </c>
    </row>
    <row r="254">
      <c r="A254" s="78" t="s">
        <v>609</v>
      </c>
      <c r="B254" s="78">
        <v>0.0</v>
      </c>
      <c r="C254" s="78">
        <f t="shared" si="1"/>
        <v>0</v>
      </c>
      <c r="D254" s="78">
        <f t="shared" si="7"/>
        <v>600</v>
      </c>
      <c r="E254" s="78">
        <f t="shared" si="5"/>
        <v>0</v>
      </c>
      <c r="F254" s="95">
        <f t="shared" si="8"/>
        <v>0.9999885888</v>
      </c>
      <c r="G254" s="69"/>
      <c r="T254" s="78" t="s">
        <v>610</v>
      </c>
      <c r="U254" s="78">
        <v>0.0</v>
      </c>
      <c r="V254" s="78">
        <f t="shared" si="3"/>
        <v>0</v>
      </c>
      <c r="W254" s="78">
        <f t="shared" si="9"/>
        <v>600</v>
      </c>
      <c r="X254" s="78">
        <f t="shared" si="6"/>
        <v>0</v>
      </c>
      <c r="Y254" s="95">
        <f t="shared" si="10"/>
        <v>0.9999885888</v>
      </c>
    </row>
    <row r="255">
      <c r="A255" s="78" t="s">
        <v>611</v>
      </c>
      <c r="B255" s="78">
        <v>0.0</v>
      </c>
      <c r="C255" s="78">
        <f t="shared" si="1"/>
        <v>0</v>
      </c>
      <c r="D255" s="78">
        <f t="shared" si="7"/>
        <v>600</v>
      </c>
      <c r="E255" s="78">
        <f t="shared" si="5"/>
        <v>0</v>
      </c>
      <c r="F255" s="95">
        <f t="shared" si="8"/>
        <v>0.9999885888</v>
      </c>
      <c r="G255" s="69"/>
      <c r="T255" s="78" t="s">
        <v>612</v>
      </c>
      <c r="U255" s="78">
        <v>2.8</v>
      </c>
      <c r="V255" s="78">
        <f t="shared" si="3"/>
        <v>336</v>
      </c>
      <c r="W255" s="78">
        <f t="shared" si="9"/>
        <v>600</v>
      </c>
      <c r="X255" s="78">
        <f t="shared" si="6"/>
        <v>0</v>
      </c>
      <c r="Y255" s="95">
        <f t="shared" si="10"/>
        <v>0.9999885888</v>
      </c>
    </row>
    <row r="256">
      <c r="A256" s="78" t="s">
        <v>613</v>
      </c>
      <c r="B256" s="78">
        <v>0.4</v>
      </c>
      <c r="C256" s="78">
        <f t="shared" si="1"/>
        <v>48</v>
      </c>
      <c r="D256" s="78">
        <f t="shared" si="7"/>
        <v>600</v>
      </c>
      <c r="E256" s="78">
        <f t="shared" si="5"/>
        <v>0</v>
      </c>
      <c r="F256" s="95">
        <f t="shared" si="8"/>
        <v>0.9999885888</v>
      </c>
      <c r="G256" s="69"/>
      <c r="T256" s="78" t="s">
        <v>614</v>
      </c>
      <c r="U256" s="78">
        <v>10.4</v>
      </c>
      <c r="V256" s="78">
        <f t="shared" si="3"/>
        <v>1248</v>
      </c>
      <c r="W256" s="78">
        <f t="shared" si="9"/>
        <v>600</v>
      </c>
      <c r="X256" s="78">
        <f t="shared" si="6"/>
        <v>648</v>
      </c>
      <c r="Y256" s="95">
        <f t="shared" si="10"/>
        <v>0.9999885888</v>
      </c>
    </row>
    <row r="257">
      <c r="A257" s="78" t="s">
        <v>615</v>
      </c>
      <c r="B257" s="78">
        <v>7.8</v>
      </c>
      <c r="C257" s="78">
        <f t="shared" si="1"/>
        <v>936</v>
      </c>
      <c r="D257" s="78">
        <f t="shared" si="7"/>
        <v>600</v>
      </c>
      <c r="E257" s="78">
        <f t="shared" si="5"/>
        <v>336</v>
      </c>
      <c r="F257" s="95">
        <f t="shared" si="8"/>
        <v>0.9999885888</v>
      </c>
      <c r="G257" s="69"/>
      <c r="T257" s="78" t="s">
        <v>616</v>
      </c>
      <c r="U257" s="78">
        <v>33.4</v>
      </c>
      <c r="V257" s="78">
        <f t="shared" si="3"/>
        <v>4008</v>
      </c>
      <c r="W257" s="78">
        <f t="shared" si="9"/>
        <v>600</v>
      </c>
      <c r="X257" s="78">
        <f t="shared" si="6"/>
        <v>4056</v>
      </c>
      <c r="Y257" s="95">
        <f t="shared" si="10"/>
        <v>0.9999885888</v>
      </c>
    </row>
    <row r="258">
      <c r="A258" s="78" t="s">
        <v>617</v>
      </c>
      <c r="B258" s="78">
        <v>3.6</v>
      </c>
      <c r="C258" s="78">
        <f t="shared" si="1"/>
        <v>432</v>
      </c>
      <c r="D258" s="78">
        <f t="shared" si="7"/>
        <v>600</v>
      </c>
      <c r="E258" s="78">
        <f t="shared" si="5"/>
        <v>168</v>
      </c>
      <c r="F258" s="95">
        <f t="shared" si="8"/>
        <v>0.9999885888</v>
      </c>
      <c r="G258" s="69"/>
      <c r="T258" s="78" t="s">
        <v>618</v>
      </c>
      <c r="U258" s="78">
        <v>26.0</v>
      </c>
      <c r="V258" s="78">
        <f t="shared" si="3"/>
        <v>3120</v>
      </c>
      <c r="W258" s="78">
        <f t="shared" si="9"/>
        <v>600</v>
      </c>
      <c r="X258" s="78">
        <f t="shared" si="6"/>
        <v>6576</v>
      </c>
      <c r="Y258" s="95">
        <f t="shared" si="10"/>
        <v>0.9999885888</v>
      </c>
    </row>
    <row r="259">
      <c r="A259" s="78" t="s">
        <v>619</v>
      </c>
      <c r="B259" s="78">
        <v>10.6</v>
      </c>
      <c r="C259" s="78">
        <f t="shared" si="1"/>
        <v>1272</v>
      </c>
      <c r="D259" s="78">
        <f t="shared" si="7"/>
        <v>600</v>
      </c>
      <c r="E259" s="78">
        <f t="shared" si="5"/>
        <v>840</v>
      </c>
      <c r="F259" s="95">
        <f t="shared" si="8"/>
        <v>0.9999885888</v>
      </c>
      <c r="G259" s="69"/>
      <c r="T259" s="78" t="s">
        <v>620</v>
      </c>
      <c r="U259" s="78">
        <v>6.0</v>
      </c>
      <c r="V259" s="78">
        <f t="shared" si="3"/>
        <v>720</v>
      </c>
      <c r="W259" s="78">
        <f t="shared" si="9"/>
        <v>600</v>
      </c>
      <c r="X259" s="78">
        <f t="shared" si="6"/>
        <v>6696</v>
      </c>
      <c r="Y259" s="95">
        <f t="shared" si="10"/>
        <v>0.9999885888</v>
      </c>
    </row>
    <row r="260">
      <c r="A260" s="78" t="s">
        <v>621</v>
      </c>
      <c r="B260" s="78">
        <v>3.2</v>
      </c>
      <c r="C260" s="78">
        <f t="shared" si="1"/>
        <v>384</v>
      </c>
      <c r="D260" s="78">
        <f t="shared" si="7"/>
        <v>600</v>
      </c>
      <c r="E260" s="78">
        <f t="shared" si="5"/>
        <v>624</v>
      </c>
      <c r="F260" s="95">
        <f t="shared" si="8"/>
        <v>0.9999885888</v>
      </c>
      <c r="G260" s="69"/>
      <c r="T260" s="78" t="s">
        <v>622</v>
      </c>
      <c r="U260" s="78">
        <v>15.8</v>
      </c>
      <c r="V260" s="78">
        <f t="shared" si="3"/>
        <v>1896</v>
      </c>
      <c r="W260" s="78">
        <f t="shared" si="9"/>
        <v>600</v>
      </c>
      <c r="X260" s="78">
        <f t="shared" si="6"/>
        <v>7992</v>
      </c>
      <c r="Y260" s="95">
        <f t="shared" si="10"/>
        <v>0.9999885888</v>
      </c>
    </row>
    <row r="261">
      <c r="A261" s="78" t="s">
        <v>623</v>
      </c>
      <c r="B261" s="78">
        <v>6.2</v>
      </c>
      <c r="C261" s="78">
        <f t="shared" si="1"/>
        <v>744</v>
      </c>
      <c r="D261" s="78">
        <f t="shared" si="7"/>
        <v>600</v>
      </c>
      <c r="E261" s="78">
        <f t="shared" si="5"/>
        <v>768</v>
      </c>
      <c r="F261" s="95">
        <f t="shared" si="8"/>
        <v>0.9999885888</v>
      </c>
      <c r="G261" s="69"/>
      <c r="T261" s="78" t="s">
        <v>624</v>
      </c>
      <c r="U261" s="78">
        <v>0.8</v>
      </c>
      <c r="V261" s="78">
        <f t="shared" si="3"/>
        <v>96</v>
      </c>
      <c r="W261" s="78">
        <f t="shared" si="9"/>
        <v>600</v>
      </c>
      <c r="X261" s="78">
        <f t="shared" si="6"/>
        <v>7488</v>
      </c>
      <c r="Y261" s="95">
        <f t="shared" si="10"/>
        <v>0.9999885888</v>
      </c>
    </row>
    <row r="262">
      <c r="A262" s="78" t="s">
        <v>625</v>
      </c>
      <c r="B262" s="78">
        <v>0.0</v>
      </c>
      <c r="C262" s="78">
        <f t="shared" si="1"/>
        <v>0</v>
      </c>
      <c r="D262" s="78">
        <f t="shared" si="7"/>
        <v>600</v>
      </c>
      <c r="E262" s="78">
        <f t="shared" si="5"/>
        <v>168</v>
      </c>
      <c r="F262" s="95">
        <f t="shared" si="8"/>
        <v>0.9999885888</v>
      </c>
      <c r="G262" s="69"/>
      <c r="T262" s="78" t="s">
        <v>626</v>
      </c>
      <c r="U262" s="78">
        <v>2.4</v>
      </c>
      <c r="V262" s="78">
        <f t="shared" si="3"/>
        <v>288</v>
      </c>
      <c r="W262" s="78">
        <f t="shared" si="9"/>
        <v>600</v>
      </c>
      <c r="X262" s="78">
        <f t="shared" si="6"/>
        <v>7176</v>
      </c>
      <c r="Y262" s="95">
        <f t="shared" si="10"/>
        <v>0.9999885888</v>
      </c>
    </row>
    <row r="263">
      <c r="A263" s="78" t="s">
        <v>627</v>
      </c>
      <c r="B263" s="78">
        <v>0.0</v>
      </c>
      <c r="C263" s="78">
        <f t="shared" si="1"/>
        <v>0</v>
      </c>
      <c r="D263" s="78">
        <f t="shared" si="7"/>
        <v>600</v>
      </c>
      <c r="E263" s="78">
        <f t="shared" si="5"/>
        <v>0</v>
      </c>
      <c r="F263" s="95">
        <f t="shared" si="8"/>
        <v>0.9999885888</v>
      </c>
      <c r="G263" s="69"/>
      <c r="T263" s="78" t="s">
        <v>628</v>
      </c>
      <c r="U263" s="78">
        <v>0.0</v>
      </c>
      <c r="V263" s="78">
        <f t="shared" si="3"/>
        <v>0</v>
      </c>
      <c r="W263" s="78">
        <f t="shared" si="9"/>
        <v>600</v>
      </c>
      <c r="X263" s="78">
        <f t="shared" si="6"/>
        <v>6576</v>
      </c>
      <c r="Y263" s="95">
        <f t="shared" si="10"/>
        <v>0.9999885888</v>
      </c>
    </row>
    <row r="264">
      <c r="A264" s="78" t="s">
        <v>629</v>
      </c>
      <c r="B264" s="78">
        <v>0.0</v>
      </c>
      <c r="C264" s="78">
        <f t="shared" si="1"/>
        <v>0</v>
      </c>
      <c r="D264" s="78">
        <f t="shared" si="7"/>
        <v>600</v>
      </c>
      <c r="E264" s="78">
        <f t="shared" si="5"/>
        <v>0</v>
      </c>
      <c r="F264" s="95">
        <f t="shared" si="8"/>
        <v>0.9999885888</v>
      </c>
      <c r="G264" s="69"/>
      <c r="T264" s="78" t="s">
        <v>630</v>
      </c>
      <c r="U264" s="78">
        <v>1.6</v>
      </c>
      <c r="V264" s="78">
        <f t="shared" si="3"/>
        <v>192</v>
      </c>
      <c r="W264" s="78">
        <f t="shared" si="9"/>
        <v>600</v>
      </c>
      <c r="X264" s="78">
        <f t="shared" si="6"/>
        <v>6168</v>
      </c>
      <c r="Y264" s="95">
        <f t="shared" si="10"/>
        <v>0.9999885888</v>
      </c>
    </row>
    <row r="265">
      <c r="A265" s="78" t="s">
        <v>631</v>
      </c>
      <c r="B265" s="78">
        <v>0.0</v>
      </c>
      <c r="C265" s="78">
        <f t="shared" si="1"/>
        <v>0</v>
      </c>
      <c r="D265" s="78">
        <f t="shared" si="7"/>
        <v>600</v>
      </c>
      <c r="E265" s="78">
        <f t="shared" si="5"/>
        <v>0</v>
      </c>
      <c r="F265" s="95">
        <f t="shared" si="8"/>
        <v>0.9999885888</v>
      </c>
      <c r="G265" s="69"/>
      <c r="T265" s="78" t="s">
        <v>632</v>
      </c>
      <c r="U265" s="78">
        <v>0.0</v>
      </c>
      <c r="V265" s="78">
        <f t="shared" si="3"/>
        <v>0</v>
      </c>
      <c r="W265" s="78">
        <f t="shared" si="9"/>
        <v>600</v>
      </c>
      <c r="X265" s="78">
        <f t="shared" si="6"/>
        <v>5568</v>
      </c>
      <c r="Y265" s="95">
        <f t="shared" si="10"/>
        <v>0.9999885888</v>
      </c>
    </row>
    <row r="266">
      <c r="A266" s="78" t="s">
        <v>633</v>
      </c>
      <c r="B266" s="78">
        <v>0.0</v>
      </c>
      <c r="C266" s="78">
        <f t="shared" si="1"/>
        <v>0</v>
      </c>
      <c r="D266" s="78">
        <f t="shared" si="7"/>
        <v>600</v>
      </c>
      <c r="E266" s="78">
        <f t="shared" si="5"/>
        <v>0</v>
      </c>
      <c r="F266" s="95">
        <f t="shared" si="8"/>
        <v>0.9999885888</v>
      </c>
      <c r="G266" s="69"/>
      <c r="T266" s="78" t="s">
        <v>634</v>
      </c>
      <c r="U266" s="78">
        <v>29.6</v>
      </c>
      <c r="V266" s="78">
        <f t="shared" si="3"/>
        <v>3552</v>
      </c>
      <c r="W266" s="78">
        <f t="shared" si="9"/>
        <v>600</v>
      </c>
      <c r="X266" s="78">
        <f t="shared" si="6"/>
        <v>8520</v>
      </c>
      <c r="Y266" s="95">
        <f t="shared" si="10"/>
        <v>0.9999885888</v>
      </c>
    </row>
    <row r="267">
      <c r="A267" s="78" t="s">
        <v>635</v>
      </c>
      <c r="B267" s="78">
        <v>0.0</v>
      </c>
      <c r="C267" s="78">
        <f t="shared" si="1"/>
        <v>0</v>
      </c>
      <c r="D267" s="78">
        <f t="shared" si="7"/>
        <v>600</v>
      </c>
      <c r="E267" s="78">
        <f t="shared" si="5"/>
        <v>0</v>
      </c>
      <c r="F267" s="95">
        <f t="shared" si="8"/>
        <v>0.9999885888</v>
      </c>
      <c r="G267" s="69"/>
      <c r="T267" s="78" t="s">
        <v>636</v>
      </c>
      <c r="U267" s="78">
        <v>13.0</v>
      </c>
      <c r="V267" s="78">
        <f t="shared" si="3"/>
        <v>1560</v>
      </c>
      <c r="W267" s="78">
        <f t="shared" si="9"/>
        <v>600</v>
      </c>
      <c r="X267" s="78">
        <f t="shared" si="6"/>
        <v>9480</v>
      </c>
      <c r="Y267" s="95">
        <f t="shared" si="10"/>
        <v>0.9999885888</v>
      </c>
    </row>
    <row r="268">
      <c r="A268" s="78" t="s">
        <v>637</v>
      </c>
      <c r="B268" s="78">
        <v>0.0</v>
      </c>
      <c r="C268" s="78">
        <f t="shared" si="1"/>
        <v>0</v>
      </c>
      <c r="D268" s="78">
        <f t="shared" si="7"/>
        <v>600</v>
      </c>
      <c r="E268" s="78">
        <f t="shared" si="5"/>
        <v>0</v>
      </c>
      <c r="F268" s="95">
        <f t="shared" si="8"/>
        <v>0.9999885888</v>
      </c>
      <c r="G268" s="69"/>
      <c r="T268" s="78" t="s">
        <v>638</v>
      </c>
      <c r="U268" s="78">
        <v>1.4</v>
      </c>
      <c r="V268" s="78">
        <f t="shared" si="3"/>
        <v>168</v>
      </c>
      <c r="W268" s="78">
        <f t="shared" si="9"/>
        <v>600</v>
      </c>
      <c r="X268" s="78">
        <f t="shared" si="6"/>
        <v>9048</v>
      </c>
      <c r="Y268" s="95">
        <f t="shared" si="10"/>
        <v>0.9999885888</v>
      </c>
    </row>
    <row r="269">
      <c r="A269" s="78" t="s">
        <v>639</v>
      </c>
      <c r="B269" s="78">
        <v>0.0</v>
      </c>
      <c r="C269" s="78">
        <f t="shared" si="1"/>
        <v>0</v>
      </c>
      <c r="D269" s="78">
        <f t="shared" si="7"/>
        <v>600</v>
      </c>
      <c r="E269" s="78">
        <f t="shared" si="5"/>
        <v>0</v>
      </c>
      <c r="F269" s="95">
        <f t="shared" si="8"/>
        <v>0.9999885888</v>
      </c>
      <c r="G269" s="69"/>
      <c r="T269" s="78" t="s">
        <v>640</v>
      </c>
      <c r="U269" s="78">
        <v>0.0</v>
      </c>
      <c r="V269" s="78">
        <f t="shared" si="3"/>
        <v>0</v>
      </c>
      <c r="W269" s="78">
        <f t="shared" si="9"/>
        <v>600</v>
      </c>
      <c r="X269" s="78">
        <f t="shared" si="6"/>
        <v>8448</v>
      </c>
      <c r="Y269" s="95">
        <f t="shared" si="10"/>
        <v>0.9999885888</v>
      </c>
    </row>
    <row r="270">
      <c r="A270" s="78" t="s">
        <v>641</v>
      </c>
      <c r="B270" s="78">
        <v>0.0</v>
      </c>
      <c r="C270" s="78">
        <f t="shared" si="1"/>
        <v>0</v>
      </c>
      <c r="D270" s="78">
        <f t="shared" si="7"/>
        <v>600</v>
      </c>
      <c r="E270" s="78">
        <f t="shared" si="5"/>
        <v>0</v>
      </c>
      <c r="F270" s="95">
        <f t="shared" si="8"/>
        <v>0.9999885888</v>
      </c>
      <c r="G270" s="69"/>
      <c r="T270" s="78" t="s">
        <v>642</v>
      </c>
      <c r="U270" s="78">
        <v>0.0</v>
      </c>
      <c r="V270" s="78">
        <f t="shared" si="3"/>
        <v>0</v>
      </c>
      <c r="W270" s="78">
        <f t="shared" si="9"/>
        <v>600</v>
      </c>
      <c r="X270" s="78">
        <f t="shared" si="6"/>
        <v>7848</v>
      </c>
      <c r="Y270" s="95">
        <f t="shared" si="10"/>
        <v>0.9999885888</v>
      </c>
    </row>
    <row r="271">
      <c r="A271" s="78" t="s">
        <v>643</v>
      </c>
      <c r="B271" s="78">
        <v>0.0</v>
      </c>
      <c r="C271" s="78">
        <f t="shared" si="1"/>
        <v>0</v>
      </c>
      <c r="D271" s="78">
        <f t="shared" si="7"/>
        <v>600</v>
      </c>
      <c r="E271" s="78">
        <f t="shared" si="5"/>
        <v>0</v>
      </c>
      <c r="F271" s="95">
        <f t="shared" si="8"/>
        <v>0.9999885888</v>
      </c>
      <c r="G271" s="69"/>
      <c r="T271" s="78" t="s">
        <v>644</v>
      </c>
      <c r="U271" s="78">
        <v>0.0</v>
      </c>
      <c r="V271" s="78">
        <f t="shared" si="3"/>
        <v>0</v>
      </c>
      <c r="W271" s="78">
        <f t="shared" si="9"/>
        <v>600</v>
      </c>
      <c r="X271" s="78">
        <f t="shared" si="6"/>
        <v>7248</v>
      </c>
      <c r="Y271" s="95">
        <f t="shared" si="10"/>
        <v>0.9999885888</v>
      </c>
    </row>
    <row r="272">
      <c r="A272" s="78" t="s">
        <v>645</v>
      </c>
      <c r="B272" s="78">
        <v>0.0</v>
      </c>
      <c r="C272" s="78">
        <f t="shared" si="1"/>
        <v>0</v>
      </c>
      <c r="D272" s="78">
        <f t="shared" si="7"/>
        <v>600</v>
      </c>
      <c r="E272" s="78">
        <f t="shared" si="5"/>
        <v>0</v>
      </c>
      <c r="F272" s="95">
        <f t="shared" si="8"/>
        <v>0.9999885888</v>
      </c>
      <c r="G272" s="69"/>
      <c r="T272" s="78" t="s">
        <v>646</v>
      </c>
      <c r="U272" s="78">
        <v>0.0</v>
      </c>
      <c r="V272" s="78">
        <f t="shared" si="3"/>
        <v>0</v>
      </c>
      <c r="W272" s="78">
        <f t="shared" si="9"/>
        <v>600</v>
      </c>
      <c r="X272" s="78">
        <f t="shared" si="6"/>
        <v>6648</v>
      </c>
      <c r="Y272" s="95">
        <f t="shared" si="10"/>
        <v>0.9999885888</v>
      </c>
    </row>
    <row r="273">
      <c r="A273" s="78" t="s">
        <v>647</v>
      </c>
      <c r="B273" s="78">
        <v>0.0</v>
      </c>
      <c r="C273" s="78">
        <f t="shared" si="1"/>
        <v>0</v>
      </c>
      <c r="D273" s="78">
        <f t="shared" si="7"/>
        <v>600</v>
      </c>
      <c r="E273" s="78">
        <f t="shared" si="5"/>
        <v>0</v>
      </c>
      <c r="F273" s="95">
        <f t="shared" si="8"/>
        <v>0.9999885888</v>
      </c>
      <c r="G273" s="69"/>
      <c r="T273" s="78" t="s">
        <v>648</v>
      </c>
      <c r="U273" s="78">
        <v>0.0</v>
      </c>
      <c r="V273" s="78">
        <f t="shared" si="3"/>
        <v>0</v>
      </c>
      <c r="W273" s="78">
        <f t="shared" si="9"/>
        <v>600</v>
      </c>
      <c r="X273" s="78">
        <f t="shared" si="6"/>
        <v>6048</v>
      </c>
      <c r="Y273" s="95">
        <f t="shared" si="10"/>
        <v>0.9999885888</v>
      </c>
    </row>
    <row r="274">
      <c r="A274" s="78" t="s">
        <v>649</v>
      </c>
      <c r="B274" s="78">
        <v>0.0</v>
      </c>
      <c r="C274" s="78">
        <f t="shared" si="1"/>
        <v>0</v>
      </c>
      <c r="D274" s="78">
        <f t="shared" si="7"/>
        <v>600</v>
      </c>
      <c r="E274" s="78">
        <f t="shared" si="5"/>
        <v>0</v>
      </c>
      <c r="F274" s="95">
        <f t="shared" si="8"/>
        <v>0.9999885888</v>
      </c>
      <c r="G274" s="69"/>
      <c r="T274" s="78" t="s">
        <v>650</v>
      </c>
      <c r="U274" s="78">
        <v>2.0</v>
      </c>
      <c r="V274" s="78">
        <f t="shared" si="3"/>
        <v>240</v>
      </c>
      <c r="W274" s="78">
        <f t="shared" si="9"/>
        <v>600</v>
      </c>
      <c r="X274" s="78">
        <f t="shared" si="6"/>
        <v>5688</v>
      </c>
      <c r="Y274" s="95">
        <f t="shared" si="10"/>
        <v>0.9999885888</v>
      </c>
    </row>
    <row r="275">
      <c r="A275" s="78" t="s">
        <v>651</v>
      </c>
      <c r="B275" s="78">
        <v>0.0</v>
      </c>
      <c r="C275" s="78">
        <f t="shared" si="1"/>
        <v>0</v>
      </c>
      <c r="D275" s="78">
        <f t="shared" si="7"/>
        <v>600</v>
      </c>
      <c r="E275" s="78">
        <f t="shared" si="5"/>
        <v>0</v>
      </c>
      <c r="F275" s="95">
        <f t="shared" si="8"/>
        <v>0.9999885888</v>
      </c>
      <c r="G275" s="69"/>
      <c r="T275" s="78" t="s">
        <v>652</v>
      </c>
      <c r="U275" s="78">
        <v>4.0</v>
      </c>
      <c r="V275" s="78">
        <f t="shared" si="3"/>
        <v>480</v>
      </c>
      <c r="W275" s="78">
        <f t="shared" si="9"/>
        <v>600</v>
      </c>
      <c r="X275" s="78">
        <f t="shared" si="6"/>
        <v>5568</v>
      </c>
      <c r="Y275" s="95">
        <f t="shared" si="10"/>
        <v>0.9999885888</v>
      </c>
    </row>
    <row r="276">
      <c r="A276" s="78" t="s">
        <v>653</v>
      </c>
      <c r="B276" s="78">
        <v>0.0</v>
      </c>
      <c r="C276" s="78">
        <f t="shared" si="1"/>
        <v>0</v>
      </c>
      <c r="D276" s="78">
        <f t="shared" si="7"/>
        <v>600</v>
      </c>
      <c r="E276" s="78">
        <f t="shared" si="5"/>
        <v>0</v>
      </c>
      <c r="F276" s="95">
        <f t="shared" si="8"/>
        <v>0.9999885888</v>
      </c>
      <c r="G276" s="69"/>
      <c r="T276" s="78" t="s">
        <v>654</v>
      </c>
      <c r="U276" s="78">
        <v>2.8</v>
      </c>
      <c r="V276" s="78">
        <f t="shared" si="3"/>
        <v>336</v>
      </c>
      <c r="W276" s="78">
        <f t="shared" si="9"/>
        <v>600</v>
      </c>
      <c r="X276" s="78">
        <f t="shared" si="6"/>
        <v>5304</v>
      </c>
      <c r="Y276" s="95">
        <f t="shared" si="10"/>
        <v>0.9999885888</v>
      </c>
    </row>
    <row r="277">
      <c r="A277" s="78" t="s">
        <v>655</v>
      </c>
      <c r="B277" s="78">
        <v>26.4</v>
      </c>
      <c r="C277" s="78">
        <f t="shared" si="1"/>
        <v>3168</v>
      </c>
      <c r="D277" s="78">
        <f t="shared" si="7"/>
        <v>600</v>
      </c>
      <c r="E277" s="78">
        <f t="shared" si="5"/>
        <v>2568</v>
      </c>
      <c r="F277" s="95">
        <f t="shared" si="8"/>
        <v>0.9999885888</v>
      </c>
      <c r="G277" s="69"/>
      <c r="T277" s="78" t="s">
        <v>656</v>
      </c>
      <c r="U277" s="78">
        <v>46.4</v>
      </c>
      <c r="V277" s="78">
        <f t="shared" si="3"/>
        <v>5568</v>
      </c>
      <c r="W277" s="78">
        <f t="shared" si="9"/>
        <v>600</v>
      </c>
      <c r="X277" s="78">
        <f t="shared" si="6"/>
        <v>10272</v>
      </c>
      <c r="Y277" s="95">
        <f t="shared" si="10"/>
        <v>0.9999885888</v>
      </c>
    </row>
    <row r="278">
      <c r="A278" s="78" t="s">
        <v>657</v>
      </c>
      <c r="B278" s="78">
        <v>0.4</v>
      </c>
      <c r="C278" s="78">
        <f t="shared" si="1"/>
        <v>48</v>
      </c>
      <c r="D278" s="78">
        <f t="shared" si="7"/>
        <v>600</v>
      </c>
      <c r="E278" s="78">
        <f t="shared" si="5"/>
        <v>2016</v>
      </c>
      <c r="F278" s="95">
        <f t="shared" si="8"/>
        <v>0.9999885888</v>
      </c>
      <c r="G278" s="69"/>
      <c r="T278" s="78" t="s">
        <v>658</v>
      </c>
      <c r="U278" s="78">
        <v>86.8</v>
      </c>
      <c r="V278" s="78">
        <f t="shared" si="3"/>
        <v>10000</v>
      </c>
      <c r="W278" s="78">
        <f t="shared" si="9"/>
        <v>600</v>
      </c>
      <c r="X278" s="78">
        <f t="shared" si="6"/>
        <v>19672</v>
      </c>
      <c r="Y278" s="95">
        <f t="shared" si="10"/>
        <v>0.9999885888</v>
      </c>
    </row>
    <row r="279">
      <c r="A279" s="78" t="s">
        <v>659</v>
      </c>
      <c r="B279" s="78">
        <v>0.0</v>
      </c>
      <c r="C279" s="78">
        <f t="shared" si="1"/>
        <v>0</v>
      </c>
      <c r="D279" s="78">
        <f t="shared" si="7"/>
        <v>600</v>
      </c>
      <c r="E279" s="78">
        <f t="shared" si="5"/>
        <v>1416</v>
      </c>
      <c r="F279" s="95">
        <f t="shared" si="8"/>
        <v>0.9999885888</v>
      </c>
      <c r="G279" s="69"/>
      <c r="T279" s="78" t="s">
        <v>660</v>
      </c>
      <c r="U279" s="78">
        <v>1.4</v>
      </c>
      <c r="V279" s="78">
        <f t="shared" si="3"/>
        <v>168</v>
      </c>
      <c r="W279" s="78">
        <f t="shared" si="9"/>
        <v>600</v>
      </c>
      <c r="X279" s="78">
        <f t="shared" si="6"/>
        <v>19240</v>
      </c>
      <c r="Y279" s="95">
        <f t="shared" si="10"/>
        <v>0.9999885888</v>
      </c>
    </row>
    <row r="280">
      <c r="A280" s="78" t="s">
        <v>661</v>
      </c>
      <c r="B280" s="78">
        <v>2.0</v>
      </c>
      <c r="C280" s="78">
        <f t="shared" si="1"/>
        <v>240</v>
      </c>
      <c r="D280" s="78">
        <f t="shared" si="7"/>
        <v>600</v>
      </c>
      <c r="E280" s="78">
        <f t="shared" si="5"/>
        <v>1056</v>
      </c>
      <c r="F280" s="95">
        <f t="shared" si="8"/>
        <v>0.9999885888</v>
      </c>
      <c r="G280" s="69"/>
      <c r="T280" s="78" t="s">
        <v>662</v>
      </c>
      <c r="U280" s="78">
        <v>4.2</v>
      </c>
      <c r="V280" s="78">
        <f t="shared" si="3"/>
        <v>504</v>
      </c>
      <c r="W280" s="78">
        <f t="shared" si="9"/>
        <v>600</v>
      </c>
      <c r="X280" s="78">
        <f t="shared" si="6"/>
        <v>19144</v>
      </c>
      <c r="Y280" s="95">
        <f t="shared" si="10"/>
        <v>0.9999885888</v>
      </c>
    </row>
    <row r="281">
      <c r="A281" s="78" t="s">
        <v>663</v>
      </c>
      <c r="B281" s="78">
        <v>12.4</v>
      </c>
      <c r="C281" s="78">
        <f t="shared" si="1"/>
        <v>1488</v>
      </c>
      <c r="D281" s="78">
        <f t="shared" si="7"/>
        <v>600</v>
      </c>
      <c r="E281" s="78">
        <f t="shared" si="5"/>
        <v>1944</v>
      </c>
      <c r="F281" s="95">
        <f t="shared" si="8"/>
        <v>0.9999885888</v>
      </c>
      <c r="G281" s="69"/>
      <c r="T281" s="78" t="s">
        <v>664</v>
      </c>
      <c r="U281" s="78">
        <v>39.8</v>
      </c>
      <c r="V281" s="78">
        <f t="shared" si="3"/>
        <v>4776</v>
      </c>
      <c r="W281" s="78">
        <f t="shared" si="9"/>
        <v>600</v>
      </c>
      <c r="X281" s="78">
        <f t="shared" si="6"/>
        <v>23320</v>
      </c>
      <c r="Y281" s="95">
        <f t="shared" si="10"/>
        <v>0.9999885888</v>
      </c>
    </row>
    <row r="282">
      <c r="A282" s="78" t="s">
        <v>665</v>
      </c>
      <c r="B282" s="78">
        <v>29.4</v>
      </c>
      <c r="C282" s="78">
        <f t="shared" si="1"/>
        <v>3528</v>
      </c>
      <c r="D282" s="78">
        <f t="shared" si="7"/>
        <v>600</v>
      </c>
      <c r="E282" s="78">
        <f t="shared" si="5"/>
        <v>4872</v>
      </c>
      <c r="F282" s="95">
        <f t="shared" si="8"/>
        <v>0.9999885888</v>
      </c>
      <c r="G282" s="69"/>
      <c r="T282" s="78" t="s">
        <v>666</v>
      </c>
      <c r="U282" s="78">
        <v>29.8</v>
      </c>
      <c r="V282" s="78">
        <f t="shared" si="3"/>
        <v>3576</v>
      </c>
      <c r="W282" s="78">
        <f t="shared" si="9"/>
        <v>600</v>
      </c>
      <c r="X282" s="78">
        <f t="shared" si="6"/>
        <v>26296</v>
      </c>
      <c r="Y282" s="95">
        <f t="shared" si="10"/>
        <v>0.9999885888</v>
      </c>
    </row>
    <row r="283">
      <c r="A283" s="78" t="s">
        <v>667</v>
      </c>
      <c r="B283" s="78">
        <v>1.6</v>
      </c>
      <c r="C283" s="78">
        <f t="shared" si="1"/>
        <v>192</v>
      </c>
      <c r="D283" s="78">
        <f t="shared" si="7"/>
        <v>600</v>
      </c>
      <c r="E283" s="78">
        <f t="shared" si="5"/>
        <v>4464</v>
      </c>
      <c r="F283" s="95">
        <f t="shared" si="8"/>
        <v>0.9999885888</v>
      </c>
      <c r="G283" s="69"/>
      <c r="T283" s="78" t="s">
        <v>668</v>
      </c>
      <c r="U283" s="78">
        <v>11.8</v>
      </c>
      <c r="V283" s="78">
        <f t="shared" si="3"/>
        <v>1416</v>
      </c>
      <c r="W283" s="78">
        <f t="shared" si="9"/>
        <v>600</v>
      </c>
      <c r="X283" s="78">
        <f t="shared" si="6"/>
        <v>27000</v>
      </c>
      <c r="Y283" s="95">
        <f t="shared" si="10"/>
        <v>0.9999885888</v>
      </c>
    </row>
    <row r="284">
      <c r="A284" s="78" t="s">
        <v>669</v>
      </c>
      <c r="B284" s="78">
        <v>0.6</v>
      </c>
      <c r="C284" s="78">
        <f t="shared" si="1"/>
        <v>72</v>
      </c>
      <c r="D284" s="78">
        <f t="shared" si="7"/>
        <v>600</v>
      </c>
      <c r="E284" s="78">
        <f t="shared" si="5"/>
        <v>3936</v>
      </c>
      <c r="F284" s="95">
        <f t="shared" si="8"/>
        <v>0.9999885888</v>
      </c>
      <c r="G284" s="69"/>
      <c r="T284" s="78" t="s">
        <v>670</v>
      </c>
      <c r="U284" s="78">
        <v>1.6</v>
      </c>
      <c r="V284" s="78">
        <f t="shared" si="3"/>
        <v>192</v>
      </c>
      <c r="W284" s="78">
        <f t="shared" si="9"/>
        <v>600</v>
      </c>
      <c r="X284" s="78">
        <f t="shared" si="6"/>
        <v>26592</v>
      </c>
      <c r="Y284" s="95">
        <f t="shared" si="10"/>
        <v>0.9999885888</v>
      </c>
    </row>
    <row r="285">
      <c r="A285" s="78" t="s">
        <v>671</v>
      </c>
      <c r="B285" s="78">
        <v>8.2</v>
      </c>
      <c r="C285" s="78">
        <f t="shared" si="1"/>
        <v>984</v>
      </c>
      <c r="D285" s="78">
        <f t="shared" si="7"/>
        <v>600</v>
      </c>
      <c r="E285" s="78">
        <f t="shared" si="5"/>
        <v>4320</v>
      </c>
      <c r="F285" s="95">
        <f t="shared" si="8"/>
        <v>0.9999885888</v>
      </c>
      <c r="G285" s="69"/>
      <c r="T285" s="78" t="s">
        <v>672</v>
      </c>
      <c r="U285" s="78">
        <v>0.0</v>
      </c>
      <c r="V285" s="78">
        <f t="shared" si="3"/>
        <v>0</v>
      </c>
      <c r="W285" s="78">
        <f t="shared" si="9"/>
        <v>600</v>
      </c>
      <c r="X285" s="78">
        <f t="shared" si="6"/>
        <v>25992</v>
      </c>
      <c r="Y285" s="95">
        <f t="shared" si="10"/>
        <v>0.9999885888</v>
      </c>
    </row>
    <row r="286">
      <c r="A286" s="78" t="s">
        <v>673</v>
      </c>
      <c r="B286" s="78">
        <v>0.0</v>
      </c>
      <c r="C286" s="78">
        <f t="shared" si="1"/>
        <v>0</v>
      </c>
      <c r="D286" s="78">
        <f t="shared" si="7"/>
        <v>600</v>
      </c>
      <c r="E286" s="78">
        <f t="shared" si="5"/>
        <v>3720</v>
      </c>
      <c r="F286" s="95">
        <f t="shared" si="8"/>
        <v>0.9999885888</v>
      </c>
      <c r="G286" s="69"/>
      <c r="T286" s="78" t="s">
        <v>674</v>
      </c>
      <c r="U286" s="78">
        <v>0.0</v>
      </c>
      <c r="V286" s="78">
        <f t="shared" si="3"/>
        <v>0</v>
      </c>
      <c r="W286" s="78">
        <f t="shared" si="9"/>
        <v>600</v>
      </c>
      <c r="X286" s="78">
        <f t="shared" si="6"/>
        <v>25392</v>
      </c>
      <c r="Y286" s="95">
        <f t="shared" si="10"/>
        <v>0.9999885888</v>
      </c>
    </row>
    <row r="287">
      <c r="A287" s="78" t="s">
        <v>675</v>
      </c>
      <c r="B287" s="78">
        <v>12.4</v>
      </c>
      <c r="C287" s="78">
        <f t="shared" si="1"/>
        <v>1488</v>
      </c>
      <c r="D287" s="78">
        <f t="shared" si="7"/>
        <v>600</v>
      </c>
      <c r="E287" s="78">
        <f t="shared" si="5"/>
        <v>4608</v>
      </c>
      <c r="F287" s="95">
        <f t="shared" si="8"/>
        <v>0.9999885888</v>
      </c>
      <c r="G287" s="69"/>
      <c r="T287" s="78" t="s">
        <v>676</v>
      </c>
      <c r="U287" s="78">
        <v>0.0</v>
      </c>
      <c r="V287" s="78">
        <f t="shared" si="3"/>
        <v>0</v>
      </c>
      <c r="W287" s="78">
        <f t="shared" si="9"/>
        <v>600</v>
      </c>
      <c r="X287" s="78">
        <f t="shared" si="6"/>
        <v>24792</v>
      </c>
      <c r="Y287" s="95">
        <f t="shared" si="10"/>
        <v>0.9999885888</v>
      </c>
    </row>
    <row r="288">
      <c r="A288" s="78" t="s">
        <v>677</v>
      </c>
      <c r="B288" s="78">
        <v>5.6</v>
      </c>
      <c r="C288" s="78">
        <f t="shared" si="1"/>
        <v>672</v>
      </c>
      <c r="D288" s="78">
        <f t="shared" si="7"/>
        <v>600</v>
      </c>
      <c r="E288" s="78">
        <f t="shared" si="5"/>
        <v>4680</v>
      </c>
      <c r="F288" s="95">
        <f t="shared" si="8"/>
        <v>0.9999885888</v>
      </c>
      <c r="G288" s="69"/>
      <c r="T288" s="78" t="s">
        <v>678</v>
      </c>
      <c r="U288" s="78">
        <v>0.0</v>
      </c>
      <c r="V288" s="78">
        <f t="shared" si="3"/>
        <v>0</v>
      </c>
      <c r="W288" s="78">
        <f t="shared" si="9"/>
        <v>600</v>
      </c>
      <c r="X288" s="78">
        <f t="shared" si="6"/>
        <v>24192</v>
      </c>
      <c r="Y288" s="95">
        <f t="shared" si="10"/>
        <v>0.9999885888</v>
      </c>
    </row>
    <row r="289">
      <c r="A289" s="78" t="s">
        <v>679</v>
      </c>
      <c r="B289" s="78">
        <v>0.0</v>
      </c>
      <c r="C289" s="78">
        <f t="shared" si="1"/>
        <v>0</v>
      </c>
      <c r="D289" s="78">
        <f t="shared" si="7"/>
        <v>600</v>
      </c>
      <c r="E289" s="78">
        <f t="shared" si="5"/>
        <v>4080</v>
      </c>
      <c r="F289" s="95">
        <f t="shared" si="8"/>
        <v>0.9999885888</v>
      </c>
      <c r="G289" s="69"/>
      <c r="T289" s="78" t="s">
        <v>680</v>
      </c>
      <c r="U289" s="78">
        <v>0.0</v>
      </c>
      <c r="V289" s="78">
        <f t="shared" si="3"/>
        <v>0</v>
      </c>
      <c r="W289" s="78">
        <f t="shared" si="9"/>
        <v>600</v>
      </c>
      <c r="X289" s="78">
        <f t="shared" si="6"/>
        <v>23592</v>
      </c>
      <c r="Y289" s="95">
        <f t="shared" si="10"/>
        <v>0.9999885888</v>
      </c>
    </row>
    <row r="290">
      <c r="A290" s="78" t="s">
        <v>681</v>
      </c>
      <c r="B290" s="78">
        <v>0.0</v>
      </c>
      <c r="C290" s="78">
        <f t="shared" si="1"/>
        <v>0</v>
      </c>
      <c r="D290" s="78">
        <f t="shared" si="7"/>
        <v>600</v>
      </c>
      <c r="E290" s="78">
        <f t="shared" si="5"/>
        <v>3480</v>
      </c>
      <c r="F290" s="95">
        <f t="shared" si="8"/>
        <v>0.9999885888</v>
      </c>
      <c r="G290" s="69"/>
      <c r="T290" s="78" t="s">
        <v>682</v>
      </c>
      <c r="U290" s="78">
        <v>0.0</v>
      </c>
      <c r="V290" s="78">
        <f t="shared" si="3"/>
        <v>0</v>
      </c>
      <c r="W290" s="78">
        <f t="shared" si="9"/>
        <v>600</v>
      </c>
      <c r="X290" s="78">
        <f t="shared" si="6"/>
        <v>22992</v>
      </c>
      <c r="Y290" s="95">
        <f t="shared" si="10"/>
        <v>0.9999885888</v>
      </c>
    </row>
    <row r="291">
      <c r="A291" s="78" t="s">
        <v>683</v>
      </c>
      <c r="B291" s="78">
        <v>0.0</v>
      </c>
      <c r="C291" s="78">
        <f t="shared" si="1"/>
        <v>0</v>
      </c>
      <c r="D291" s="78">
        <f t="shared" si="7"/>
        <v>600</v>
      </c>
      <c r="E291" s="78">
        <f t="shared" si="5"/>
        <v>2880</v>
      </c>
      <c r="F291" s="95">
        <f t="shared" si="8"/>
        <v>0.9999885888</v>
      </c>
      <c r="G291" s="69"/>
      <c r="T291" s="78" t="s">
        <v>684</v>
      </c>
      <c r="U291" s="78">
        <v>0.0</v>
      </c>
      <c r="V291" s="78">
        <f t="shared" si="3"/>
        <v>0</v>
      </c>
      <c r="W291" s="78">
        <f t="shared" si="9"/>
        <v>600</v>
      </c>
      <c r="X291" s="78">
        <f t="shared" si="6"/>
        <v>22392</v>
      </c>
      <c r="Y291" s="95">
        <f t="shared" si="10"/>
        <v>0.9999885888</v>
      </c>
    </row>
    <row r="292">
      <c r="A292" s="78" t="s">
        <v>685</v>
      </c>
      <c r="B292" s="78">
        <v>57.8</v>
      </c>
      <c r="C292" s="78">
        <f t="shared" si="1"/>
        <v>6936</v>
      </c>
      <c r="D292" s="78">
        <f t="shared" si="7"/>
        <v>600</v>
      </c>
      <c r="E292" s="78">
        <f t="shared" si="5"/>
        <v>9216</v>
      </c>
      <c r="F292" s="95">
        <f t="shared" si="8"/>
        <v>0.9999885888</v>
      </c>
      <c r="G292" s="69"/>
      <c r="T292" s="78" t="s">
        <v>686</v>
      </c>
      <c r="U292" s="78">
        <v>0.0</v>
      </c>
      <c r="V292" s="78">
        <f t="shared" si="3"/>
        <v>0</v>
      </c>
      <c r="W292" s="78">
        <f t="shared" si="9"/>
        <v>600</v>
      </c>
      <c r="X292" s="78">
        <f t="shared" si="6"/>
        <v>21792</v>
      </c>
      <c r="Y292" s="95">
        <f t="shared" si="10"/>
        <v>0.9999885888</v>
      </c>
    </row>
    <row r="293">
      <c r="A293" s="78" t="s">
        <v>687</v>
      </c>
      <c r="B293" s="78">
        <v>6.0</v>
      </c>
      <c r="C293" s="78">
        <f t="shared" si="1"/>
        <v>720</v>
      </c>
      <c r="D293" s="78">
        <f t="shared" si="7"/>
        <v>600</v>
      </c>
      <c r="E293" s="78">
        <f t="shared" si="5"/>
        <v>9336</v>
      </c>
      <c r="F293" s="95">
        <f t="shared" si="8"/>
        <v>0.9999885888</v>
      </c>
      <c r="G293" s="69"/>
      <c r="T293" s="78" t="s">
        <v>688</v>
      </c>
      <c r="U293" s="78">
        <v>0.0</v>
      </c>
      <c r="V293" s="78">
        <f t="shared" si="3"/>
        <v>0</v>
      </c>
      <c r="W293" s="78">
        <f t="shared" si="9"/>
        <v>600</v>
      </c>
      <c r="X293" s="78">
        <f t="shared" si="6"/>
        <v>21192</v>
      </c>
      <c r="Y293" s="95">
        <f t="shared" si="10"/>
        <v>0.9999885888</v>
      </c>
    </row>
    <row r="294">
      <c r="A294" s="78" t="s">
        <v>689</v>
      </c>
      <c r="B294" s="78">
        <v>9.2</v>
      </c>
      <c r="C294" s="78">
        <f t="shared" si="1"/>
        <v>1104</v>
      </c>
      <c r="D294" s="78">
        <f t="shared" si="7"/>
        <v>600</v>
      </c>
      <c r="E294" s="78">
        <f t="shared" si="5"/>
        <v>9840</v>
      </c>
      <c r="F294" s="95">
        <f t="shared" si="8"/>
        <v>0.9999885888</v>
      </c>
      <c r="G294" s="69"/>
      <c r="T294" s="78" t="s">
        <v>690</v>
      </c>
      <c r="U294" s="78">
        <v>0.0</v>
      </c>
      <c r="V294" s="78">
        <f t="shared" si="3"/>
        <v>0</v>
      </c>
      <c r="W294" s="78">
        <f t="shared" si="9"/>
        <v>600</v>
      </c>
      <c r="X294" s="78">
        <f t="shared" si="6"/>
        <v>20592</v>
      </c>
      <c r="Y294" s="95">
        <f t="shared" si="10"/>
        <v>0.9999885888</v>
      </c>
    </row>
    <row r="295">
      <c r="A295" s="78" t="s">
        <v>691</v>
      </c>
      <c r="B295" s="78">
        <v>0.4</v>
      </c>
      <c r="C295" s="78">
        <f t="shared" si="1"/>
        <v>48</v>
      </c>
      <c r="D295" s="78">
        <f t="shared" si="7"/>
        <v>600</v>
      </c>
      <c r="E295" s="78">
        <f t="shared" si="5"/>
        <v>9288</v>
      </c>
      <c r="F295" s="95">
        <f t="shared" si="8"/>
        <v>0.9999885888</v>
      </c>
      <c r="G295" s="69"/>
      <c r="T295" s="78" t="s">
        <v>692</v>
      </c>
      <c r="U295" s="78">
        <v>4.0</v>
      </c>
      <c r="V295" s="78">
        <f t="shared" si="3"/>
        <v>480</v>
      </c>
      <c r="W295" s="78">
        <f t="shared" si="9"/>
        <v>600</v>
      </c>
      <c r="X295" s="78">
        <f t="shared" si="6"/>
        <v>20472</v>
      </c>
      <c r="Y295" s="95">
        <f t="shared" si="10"/>
        <v>0.9999885888</v>
      </c>
    </row>
    <row r="296">
      <c r="A296" s="78" t="s">
        <v>693</v>
      </c>
      <c r="B296" s="78">
        <v>0.0</v>
      </c>
      <c r="C296" s="78">
        <f t="shared" si="1"/>
        <v>0</v>
      </c>
      <c r="D296" s="78">
        <f t="shared" si="7"/>
        <v>600</v>
      </c>
      <c r="E296" s="78">
        <f t="shared" si="5"/>
        <v>8688</v>
      </c>
      <c r="F296" s="95">
        <f t="shared" si="8"/>
        <v>0.9999885888</v>
      </c>
      <c r="G296" s="69"/>
      <c r="T296" s="78" t="s">
        <v>694</v>
      </c>
      <c r="U296" s="78">
        <v>15.6</v>
      </c>
      <c r="V296" s="78">
        <f t="shared" si="3"/>
        <v>1872</v>
      </c>
      <c r="W296" s="78">
        <f t="shared" si="9"/>
        <v>600</v>
      </c>
      <c r="X296" s="78">
        <f t="shared" si="6"/>
        <v>21744</v>
      </c>
      <c r="Y296" s="95">
        <f t="shared" si="10"/>
        <v>0.9999885888</v>
      </c>
    </row>
    <row r="297">
      <c r="A297" s="78" t="s">
        <v>695</v>
      </c>
      <c r="B297" s="78">
        <v>1.4</v>
      </c>
      <c r="C297" s="78">
        <f t="shared" si="1"/>
        <v>168</v>
      </c>
      <c r="D297" s="78">
        <f t="shared" si="7"/>
        <v>600</v>
      </c>
      <c r="E297" s="78">
        <f t="shared" si="5"/>
        <v>8256</v>
      </c>
      <c r="F297" s="95">
        <f t="shared" si="8"/>
        <v>0.9999885888</v>
      </c>
      <c r="G297" s="69"/>
      <c r="T297" s="78" t="s">
        <v>696</v>
      </c>
      <c r="U297" s="78">
        <v>9.2</v>
      </c>
      <c r="V297" s="78">
        <f t="shared" si="3"/>
        <v>1104</v>
      </c>
      <c r="W297" s="78">
        <f t="shared" si="9"/>
        <v>600</v>
      </c>
      <c r="X297" s="78">
        <f t="shared" si="6"/>
        <v>22248</v>
      </c>
      <c r="Y297" s="95">
        <f t="shared" si="10"/>
        <v>0.9999885888</v>
      </c>
    </row>
    <row r="298">
      <c r="A298" s="78" t="s">
        <v>697</v>
      </c>
      <c r="B298" s="78">
        <v>1.8</v>
      </c>
      <c r="C298" s="78">
        <f t="shared" si="1"/>
        <v>216</v>
      </c>
      <c r="D298" s="78">
        <f t="shared" si="7"/>
        <v>600</v>
      </c>
      <c r="E298" s="78">
        <f t="shared" si="5"/>
        <v>7872</v>
      </c>
      <c r="F298" s="95">
        <f t="shared" si="8"/>
        <v>0.9999885888</v>
      </c>
      <c r="G298" s="69"/>
      <c r="T298" s="78" t="s">
        <v>698</v>
      </c>
      <c r="U298" s="78">
        <v>26.4</v>
      </c>
      <c r="V298" s="78">
        <f t="shared" si="3"/>
        <v>3168</v>
      </c>
      <c r="W298" s="78">
        <f t="shared" si="9"/>
        <v>600</v>
      </c>
      <c r="X298" s="78">
        <f t="shared" si="6"/>
        <v>24816</v>
      </c>
      <c r="Y298" s="95">
        <f t="shared" si="10"/>
        <v>0.9999885888</v>
      </c>
    </row>
    <row r="299">
      <c r="A299" s="78" t="s">
        <v>699</v>
      </c>
      <c r="B299" s="78">
        <v>17.8</v>
      </c>
      <c r="C299" s="78">
        <f t="shared" si="1"/>
        <v>2136</v>
      </c>
      <c r="D299" s="78">
        <f t="shared" si="7"/>
        <v>600</v>
      </c>
      <c r="E299" s="78">
        <f t="shared" si="5"/>
        <v>9408</v>
      </c>
      <c r="F299" s="95">
        <f t="shared" si="8"/>
        <v>0.9999885888</v>
      </c>
      <c r="G299" s="69"/>
      <c r="T299" s="78" t="s">
        <v>700</v>
      </c>
      <c r="U299" s="78">
        <v>27.0</v>
      </c>
      <c r="V299" s="78">
        <f t="shared" si="3"/>
        <v>3240</v>
      </c>
      <c r="W299" s="78">
        <f t="shared" si="9"/>
        <v>600</v>
      </c>
      <c r="X299" s="78">
        <f t="shared" si="6"/>
        <v>27000</v>
      </c>
      <c r="Y299" s="95">
        <f t="shared" si="10"/>
        <v>0.9999885888</v>
      </c>
    </row>
    <row r="300">
      <c r="A300" s="78" t="s">
        <v>701</v>
      </c>
      <c r="B300" s="78">
        <v>15.4</v>
      </c>
      <c r="C300" s="78">
        <f t="shared" si="1"/>
        <v>1848</v>
      </c>
      <c r="D300" s="78">
        <f t="shared" si="7"/>
        <v>600</v>
      </c>
      <c r="E300" s="78">
        <f t="shared" si="5"/>
        <v>10656</v>
      </c>
      <c r="F300" s="95">
        <f t="shared" si="8"/>
        <v>0.9999885888</v>
      </c>
      <c r="G300" s="69"/>
      <c r="T300" s="78" t="s">
        <v>702</v>
      </c>
      <c r="U300" s="78">
        <v>37.6</v>
      </c>
      <c r="V300" s="78">
        <f t="shared" si="3"/>
        <v>4512</v>
      </c>
      <c r="W300" s="78">
        <f t="shared" si="9"/>
        <v>600</v>
      </c>
      <c r="X300" s="78">
        <f t="shared" si="6"/>
        <v>27000</v>
      </c>
      <c r="Y300" s="95">
        <f t="shared" si="10"/>
        <v>0.9999885888</v>
      </c>
    </row>
    <row r="301">
      <c r="A301" s="78" t="s">
        <v>703</v>
      </c>
      <c r="B301" s="78">
        <v>33.0</v>
      </c>
      <c r="C301" s="78">
        <f t="shared" si="1"/>
        <v>3960</v>
      </c>
      <c r="D301" s="78">
        <f t="shared" si="7"/>
        <v>600</v>
      </c>
      <c r="E301" s="78">
        <f t="shared" si="5"/>
        <v>14016</v>
      </c>
      <c r="F301" s="95">
        <f t="shared" si="8"/>
        <v>0.9999885888</v>
      </c>
      <c r="G301" s="69"/>
      <c r="T301" s="78" t="s">
        <v>704</v>
      </c>
      <c r="U301" s="78">
        <v>0.8</v>
      </c>
      <c r="V301" s="78">
        <f t="shared" si="3"/>
        <v>96</v>
      </c>
      <c r="W301" s="78">
        <f t="shared" si="9"/>
        <v>600</v>
      </c>
      <c r="X301" s="78">
        <f t="shared" si="6"/>
        <v>26496</v>
      </c>
      <c r="Y301" s="95">
        <f t="shared" si="10"/>
        <v>0.9999885888</v>
      </c>
    </row>
    <row r="302">
      <c r="A302" s="78" t="s">
        <v>705</v>
      </c>
      <c r="B302" s="78">
        <v>31.4</v>
      </c>
      <c r="C302" s="78">
        <f t="shared" si="1"/>
        <v>3768</v>
      </c>
      <c r="D302" s="78">
        <f t="shared" si="7"/>
        <v>600</v>
      </c>
      <c r="E302" s="78">
        <f t="shared" si="5"/>
        <v>17184</v>
      </c>
      <c r="F302" s="95">
        <f t="shared" si="8"/>
        <v>0.9999885888</v>
      </c>
      <c r="G302" s="69"/>
      <c r="T302" s="78" t="s">
        <v>706</v>
      </c>
      <c r="U302" s="78">
        <v>0.6</v>
      </c>
      <c r="V302" s="78">
        <f t="shared" si="3"/>
        <v>72</v>
      </c>
      <c r="W302" s="78">
        <f t="shared" si="9"/>
        <v>600</v>
      </c>
      <c r="X302" s="78">
        <f t="shared" si="6"/>
        <v>25968</v>
      </c>
      <c r="Y302" s="95">
        <f t="shared" si="10"/>
        <v>0.9999885888</v>
      </c>
    </row>
    <row r="303">
      <c r="A303" s="78" t="s">
        <v>707</v>
      </c>
      <c r="B303" s="78">
        <v>28.4</v>
      </c>
      <c r="C303" s="78">
        <f t="shared" si="1"/>
        <v>3408</v>
      </c>
      <c r="D303" s="78">
        <f t="shared" si="7"/>
        <v>600</v>
      </c>
      <c r="E303" s="78">
        <f t="shared" si="5"/>
        <v>19992</v>
      </c>
      <c r="F303" s="95">
        <f t="shared" si="8"/>
        <v>0.9999885888</v>
      </c>
      <c r="G303" s="69"/>
      <c r="T303" s="78" t="s">
        <v>708</v>
      </c>
      <c r="U303" s="78">
        <v>0.0</v>
      </c>
      <c r="V303" s="78">
        <f t="shared" si="3"/>
        <v>0</v>
      </c>
      <c r="W303" s="78">
        <f t="shared" si="9"/>
        <v>600</v>
      </c>
      <c r="X303" s="78">
        <f t="shared" si="6"/>
        <v>25368</v>
      </c>
      <c r="Y303" s="95">
        <f t="shared" si="10"/>
        <v>0.9999885888</v>
      </c>
    </row>
    <row r="304">
      <c r="A304" s="78" t="s">
        <v>709</v>
      </c>
      <c r="B304" s="78">
        <v>6.4</v>
      </c>
      <c r="C304" s="78">
        <f t="shared" si="1"/>
        <v>768</v>
      </c>
      <c r="D304" s="78">
        <f t="shared" si="7"/>
        <v>600</v>
      </c>
      <c r="E304" s="78">
        <f t="shared" si="5"/>
        <v>20160</v>
      </c>
      <c r="F304" s="95">
        <f t="shared" si="8"/>
        <v>0.9999885888</v>
      </c>
      <c r="G304" s="69"/>
      <c r="T304" s="78" t="s">
        <v>710</v>
      </c>
      <c r="U304" s="78">
        <v>0.0</v>
      </c>
      <c r="V304" s="78">
        <f t="shared" si="3"/>
        <v>0</v>
      </c>
      <c r="W304" s="78">
        <f t="shared" si="9"/>
        <v>600</v>
      </c>
      <c r="X304" s="78">
        <f t="shared" si="6"/>
        <v>24768</v>
      </c>
      <c r="Y304" s="95">
        <f t="shared" si="10"/>
        <v>0.9999885888</v>
      </c>
    </row>
    <row r="305">
      <c r="A305" s="78" t="s">
        <v>711</v>
      </c>
      <c r="B305" s="78">
        <v>17.2</v>
      </c>
      <c r="C305" s="78">
        <f t="shared" si="1"/>
        <v>2064</v>
      </c>
      <c r="D305" s="78">
        <f t="shared" si="7"/>
        <v>600</v>
      </c>
      <c r="E305" s="78">
        <f t="shared" si="5"/>
        <v>21624</v>
      </c>
      <c r="F305" s="95">
        <f t="shared" si="8"/>
        <v>0.9999885888</v>
      </c>
      <c r="G305" s="69"/>
      <c r="T305" s="78" t="s">
        <v>712</v>
      </c>
      <c r="U305" s="78">
        <v>14.2</v>
      </c>
      <c r="V305" s="78">
        <f t="shared" si="3"/>
        <v>1704</v>
      </c>
      <c r="W305" s="78">
        <f t="shared" si="9"/>
        <v>600</v>
      </c>
      <c r="X305" s="78">
        <f t="shared" si="6"/>
        <v>25872</v>
      </c>
      <c r="Y305" s="95">
        <f t="shared" si="10"/>
        <v>0.9999885888</v>
      </c>
    </row>
    <row r="306">
      <c r="A306" s="78" t="s">
        <v>713</v>
      </c>
      <c r="B306" s="78">
        <v>27.0</v>
      </c>
      <c r="C306" s="78">
        <f t="shared" si="1"/>
        <v>3240</v>
      </c>
      <c r="D306" s="78">
        <f t="shared" si="7"/>
        <v>600</v>
      </c>
      <c r="E306" s="78">
        <f t="shared" si="5"/>
        <v>24264</v>
      </c>
      <c r="F306" s="95">
        <f t="shared" si="8"/>
        <v>0.9999885888</v>
      </c>
      <c r="G306" s="69"/>
      <c r="T306" s="78" t="s">
        <v>714</v>
      </c>
      <c r="U306" s="78">
        <v>6.4</v>
      </c>
      <c r="V306" s="78">
        <f t="shared" si="3"/>
        <v>768</v>
      </c>
      <c r="W306" s="78">
        <f t="shared" si="9"/>
        <v>600</v>
      </c>
      <c r="X306" s="78">
        <f t="shared" si="6"/>
        <v>26040</v>
      </c>
      <c r="Y306" s="95">
        <f t="shared" si="10"/>
        <v>0.9999885888</v>
      </c>
    </row>
    <row r="307">
      <c r="A307" s="78" t="s">
        <v>715</v>
      </c>
      <c r="B307" s="78">
        <v>16.8</v>
      </c>
      <c r="C307" s="78">
        <f t="shared" si="1"/>
        <v>2016</v>
      </c>
      <c r="D307" s="78">
        <f t="shared" si="7"/>
        <v>600</v>
      </c>
      <c r="E307" s="78">
        <f t="shared" si="5"/>
        <v>25680</v>
      </c>
      <c r="F307" s="95">
        <f t="shared" si="8"/>
        <v>0.9999885888</v>
      </c>
      <c r="G307" s="69"/>
      <c r="T307" s="78" t="s">
        <v>716</v>
      </c>
      <c r="U307" s="78">
        <v>23.4</v>
      </c>
      <c r="V307" s="78">
        <f t="shared" si="3"/>
        <v>2808</v>
      </c>
      <c r="W307" s="78">
        <f t="shared" si="9"/>
        <v>600</v>
      </c>
      <c r="X307" s="78">
        <f t="shared" si="6"/>
        <v>27000</v>
      </c>
      <c r="Y307" s="95">
        <f t="shared" si="10"/>
        <v>0.9999885888</v>
      </c>
    </row>
    <row r="308">
      <c r="A308" s="78" t="s">
        <v>717</v>
      </c>
      <c r="B308" s="78">
        <v>46.2</v>
      </c>
      <c r="C308" s="78">
        <f t="shared" si="1"/>
        <v>5544</v>
      </c>
      <c r="D308" s="78">
        <f t="shared" si="7"/>
        <v>600</v>
      </c>
      <c r="E308" s="78">
        <f t="shared" si="5"/>
        <v>27000</v>
      </c>
      <c r="F308" s="95">
        <f t="shared" si="8"/>
        <v>0.9999885888</v>
      </c>
      <c r="G308" s="69"/>
      <c r="T308" s="78" t="s">
        <v>718</v>
      </c>
      <c r="U308" s="78">
        <v>0.6</v>
      </c>
      <c r="V308" s="78">
        <f t="shared" si="3"/>
        <v>72</v>
      </c>
      <c r="W308" s="78">
        <f t="shared" si="9"/>
        <v>600</v>
      </c>
      <c r="X308" s="78">
        <f t="shared" si="6"/>
        <v>26472</v>
      </c>
      <c r="Y308" s="95">
        <f t="shared" si="10"/>
        <v>0.9999885888</v>
      </c>
    </row>
    <row r="309">
      <c r="A309" s="78" t="s">
        <v>719</v>
      </c>
      <c r="B309" s="78">
        <v>10.8</v>
      </c>
      <c r="C309" s="78">
        <f t="shared" si="1"/>
        <v>1296</v>
      </c>
      <c r="D309" s="78">
        <f t="shared" si="7"/>
        <v>600</v>
      </c>
      <c r="E309" s="78">
        <f t="shared" si="5"/>
        <v>27000</v>
      </c>
      <c r="F309" s="95">
        <f t="shared" si="8"/>
        <v>0.9999885888</v>
      </c>
      <c r="G309" s="69"/>
      <c r="T309" s="78" t="s">
        <v>720</v>
      </c>
      <c r="U309" s="78">
        <v>10.2</v>
      </c>
      <c r="V309" s="78">
        <f t="shared" si="3"/>
        <v>1224</v>
      </c>
      <c r="W309" s="78">
        <f t="shared" si="9"/>
        <v>600</v>
      </c>
      <c r="X309" s="78">
        <f t="shared" si="6"/>
        <v>27000</v>
      </c>
      <c r="Y309" s="95">
        <f t="shared" si="10"/>
        <v>0.9999885888</v>
      </c>
    </row>
    <row r="310">
      <c r="A310" s="78" t="s">
        <v>721</v>
      </c>
      <c r="B310" s="78">
        <v>40.2</v>
      </c>
      <c r="C310" s="78">
        <f t="shared" si="1"/>
        <v>4824</v>
      </c>
      <c r="D310" s="78">
        <f t="shared" si="7"/>
        <v>600</v>
      </c>
      <c r="E310" s="78">
        <f t="shared" si="5"/>
        <v>27000</v>
      </c>
      <c r="F310" s="95">
        <f t="shared" si="8"/>
        <v>0.9999885888</v>
      </c>
      <c r="G310" s="69"/>
      <c r="T310" s="78" t="s">
        <v>722</v>
      </c>
      <c r="U310" s="78">
        <v>4.0</v>
      </c>
      <c r="V310" s="78">
        <f t="shared" si="3"/>
        <v>480</v>
      </c>
      <c r="W310" s="78">
        <f t="shared" si="9"/>
        <v>600</v>
      </c>
      <c r="X310" s="78">
        <f t="shared" si="6"/>
        <v>26880</v>
      </c>
      <c r="Y310" s="95">
        <f t="shared" si="10"/>
        <v>0.9999885888</v>
      </c>
    </row>
    <row r="311">
      <c r="A311" s="78" t="s">
        <v>723</v>
      </c>
      <c r="B311" s="78">
        <v>21.4</v>
      </c>
      <c r="C311" s="78">
        <f t="shared" si="1"/>
        <v>2568</v>
      </c>
      <c r="D311" s="78">
        <f t="shared" si="7"/>
        <v>600</v>
      </c>
      <c r="E311" s="78">
        <f t="shared" si="5"/>
        <v>27000</v>
      </c>
      <c r="F311" s="95">
        <f t="shared" si="8"/>
        <v>0.9999885888</v>
      </c>
      <c r="G311" s="69"/>
      <c r="T311" s="78" t="s">
        <v>724</v>
      </c>
      <c r="U311" s="78">
        <v>9.8</v>
      </c>
      <c r="V311" s="78">
        <f t="shared" si="3"/>
        <v>1176</v>
      </c>
      <c r="W311" s="78">
        <f t="shared" si="9"/>
        <v>600</v>
      </c>
      <c r="X311" s="78">
        <f t="shared" si="6"/>
        <v>27000</v>
      </c>
      <c r="Y311" s="95">
        <f t="shared" si="10"/>
        <v>0.9999885888</v>
      </c>
    </row>
    <row r="312">
      <c r="A312" s="78" t="s">
        <v>725</v>
      </c>
      <c r="B312" s="78">
        <v>9.4</v>
      </c>
      <c r="C312" s="78">
        <f t="shared" si="1"/>
        <v>1128</v>
      </c>
      <c r="D312" s="78">
        <f t="shared" si="7"/>
        <v>600</v>
      </c>
      <c r="E312" s="78">
        <f t="shared" si="5"/>
        <v>27000</v>
      </c>
      <c r="F312" s="95">
        <f t="shared" si="8"/>
        <v>0.9999885888</v>
      </c>
      <c r="G312" s="69"/>
      <c r="T312" s="78" t="s">
        <v>726</v>
      </c>
      <c r="U312" s="78">
        <v>0.0</v>
      </c>
      <c r="V312" s="78">
        <f t="shared" si="3"/>
        <v>0</v>
      </c>
      <c r="W312" s="78">
        <f t="shared" si="9"/>
        <v>600</v>
      </c>
      <c r="X312" s="78">
        <f t="shared" si="6"/>
        <v>26400</v>
      </c>
      <c r="Y312" s="95">
        <f t="shared" si="10"/>
        <v>0.9999885888</v>
      </c>
    </row>
    <row r="313">
      <c r="A313" s="78" t="s">
        <v>727</v>
      </c>
      <c r="B313" s="78">
        <v>1.6</v>
      </c>
      <c r="C313" s="78">
        <f t="shared" si="1"/>
        <v>192</v>
      </c>
      <c r="D313" s="78">
        <f t="shared" si="7"/>
        <v>600</v>
      </c>
      <c r="E313" s="78">
        <f t="shared" si="5"/>
        <v>26592</v>
      </c>
      <c r="F313" s="95">
        <f t="shared" si="8"/>
        <v>0.9999885888</v>
      </c>
      <c r="G313" s="69"/>
      <c r="T313" s="78" t="s">
        <v>728</v>
      </c>
      <c r="U313" s="78">
        <v>5.8</v>
      </c>
      <c r="V313" s="78">
        <f t="shared" si="3"/>
        <v>696</v>
      </c>
      <c r="W313" s="78">
        <f t="shared" si="9"/>
        <v>600</v>
      </c>
      <c r="X313" s="78">
        <f t="shared" si="6"/>
        <v>26496</v>
      </c>
      <c r="Y313" s="95">
        <f t="shared" si="10"/>
        <v>0.9999885888</v>
      </c>
    </row>
    <row r="314">
      <c r="A314" s="78" t="s">
        <v>729</v>
      </c>
      <c r="B314" s="78">
        <v>21.8</v>
      </c>
      <c r="C314" s="78">
        <f t="shared" si="1"/>
        <v>2616</v>
      </c>
      <c r="D314" s="78">
        <f t="shared" si="7"/>
        <v>600</v>
      </c>
      <c r="E314" s="78">
        <f t="shared" si="5"/>
        <v>27000</v>
      </c>
      <c r="F314" s="95">
        <f t="shared" si="8"/>
        <v>0.9999885888</v>
      </c>
      <c r="G314" s="69"/>
      <c r="T314" s="78" t="s">
        <v>730</v>
      </c>
      <c r="U314" s="78">
        <v>4.0</v>
      </c>
      <c r="V314" s="78">
        <f t="shared" si="3"/>
        <v>480</v>
      </c>
      <c r="W314" s="78">
        <f t="shared" si="9"/>
        <v>600</v>
      </c>
      <c r="X314" s="78">
        <f t="shared" si="6"/>
        <v>26376</v>
      </c>
      <c r="Y314" s="95">
        <f t="shared" si="10"/>
        <v>0.9999885888</v>
      </c>
    </row>
    <row r="315">
      <c r="A315" s="78" t="s">
        <v>731</v>
      </c>
      <c r="B315" s="78">
        <v>2.4</v>
      </c>
      <c r="C315" s="78">
        <f t="shared" si="1"/>
        <v>288</v>
      </c>
      <c r="D315" s="78">
        <f t="shared" si="7"/>
        <v>600</v>
      </c>
      <c r="E315" s="78">
        <f t="shared" si="5"/>
        <v>26688</v>
      </c>
      <c r="F315" s="95">
        <f t="shared" si="8"/>
        <v>0.9999885888</v>
      </c>
      <c r="G315" s="69"/>
      <c r="T315" s="78" t="s">
        <v>732</v>
      </c>
      <c r="U315" s="78">
        <v>0.0</v>
      </c>
      <c r="V315" s="78">
        <f t="shared" si="3"/>
        <v>0</v>
      </c>
      <c r="W315" s="78">
        <f t="shared" si="9"/>
        <v>600</v>
      </c>
      <c r="X315" s="78">
        <f t="shared" si="6"/>
        <v>25776</v>
      </c>
      <c r="Y315" s="95">
        <f t="shared" si="10"/>
        <v>0.9999885888</v>
      </c>
    </row>
    <row r="316">
      <c r="A316" s="78" t="s">
        <v>733</v>
      </c>
      <c r="B316" s="78">
        <v>33.6</v>
      </c>
      <c r="C316" s="78">
        <f t="shared" si="1"/>
        <v>4032</v>
      </c>
      <c r="D316" s="78">
        <f t="shared" si="7"/>
        <v>600</v>
      </c>
      <c r="E316" s="78">
        <f t="shared" si="5"/>
        <v>27000</v>
      </c>
      <c r="F316" s="95">
        <f t="shared" si="8"/>
        <v>0.9999885888</v>
      </c>
      <c r="G316" s="69"/>
      <c r="T316" s="78" t="s">
        <v>734</v>
      </c>
      <c r="U316" s="78">
        <v>6.8</v>
      </c>
      <c r="V316" s="78">
        <f t="shared" si="3"/>
        <v>816</v>
      </c>
      <c r="W316" s="78">
        <f t="shared" si="9"/>
        <v>600</v>
      </c>
      <c r="X316" s="78">
        <f t="shared" si="6"/>
        <v>25992</v>
      </c>
      <c r="Y316" s="95">
        <f t="shared" si="10"/>
        <v>0.9999885888</v>
      </c>
    </row>
    <row r="317">
      <c r="A317" s="78" t="s">
        <v>735</v>
      </c>
      <c r="B317" s="78">
        <v>24.4</v>
      </c>
      <c r="C317" s="78">
        <f t="shared" si="1"/>
        <v>2928</v>
      </c>
      <c r="D317" s="78">
        <f t="shared" si="7"/>
        <v>600</v>
      </c>
      <c r="E317" s="78">
        <f t="shared" si="5"/>
        <v>27000</v>
      </c>
      <c r="F317" s="95">
        <f t="shared" si="8"/>
        <v>0.9999885888</v>
      </c>
      <c r="G317" s="69"/>
      <c r="T317" s="78" t="s">
        <v>736</v>
      </c>
      <c r="U317" s="78">
        <v>39.0</v>
      </c>
      <c r="V317" s="78">
        <f t="shared" si="3"/>
        <v>4680</v>
      </c>
      <c r="W317" s="78">
        <f t="shared" si="9"/>
        <v>600</v>
      </c>
      <c r="X317" s="78">
        <f t="shared" si="6"/>
        <v>27000</v>
      </c>
      <c r="Y317" s="95">
        <f t="shared" si="10"/>
        <v>0.9999885888</v>
      </c>
    </row>
    <row r="318">
      <c r="A318" s="78" t="s">
        <v>737</v>
      </c>
      <c r="B318" s="78">
        <v>7.0</v>
      </c>
      <c r="C318" s="78">
        <f t="shared" si="1"/>
        <v>840</v>
      </c>
      <c r="D318" s="78">
        <f t="shared" si="7"/>
        <v>600</v>
      </c>
      <c r="E318" s="78">
        <f t="shared" si="5"/>
        <v>27000</v>
      </c>
      <c r="F318" s="95">
        <f t="shared" si="8"/>
        <v>0.9999885888</v>
      </c>
      <c r="G318" s="69"/>
      <c r="T318" s="78" t="s">
        <v>738</v>
      </c>
      <c r="U318" s="78">
        <v>40.6</v>
      </c>
      <c r="V318" s="78">
        <f t="shared" si="3"/>
        <v>4872</v>
      </c>
      <c r="W318" s="78">
        <f t="shared" si="9"/>
        <v>600</v>
      </c>
      <c r="X318" s="78">
        <f t="shared" si="6"/>
        <v>27000</v>
      </c>
      <c r="Y318" s="95">
        <f t="shared" si="10"/>
        <v>0.9999885888</v>
      </c>
    </row>
    <row r="319">
      <c r="A319" s="78" t="s">
        <v>739</v>
      </c>
      <c r="B319" s="78">
        <v>9.0</v>
      </c>
      <c r="C319" s="78">
        <f t="shared" si="1"/>
        <v>1080</v>
      </c>
      <c r="D319" s="78">
        <f t="shared" si="7"/>
        <v>600</v>
      </c>
      <c r="E319" s="78">
        <f t="shared" si="5"/>
        <v>27000</v>
      </c>
      <c r="F319" s="95">
        <f t="shared" si="8"/>
        <v>0.9999885888</v>
      </c>
      <c r="G319" s="69"/>
      <c r="T319" s="78" t="s">
        <v>740</v>
      </c>
      <c r="U319" s="78">
        <v>35.4</v>
      </c>
      <c r="V319" s="78">
        <f t="shared" si="3"/>
        <v>4248</v>
      </c>
      <c r="W319" s="78">
        <f t="shared" si="9"/>
        <v>600</v>
      </c>
      <c r="X319" s="78">
        <f t="shared" si="6"/>
        <v>27000</v>
      </c>
      <c r="Y319" s="95">
        <f t="shared" si="10"/>
        <v>0.9999885888</v>
      </c>
    </row>
    <row r="320">
      <c r="A320" s="78" t="s">
        <v>741</v>
      </c>
      <c r="B320" s="78">
        <v>15.0</v>
      </c>
      <c r="C320" s="78">
        <f t="shared" si="1"/>
        <v>1800</v>
      </c>
      <c r="D320" s="78">
        <f t="shared" si="7"/>
        <v>600</v>
      </c>
      <c r="E320" s="78">
        <f t="shared" si="5"/>
        <v>27000</v>
      </c>
      <c r="F320" s="95">
        <f t="shared" si="8"/>
        <v>0.9999885888</v>
      </c>
      <c r="G320" s="69"/>
      <c r="T320" s="78" t="s">
        <v>742</v>
      </c>
      <c r="U320" s="78">
        <v>21.2</v>
      </c>
      <c r="V320" s="78">
        <f t="shared" si="3"/>
        <v>2544</v>
      </c>
      <c r="W320" s="78">
        <f t="shared" si="9"/>
        <v>600</v>
      </c>
      <c r="X320" s="78">
        <f t="shared" si="6"/>
        <v>27000</v>
      </c>
      <c r="Y320" s="95">
        <f t="shared" si="10"/>
        <v>0.9999885888</v>
      </c>
    </row>
    <row r="321">
      <c r="A321" s="78" t="s">
        <v>743</v>
      </c>
      <c r="B321" s="78">
        <v>6.4</v>
      </c>
      <c r="C321" s="78">
        <f t="shared" si="1"/>
        <v>768</v>
      </c>
      <c r="D321" s="78">
        <f t="shared" si="7"/>
        <v>600</v>
      </c>
      <c r="E321" s="78">
        <f t="shared" si="5"/>
        <v>27000</v>
      </c>
      <c r="F321" s="95">
        <f t="shared" si="8"/>
        <v>0.9999885888</v>
      </c>
      <c r="G321" s="69"/>
      <c r="T321" s="78" t="s">
        <v>744</v>
      </c>
      <c r="U321" s="78">
        <v>1.2</v>
      </c>
      <c r="V321" s="78">
        <f t="shared" si="3"/>
        <v>144</v>
      </c>
      <c r="W321" s="78">
        <f t="shared" si="9"/>
        <v>600</v>
      </c>
      <c r="X321" s="78">
        <f t="shared" si="6"/>
        <v>26544</v>
      </c>
      <c r="Y321" s="95">
        <f t="shared" si="10"/>
        <v>0.9999885888</v>
      </c>
    </row>
    <row r="322">
      <c r="A322" s="78" t="s">
        <v>745</v>
      </c>
      <c r="B322" s="78">
        <v>37.6</v>
      </c>
      <c r="C322" s="78">
        <f t="shared" si="1"/>
        <v>4512</v>
      </c>
      <c r="D322" s="78">
        <f t="shared" si="7"/>
        <v>600</v>
      </c>
      <c r="E322" s="78">
        <f t="shared" si="5"/>
        <v>27000</v>
      </c>
      <c r="F322" s="95">
        <f t="shared" si="8"/>
        <v>0.9999885888</v>
      </c>
      <c r="G322" s="69"/>
      <c r="T322" s="78" t="s">
        <v>746</v>
      </c>
      <c r="U322" s="78">
        <v>0.0</v>
      </c>
      <c r="V322" s="78">
        <f t="shared" si="3"/>
        <v>0</v>
      </c>
      <c r="W322" s="78">
        <f t="shared" si="9"/>
        <v>600</v>
      </c>
      <c r="X322" s="78">
        <f t="shared" si="6"/>
        <v>25944</v>
      </c>
      <c r="Y322" s="95">
        <f t="shared" si="10"/>
        <v>0.9999885888</v>
      </c>
    </row>
    <row r="323">
      <c r="A323" s="78" t="s">
        <v>747</v>
      </c>
      <c r="B323" s="78">
        <v>35.2</v>
      </c>
      <c r="C323" s="78">
        <f t="shared" si="1"/>
        <v>4224</v>
      </c>
      <c r="D323" s="78">
        <f t="shared" si="7"/>
        <v>600</v>
      </c>
      <c r="E323" s="78">
        <f t="shared" si="5"/>
        <v>27000</v>
      </c>
      <c r="F323" s="95">
        <f t="shared" si="8"/>
        <v>0.9999885888</v>
      </c>
      <c r="G323" s="69"/>
      <c r="T323" s="78" t="s">
        <v>748</v>
      </c>
      <c r="U323" s="78">
        <v>0.0</v>
      </c>
      <c r="V323" s="78">
        <f t="shared" si="3"/>
        <v>0</v>
      </c>
      <c r="W323" s="78">
        <f t="shared" si="9"/>
        <v>600</v>
      </c>
      <c r="X323" s="78">
        <f t="shared" si="6"/>
        <v>25344</v>
      </c>
      <c r="Y323" s="95">
        <f t="shared" si="10"/>
        <v>0.9999885888</v>
      </c>
    </row>
    <row r="324">
      <c r="A324" s="78" t="s">
        <v>749</v>
      </c>
      <c r="B324" s="78">
        <v>9.0</v>
      </c>
      <c r="C324" s="78">
        <f t="shared" si="1"/>
        <v>1080</v>
      </c>
      <c r="D324" s="78">
        <f t="shared" si="7"/>
        <v>600</v>
      </c>
      <c r="E324" s="78">
        <f t="shared" si="5"/>
        <v>27000</v>
      </c>
      <c r="F324" s="95">
        <f t="shared" si="8"/>
        <v>0.9999885888</v>
      </c>
      <c r="G324" s="69"/>
      <c r="T324" s="78" t="s">
        <v>750</v>
      </c>
      <c r="U324" s="78">
        <v>3.4</v>
      </c>
      <c r="V324" s="78">
        <f t="shared" si="3"/>
        <v>408</v>
      </c>
      <c r="W324" s="78">
        <f t="shared" si="9"/>
        <v>600</v>
      </c>
      <c r="X324" s="78">
        <f t="shared" si="6"/>
        <v>25152</v>
      </c>
      <c r="Y324" s="95">
        <f t="shared" si="10"/>
        <v>0.9999885888</v>
      </c>
    </row>
    <row r="325">
      <c r="A325" s="78" t="s">
        <v>751</v>
      </c>
      <c r="B325" s="78">
        <v>4.4</v>
      </c>
      <c r="C325" s="78">
        <f t="shared" si="1"/>
        <v>528</v>
      </c>
      <c r="D325" s="78">
        <f t="shared" si="7"/>
        <v>600</v>
      </c>
      <c r="E325" s="78">
        <f t="shared" si="5"/>
        <v>26928</v>
      </c>
      <c r="F325" s="95">
        <f t="shared" si="8"/>
        <v>0.9999885888</v>
      </c>
      <c r="G325" s="69"/>
      <c r="T325" s="78" t="s">
        <v>752</v>
      </c>
      <c r="U325" s="78">
        <v>6.0</v>
      </c>
      <c r="V325" s="78">
        <f t="shared" si="3"/>
        <v>720</v>
      </c>
      <c r="W325" s="78">
        <f t="shared" si="9"/>
        <v>600</v>
      </c>
      <c r="X325" s="78">
        <f t="shared" si="6"/>
        <v>25272</v>
      </c>
      <c r="Y325" s="95">
        <f t="shared" si="10"/>
        <v>0.9999885888</v>
      </c>
    </row>
    <row r="326">
      <c r="A326" s="78" t="s">
        <v>753</v>
      </c>
      <c r="B326" s="78">
        <v>20.2</v>
      </c>
      <c r="C326" s="78">
        <f t="shared" si="1"/>
        <v>2424</v>
      </c>
      <c r="D326" s="78">
        <f t="shared" si="7"/>
        <v>600</v>
      </c>
      <c r="E326" s="78">
        <f t="shared" si="5"/>
        <v>27000</v>
      </c>
      <c r="F326" s="95">
        <f t="shared" si="8"/>
        <v>0.9999885888</v>
      </c>
      <c r="G326" s="69"/>
      <c r="T326" s="78" t="s">
        <v>754</v>
      </c>
      <c r="U326" s="78">
        <v>44.2</v>
      </c>
      <c r="V326" s="78">
        <f t="shared" si="3"/>
        <v>5304</v>
      </c>
      <c r="W326" s="78">
        <f t="shared" si="9"/>
        <v>600</v>
      </c>
      <c r="X326" s="78">
        <f t="shared" si="6"/>
        <v>27000</v>
      </c>
      <c r="Y326" s="95">
        <f t="shared" si="10"/>
        <v>0.9999885888</v>
      </c>
    </row>
    <row r="327">
      <c r="A327" s="78" t="s">
        <v>755</v>
      </c>
      <c r="B327" s="78">
        <v>1.4</v>
      </c>
      <c r="C327" s="78">
        <f t="shared" si="1"/>
        <v>168</v>
      </c>
      <c r="D327" s="78">
        <f t="shared" si="7"/>
        <v>600</v>
      </c>
      <c r="E327" s="78">
        <f t="shared" si="5"/>
        <v>26568</v>
      </c>
      <c r="F327" s="95">
        <f t="shared" si="8"/>
        <v>0.9999885888</v>
      </c>
      <c r="G327" s="69"/>
      <c r="T327" s="78" t="s">
        <v>756</v>
      </c>
      <c r="U327" s="78">
        <v>2.2</v>
      </c>
      <c r="V327" s="78">
        <f t="shared" si="3"/>
        <v>264</v>
      </c>
      <c r="W327" s="78">
        <f t="shared" si="9"/>
        <v>600</v>
      </c>
      <c r="X327" s="78">
        <f t="shared" si="6"/>
        <v>26664</v>
      </c>
      <c r="Y327" s="95">
        <f t="shared" si="10"/>
        <v>0.9999885888</v>
      </c>
    </row>
    <row r="328">
      <c r="A328" s="78" t="s">
        <v>757</v>
      </c>
      <c r="B328" s="78">
        <v>34.0</v>
      </c>
      <c r="C328" s="78">
        <f t="shared" si="1"/>
        <v>4080</v>
      </c>
      <c r="D328" s="78">
        <f t="shared" si="7"/>
        <v>600</v>
      </c>
      <c r="E328" s="78">
        <f t="shared" si="5"/>
        <v>27000</v>
      </c>
      <c r="F328" s="95">
        <f t="shared" si="8"/>
        <v>0.9999885888</v>
      </c>
      <c r="G328" s="69"/>
      <c r="T328" s="78" t="s">
        <v>758</v>
      </c>
      <c r="U328" s="78">
        <v>1.6</v>
      </c>
      <c r="V328" s="78">
        <f t="shared" si="3"/>
        <v>192</v>
      </c>
      <c r="W328" s="78">
        <f t="shared" si="9"/>
        <v>600</v>
      </c>
      <c r="X328" s="78">
        <f t="shared" si="6"/>
        <v>26256</v>
      </c>
      <c r="Y328" s="95">
        <f t="shared" si="10"/>
        <v>0.9999885888</v>
      </c>
    </row>
    <row r="329">
      <c r="A329" s="78" t="s">
        <v>759</v>
      </c>
      <c r="B329" s="78">
        <v>0.0</v>
      </c>
      <c r="C329" s="78">
        <f t="shared" si="1"/>
        <v>0</v>
      </c>
      <c r="D329" s="78">
        <f t="shared" si="7"/>
        <v>600</v>
      </c>
      <c r="E329" s="78">
        <f t="shared" si="5"/>
        <v>26400</v>
      </c>
      <c r="F329" s="95">
        <f t="shared" si="8"/>
        <v>0.9999885888</v>
      </c>
      <c r="G329" s="69"/>
      <c r="T329" s="78" t="s">
        <v>760</v>
      </c>
      <c r="U329" s="78">
        <v>0.0</v>
      </c>
      <c r="V329" s="78">
        <f t="shared" si="3"/>
        <v>0</v>
      </c>
      <c r="W329" s="78">
        <f t="shared" si="9"/>
        <v>600</v>
      </c>
      <c r="X329" s="78">
        <f t="shared" si="6"/>
        <v>25656</v>
      </c>
      <c r="Y329" s="95">
        <f t="shared" si="10"/>
        <v>0.9999885888</v>
      </c>
    </row>
    <row r="330">
      <c r="A330" s="78" t="s">
        <v>761</v>
      </c>
      <c r="B330" s="78">
        <v>0.0</v>
      </c>
      <c r="C330" s="78">
        <f t="shared" si="1"/>
        <v>0</v>
      </c>
      <c r="D330" s="78">
        <f t="shared" si="7"/>
        <v>600</v>
      </c>
      <c r="E330" s="78">
        <f t="shared" si="5"/>
        <v>25800</v>
      </c>
      <c r="F330" s="95">
        <f t="shared" si="8"/>
        <v>0.9999885888</v>
      </c>
      <c r="G330" s="69"/>
      <c r="T330" s="78" t="s">
        <v>762</v>
      </c>
      <c r="U330" s="78">
        <v>20.5</v>
      </c>
      <c r="V330" s="78">
        <f t="shared" si="3"/>
        <v>2460</v>
      </c>
      <c r="W330" s="78">
        <f t="shared" si="9"/>
        <v>600</v>
      </c>
      <c r="X330" s="78">
        <f t="shared" si="6"/>
        <v>27000</v>
      </c>
      <c r="Y330" s="95">
        <f t="shared" si="10"/>
        <v>0.9999885888</v>
      </c>
    </row>
    <row r="331">
      <c r="A331" s="78" t="s">
        <v>763</v>
      </c>
      <c r="B331" s="78">
        <v>0.0</v>
      </c>
      <c r="C331" s="78">
        <f t="shared" si="1"/>
        <v>0</v>
      </c>
      <c r="D331" s="78">
        <f t="shared" si="7"/>
        <v>600</v>
      </c>
      <c r="E331" s="78">
        <f t="shared" si="5"/>
        <v>25200</v>
      </c>
      <c r="F331" s="95">
        <f t="shared" si="8"/>
        <v>0.9999885888</v>
      </c>
      <c r="G331" s="69"/>
      <c r="T331" s="78" t="s">
        <v>764</v>
      </c>
      <c r="U331" s="78">
        <v>18.8</v>
      </c>
      <c r="V331" s="78">
        <f t="shared" si="3"/>
        <v>2256</v>
      </c>
      <c r="W331" s="78">
        <f t="shared" si="9"/>
        <v>600</v>
      </c>
      <c r="X331" s="78">
        <f t="shared" si="6"/>
        <v>27000</v>
      </c>
      <c r="Y331" s="95">
        <f t="shared" si="10"/>
        <v>0.9999885888</v>
      </c>
    </row>
    <row r="332">
      <c r="A332" s="78" t="s">
        <v>765</v>
      </c>
      <c r="B332" s="78">
        <v>0.0</v>
      </c>
      <c r="C332" s="78">
        <f t="shared" si="1"/>
        <v>0</v>
      </c>
      <c r="D332" s="78">
        <f t="shared" si="7"/>
        <v>600</v>
      </c>
      <c r="E332" s="78">
        <f t="shared" si="5"/>
        <v>24600</v>
      </c>
      <c r="F332" s="95">
        <f t="shared" si="8"/>
        <v>0.9999885888</v>
      </c>
      <c r="G332" s="69"/>
      <c r="T332" s="78" t="s">
        <v>766</v>
      </c>
      <c r="U332" s="78">
        <v>59.0</v>
      </c>
      <c r="V332" s="78">
        <f t="shared" si="3"/>
        <v>7080</v>
      </c>
      <c r="W332" s="78">
        <f t="shared" si="9"/>
        <v>600</v>
      </c>
      <c r="X332" s="78">
        <f t="shared" si="6"/>
        <v>27000</v>
      </c>
      <c r="Y332" s="95">
        <f t="shared" si="10"/>
        <v>0.9999885888</v>
      </c>
    </row>
    <row r="333">
      <c r="A333" s="78" t="s">
        <v>767</v>
      </c>
      <c r="B333" s="78">
        <v>0.0</v>
      </c>
      <c r="C333" s="78">
        <f t="shared" si="1"/>
        <v>0</v>
      </c>
      <c r="D333" s="78">
        <f t="shared" si="7"/>
        <v>600</v>
      </c>
      <c r="E333" s="78">
        <f t="shared" si="5"/>
        <v>24000</v>
      </c>
      <c r="F333" s="95">
        <f t="shared" si="8"/>
        <v>0.9999885888</v>
      </c>
      <c r="G333" s="69"/>
      <c r="T333" s="78" t="s">
        <v>768</v>
      </c>
      <c r="U333" s="78">
        <v>11.4</v>
      </c>
      <c r="V333" s="78">
        <f t="shared" si="3"/>
        <v>1368</v>
      </c>
      <c r="W333" s="78">
        <f t="shared" si="9"/>
        <v>600</v>
      </c>
      <c r="X333" s="78">
        <f t="shared" si="6"/>
        <v>27000</v>
      </c>
      <c r="Y333" s="95">
        <f t="shared" si="10"/>
        <v>0.9999885888</v>
      </c>
    </row>
    <row r="334">
      <c r="A334" s="78" t="s">
        <v>769</v>
      </c>
      <c r="B334" s="78">
        <v>0.0</v>
      </c>
      <c r="C334" s="78">
        <f t="shared" si="1"/>
        <v>0</v>
      </c>
      <c r="D334" s="78">
        <f t="shared" si="7"/>
        <v>600</v>
      </c>
      <c r="E334" s="78">
        <f t="shared" si="5"/>
        <v>23400</v>
      </c>
      <c r="F334" s="95">
        <f t="shared" si="8"/>
        <v>0.9999885888</v>
      </c>
      <c r="G334" s="69"/>
      <c r="T334" s="78" t="s">
        <v>770</v>
      </c>
      <c r="U334" s="78">
        <v>0.6</v>
      </c>
      <c r="V334" s="78">
        <f t="shared" si="3"/>
        <v>72</v>
      </c>
      <c r="W334" s="78">
        <f t="shared" si="9"/>
        <v>600</v>
      </c>
      <c r="X334" s="78">
        <f t="shared" si="6"/>
        <v>26472</v>
      </c>
      <c r="Y334" s="95">
        <f t="shared" si="10"/>
        <v>0.9999885888</v>
      </c>
    </row>
    <row r="335">
      <c r="A335" s="78" t="s">
        <v>771</v>
      </c>
      <c r="B335" s="78">
        <v>0.0</v>
      </c>
      <c r="C335" s="78">
        <f t="shared" si="1"/>
        <v>0</v>
      </c>
      <c r="D335" s="78">
        <f t="shared" si="7"/>
        <v>600</v>
      </c>
      <c r="E335" s="78">
        <f t="shared" si="5"/>
        <v>22800</v>
      </c>
      <c r="F335" s="95">
        <f t="shared" si="8"/>
        <v>0.9999885888</v>
      </c>
      <c r="G335" s="69"/>
      <c r="T335" s="78" t="s">
        <v>772</v>
      </c>
      <c r="U335" s="78">
        <v>6.0</v>
      </c>
      <c r="V335" s="78">
        <f t="shared" si="3"/>
        <v>720</v>
      </c>
      <c r="W335" s="78">
        <f t="shared" si="9"/>
        <v>600</v>
      </c>
      <c r="X335" s="78">
        <f t="shared" si="6"/>
        <v>26592</v>
      </c>
      <c r="Y335" s="95">
        <f t="shared" si="10"/>
        <v>0.9999885888</v>
      </c>
    </row>
    <row r="336">
      <c r="A336" s="78" t="s">
        <v>773</v>
      </c>
      <c r="B336" s="78">
        <v>0.0</v>
      </c>
      <c r="C336" s="78">
        <f t="shared" si="1"/>
        <v>0</v>
      </c>
      <c r="D336" s="78">
        <f t="shared" si="7"/>
        <v>600</v>
      </c>
      <c r="E336" s="78">
        <f t="shared" si="5"/>
        <v>22200</v>
      </c>
      <c r="F336" s="95">
        <f t="shared" si="8"/>
        <v>0.9999885888</v>
      </c>
      <c r="G336" s="69"/>
      <c r="T336" s="78" t="s">
        <v>774</v>
      </c>
      <c r="U336" s="78">
        <v>55.4</v>
      </c>
      <c r="V336" s="78">
        <f t="shared" si="3"/>
        <v>6648</v>
      </c>
      <c r="W336" s="78">
        <f t="shared" si="9"/>
        <v>600</v>
      </c>
      <c r="X336" s="78">
        <f t="shared" si="6"/>
        <v>27000</v>
      </c>
      <c r="Y336" s="95">
        <f t="shared" si="10"/>
        <v>0.9999885888</v>
      </c>
    </row>
    <row r="337">
      <c r="A337" s="78" t="s">
        <v>775</v>
      </c>
      <c r="B337" s="78">
        <v>0.0</v>
      </c>
      <c r="C337" s="78">
        <f t="shared" si="1"/>
        <v>0</v>
      </c>
      <c r="D337" s="78">
        <f t="shared" si="7"/>
        <v>600</v>
      </c>
      <c r="E337" s="78">
        <f t="shared" si="5"/>
        <v>21600</v>
      </c>
      <c r="F337" s="95">
        <f t="shared" si="8"/>
        <v>0.9999885888</v>
      </c>
      <c r="G337" s="69"/>
      <c r="T337" s="78" t="s">
        <v>776</v>
      </c>
      <c r="U337" s="78">
        <v>6.2</v>
      </c>
      <c r="V337" s="78">
        <f t="shared" si="3"/>
        <v>744</v>
      </c>
      <c r="W337" s="78">
        <f t="shared" si="9"/>
        <v>600</v>
      </c>
      <c r="X337" s="78">
        <f t="shared" si="6"/>
        <v>27000</v>
      </c>
      <c r="Y337" s="95">
        <f t="shared" si="10"/>
        <v>0.9999885888</v>
      </c>
    </row>
    <row r="338">
      <c r="A338" s="78" t="s">
        <v>777</v>
      </c>
      <c r="B338" s="78">
        <v>0.0</v>
      </c>
      <c r="C338" s="78">
        <f t="shared" si="1"/>
        <v>0</v>
      </c>
      <c r="D338" s="78">
        <f t="shared" si="7"/>
        <v>600</v>
      </c>
      <c r="E338" s="78">
        <f t="shared" si="5"/>
        <v>21000</v>
      </c>
      <c r="F338" s="95">
        <f t="shared" si="8"/>
        <v>0.9999885888</v>
      </c>
      <c r="G338" s="69"/>
      <c r="T338" s="78" t="s">
        <v>778</v>
      </c>
      <c r="U338" s="78">
        <v>0.0</v>
      </c>
      <c r="V338" s="78">
        <f t="shared" si="3"/>
        <v>0</v>
      </c>
      <c r="W338" s="78">
        <f t="shared" si="9"/>
        <v>600</v>
      </c>
      <c r="X338" s="78">
        <f t="shared" si="6"/>
        <v>26400</v>
      </c>
      <c r="Y338" s="95">
        <f t="shared" si="10"/>
        <v>0.9999885888</v>
      </c>
    </row>
    <row r="339">
      <c r="A339" s="78" t="s">
        <v>779</v>
      </c>
      <c r="B339" s="78">
        <v>3.4</v>
      </c>
      <c r="C339" s="78">
        <f t="shared" si="1"/>
        <v>408</v>
      </c>
      <c r="D339" s="78">
        <f t="shared" si="7"/>
        <v>600</v>
      </c>
      <c r="E339" s="78">
        <f t="shared" si="5"/>
        <v>20808</v>
      </c>
      <c r="F339" s="95">
        <f t="shared" si="8"/>
        <v>0.9999885888</v>
      </c>
      <c r="G339" s="69"/>
      <c r="T339" s="78" t="s">
        <v>780</v>
      </c>
      <c r="U339" s="78">
        <v>0.0</v>
      </c>
      <c r="V339" s="78">
        <f t="shared" si="3"/>
        <v>0</v>
      </c>
      <c r="W339" s="78">
        <f t="shared" si="9"/>
        <v>600</v>
      </c>
      <c r="X339" s="78">
        <f t="shared" si="6"/>
        <v>25800</v>
      </c>
      <c r="Y339" s="95">
        <f t="shared" si="10"/>
        <v>0.9999885888</v>
      </c>
    </row>
    <row r="340">
      <c r="A340" s="78" t="s">
        <v>781</v>
      </c>
      <c r="B340" s="78">
        <v>29.4</v>
      </c>
      <c r="C340" s="78">
        <f t="shared" si="1"/>
        <v>3528</v>
      </c>
      <c r="D340" s="78">
        <f t="shared" si="7"/>
        <v>600</v>
      </c>
      <c r="E340" s="78">
        <f t="shared" si="5"/>
        <v>23736</v>
      </c>
      <c r="F340" s="95">
        <f t="shared" si="8"/>
        <v>0.9999885888</v>
      </c>
      <c r="G340" s="69"/>
      <c r="T340" s="78" t="s">
        <v>782</v>
      </c>
      <c r="U340" s="78">
        <v>0.0</v>
      </c>
      <c r="V340" s="78">
        <f t="shared" si="3"/>
        <v>0</v>
      </c>
      <c r="W340" s="78">
        <f t="shared" si="9"/>
        <v>600</v>
      </c>
      <c r="X340" s="78">
        <f t="shared" si="6"/>
        <v>25200</v>
      </c>
      <c r="Y340" s="95">
        <f t="shared" si="10"/>
        <v>0.9999885888</v>
      </c>
    </row>
    <row r="341">
      <c r="A341" s="78" t="s">
        <v>783</v>
      </c>
      <c r="B341" s="78">
        <v>32.8</v>
      </c>
      <c r="C341" s="78">
        <f t="shared" si="1"/>
        <v>3936</v>
      </c>
      <c r="D341" s="78">
        <f t="shared" si="7"/>
        <v>600</v>
      </c>
      <c r="E341" s="78">
        <f t="shared" si="5"/>
        <v>27000</v>
      </c>
      <c r="F341" s="95">
        <f t="shared" si="8"/>
        <v>0.9999885888</v>
      </c>
      <c r="G341" s="69"/>
      <c r="T341" s="78" t="s">
        <v>784</v>
      </c>
      <c r="U341" s="78">
        <v>0.0</v>
      </c>
      <c r="V341" s="78">
        <f t="shared" si="3"/>
        <v>0</v>
      </c>
      <c r="W341" s="78">
        <f t="shared" si="9"/>
        <v>600</v>
      </c>
      <c r="X341" s="78">
        <f t="shared" si="6"/>
        <v>24600</v>
      </c>
      <c r="Y341" s="95">
        <f t="shared" si="10"/>
        <v>0.9999885888</v>
      </c>
    </row>
    <row r="342">
      <c r="A342" s="78" t="s">
        <v>785</v>
      </c>
      <c r="B342" s="78">
        <v>25.6</v>
      </c>
      <c r="C342" s="78">
        <f t="shared" si="1"/>
        <v>3072</v>
      </c>
      <c r="D342" s="78">
        <f t="shared" si="7"/>
        <v>600</v>
      </c>
      <c r="E342" s="78">
        <f t="shared" si="5"/>
        <v>27000</v>
      </c>
      <c r="F342" s="95">
        <f t="shared" si="8"/>
        <v>0.9999885888</v>
      </c>
      <c r="G342" s="69"/>
      <c r="T342" s="78" t="s">
        <v>786</v>
      </c>
      <c r="U342" s="78">
        <v>0.0</v>
      </c>
      <c r="V342" s="78">
        <f t="shared" si="3"/>
        <v>0</v>
      </c>
      <c r="W342" s="78">
        <f t="shared" si="9"/>
        <v>600</v>
      </c>
      <c r="X342" s="78">
        <f t="shared" si="6"/>
        <v>24000</v>
      </c>
      <c r="Y342" s="95">
        <f t="shared" si="10"/>
        <v>0.9999885888</v>
      </c>
    </row>
    <row r="343">
      <c r="A343" s="78" t="s">
        <v>787</v>
      </c>
      <c r="B343" s="78">
        <v>15.2</v>
      </c>
      <c r="C343" s="78">
        <f t="shared" si="1"/>
        <v>1824</v>
      </c>
      <c r="D343" s="78">
        <f t="shared" si="7"/>
        <v>600</v>
      </c>
      <c r="E343" s="78">
        <f t="shared" si="5"/>
        <v>27000</v>
      </c>
      <c r="F343" s="95">
        <f t="shared" si="8"/>
        <v>0.9999885888</v>
      </c>
      <c r="G343" s="69"/>
      <c r="T343" s="78" t="s">
        <v>788</v>
      </c>
      <c r="U343" s="78">
        <v>0.0</v>
      </c>
      <c r="V343" s="78">
        <f t="shared" si="3"/>
        <v>0</v>
      </c>
      <c r="W343" s="78">
        <f t="shared" si="9"/>
        <v>600</v>
      </c>
      <c r="X343" s="78">
        <f t="shared" si="6"/>
        <v>23400</v>
      </c>
      <c r="Y343" s="95">
        <f t="shared" si="10"/>
        <v>0.9999885888</v>
      </c>
    </row>
    <row r="344">
      <c r="A344" s="78" t="s">
        <v>789</v>
      </c>
      <c r="B344" s="78">
        <v>60.6</v>
      </c>
      <c r="C344" s="78">
        <f t="shared" si="1"/>
        <v>7272</v>
      </c>
      <c r="D344" s="78">
        <f t="shared" si="7"/>
        <v>600</v>
      </c>
      <c r="E344" s="78">
        <f t="shared" si="5"/>
        <v>27000</v>
      </c>
      <c r="F344" s="95">
        <f t="shared" si="8"/>
        <v>0.9999885888</v>
      </c>
      <c r="G344" s="69"/>
      <c r="T344" s="78" t="s">
        <v>790</v>
      </c>
      <c r="U344" s="78">
        <v>0.0</v>
      </c>
      <c r="V344" s="78">
        <f t="shared" si="3"/>
        <v>0</v>
      </c>
      <c r="W344" s="78">
        <f t="shared" si="9"/>
        <v>600</v>
      </c>
      <c r="X344" s="78">
        <f t="shared" si="6"/>
        <v>22800</v>
      </c>
      <c r="Y344" s="95">
        <f t="shared" si="10"/>
        <v>0.9999885888</v>
      </c>
    </row>
    <row r="345">
      <c r="A345" s="78" t="s">
        <v>791</v>
      </c>
      <c r="B345" s="78">
        <v>15.0</v>
      </c>
      <c r="C345" s="78">
        <f t="shared" si="1"/>
        <v>1800</v>
      </c>
      <c r="D345" s="78">
        <f t="shared" si="7"/>
        <v>600</v>
      </c>
      <c r="E345" s="78">
        <f t="shared" si="5"/>
        <v>27000</v>
      </c>
      <c r="F345" s="95">
        <f t="shared" si="8"/>
        <v>0.9999885888</v>
      </c>
      <c r="G345" s="69"/>
      <c r="T345" s="78" t="s">
        <v>792</v>
      </c>
      <c r="U345" s="78">
        <v>0.0</v>
      </c>
      <c r="V345" s="78">
        <f t="shared" si="3"/>
        <v>0</v>
      </c>
      <c r="W345" s="78">
        <f t="shared" si="9"/>
        <v>600</v>
      </c>
      <c r="X345" s="78">
        <f t="shared" si="6"/>
        <v>22200</v>
      </c>
      <c r="Y345" s="95">
        <f t="shared" si="10"/>
        <v>0.9999885888</v>
      </c>
    </row>
    <row r="346">
      <c r="A346" s="78" t="s">
        <v>793</v>
      </c>
      <c r="B346" s="78">
        <v>43.0</v>
      </c>
      <c r="C346" s="78">
        <f t="shared" si="1"/>
        <v>5160</v>
      </c>
      <c r="D346" s="78">
        <f t="shared" si="7"/>
        <v>600</v>
      </c>
      <c r="E346" s="78">
        <f t="shared" si="5"/>
        <v>27000</v>
      </c>
      <c r="F346" s="95">
        <f t="shared" si="8"/>
        <v>0.9999885888</v>
      </c>
      <c r="G346" s="69"/>
      <c r="T346" s="78" t="s">
        <v>794</v>
      </c>
      <c r="U346" s="78">
        <v>0.0</v>
      </c>
      <c r="V346" s="78">
        <f t="shared" si="3"/>
        <v>0</v>
      </c>
      <c r="W346" s="78">
        <f t="shared" si="9"/>
        <v>600</v>
      </c>
      <c r="X346" s="78">
        <f t="shared" si="6"/>
        <v>21600</v>
      </c>
      <c r="Y346" s="95">
        <f t="shared" si="10"/>
        <v>0.9999885888</v>
      </c>
    </row>
    <row r="347">
      <c r="A347" s="78" t="s">
        <v>795</v>
      </c>
      <c r="B347" s="78">
        <v>15.0</v>
      </c>
      <c r="C347" s="78">
        <f t="shared" si="1"/>
        <v>1800</v>
      </c>
      <c r="D347" s="78">
        <f t="shared" si="7"/>
        <v>600</v>
      </c>
      <c r="E347" s="78">
        <f t="shared" si="5"/>
        <v>27000</v>
      </c>
      <c r="F347" s="95">
        <f t="shared" si="8"/>
        <v>0.9999885888</v>
      </c>
      <c r="G347" s="69"/>
      <c r="T347" s="78" t="s">
        <v>796</v>
      </c>
      <c r="U347" s="78">
        <v>0.0</v>
      </c>
      <c r="V347" s="78">
        <f t="shared" si="3"/>
        <v>0</v>
      </c>
      <c r="W347" s="78">
        <f t="shared" si="9"/>
        <v>600</v>
      </c>
      <c r="X347" s="78">
        <f t="shared" si="6"/>
        <v>21000</v>
      </c>
      <c r="Y347" s="95">
        <f t="shared" si="10"/>
        <v>0.9999885888</v>
      </c>
    </row>
    <row r="348">
      <c r="A348" s="78" t="s">
        <v>797</v>
      </c>
      <c r="B348" s="78">
        <v>0.0</v>
      </c>
      <c r="C348" s="78">
        <f t="shared" si="1"/>
        <v>0</v>
      </c>
      <c r="D348" s="78">
        <f t="shared" si="7"/>
        <v>600</v>
      </c>
      <c r="E348" s="78">
        <f t="shared" si="5"/>
        <v>26400</v>
      </c>
      <c r="F348" s="95">
        <f t="shared" si="8"/>
        <v>0.9999885888</v>
      </c>
      <c r="G348" s="69"/>
      <c r="T348" s="78" t="s">
        <v>798</v>
      </c>
      <c r="U348" s="78">
        <v>0.0</v>
      </c>
      <c r="V348" s="78">
        <f t="shared" si="3"/>
        <v>0</v>
      </c>
      <c r="W348" s="78">
        <f t="shared" si="9"/>
        <v>600</v>
      </c>
      <c r="X348" s="78">
        <f t="shared" si="6"/>
        <v>20400</v>
      </c>
      <c r="Y348" s="95">
        <f t="shared" si="10"/>
        <v>0.9999885888</v>
      </c>
    </row>
    <row r="349">
      <c r="A349" s="78" t="s">
        <v>799</v>
      </c>
      <c r="B349" s="78">
        <v>0.0</v>
      </c>
      <c r="C349" s="78">
        <f t="shared" si="1"/>
        <v>0</v>
      </c>
      <c r="D349" s="78">
        <f t="shared" si="7"/>
        <v>600</v>
      </c>
      <c r="E349" s="78">
        <f t="shared" si="5"/>
        <v>25800</v>
      </c>
      <c r="F349" s="95">
        <f t="shared" si="8"/>
        <v>0.9999885888</v>
      </c>
      <c r="G349" s="69"/>
      <c r="T349" s="78" t="s">
        <v>800</v>
      </c>
      <c r="U349" s="78">
        <v>0.0</v>
      </c>
      <c r="V349" s="78">
        <f t="shared" si="3"/>
        <v>0</v>
      </c>
      <c r="W349" s="78">
        <f t="shared" si="9"/>
        <v>600</v>
      </c>
      <c r="X349" s="78">
        <f t="shared" si="6"/>
        <v>19800</v>
      </c>
      <c r="Y349" s="95">
        <f t="shared" si="10"/>
        <v>0.9999885888</v>
      </c>
    </row>
    <row r="350">
      <c r="A350" s="78" t="s">
        <v>801</v>
      </c>
      <c r="B350" s="78">
        <v>0.0</v>
      </c>
      <c r="C350" s="78">
        <f t="shared" si="1"/>
        <v>0</v>
      </c>
      <c r="D350" s="78">
        <f t="shared" si="7"/>
        <v>600</v>
      </c>
      <c r="E350" s="78">
        <f t="shared" si="5"/>
        <v>25200</v>
      </c>
      <c r="F350" s="95">
        <f t="shared" si="8"/>
        <v>0.9999885888</v>
      </c>
      <c r="G350" s="69"/>
      <c r="T350" s="78" t="s">
        <v>802</v>
      </c>
      <c r="U350" s="78">
        <v>13.0</v>
      </c>
      <c r="V350" s="78">
        <f t="shared" si="3"/>
        <v>1560</v>
      </c>
      <c r="W350" s="78">
        <f t="shared" si="9"/>
        <v>600</v>
      </c>
      <c r="X350" s="78">
        <f t="shared" si="6"/>
        <v>20760</v>
      </c>
      <c r="Y350" s="95">
        <f t="shared" si="10"/>
        <v>0.9999885888</v>
      </c>
    </row>
    <row r="351">
      <c r="A351" s="78" t="s">
        <v>803</v>
      </c>
      <c r="B351" s="78">
        <v>0.0</v>
      </c>
      <c r="C351" s="78">
        <f t="shared" si="1"/>
        <v>0</v>
      </c>
      <c r="D351" s="78">
        <f t="shared" si="7"/>
        <v>600</v>
      </c>
      <c r="E351" s="78">
        <f t="shared" si="5"/>
        <v>24600</v>
      </c>
      <c r="F351" s="95">
        <f t="shared" si="8"/>
        <v>0.9999885888</v>
      </c>
      <c r="G351" s="69"/>
      <c r="T351" s="78" t="s">
        <v>804</v>
      </c>
      <c r="U351" s="78">
        <v>34.6</v>
      </c>
      <c r="V351" s="78">
        <f t="shared" si="3"/>
        <v>4152</v>
      </c>
      <c r="W351" s="78">
        <f t="shared" si="9"/>
        <v>600</v>
      </c>
      <c r="X351" s="78">
        <f t="shared" si="6"/>
        <v>24312</v>
      </c>
      <c r="Y351" s="95">
        <f t="shared" si="10"/>
        <v>0.9999885888</v>
      </c>
    </row>
    <row r="352">
      <c r="A352" s="78" t="s">
        <v>805</v>
      </c>
      <c r="B352" s="78">
        <v>0.0</v>
      </c>
      <c r="C352" s="78">
        <f t="shared" si="1"/>
        <v>0</v>
      </c>
      <c r="D352" s="78">
        <f t="shared" si="7"/>
        <v>600</v>
      </c>
      <c r="E352" s="78">
        <f t="shared" si="5"/>
        <v>24000</v>
      </c>
      <c r="F352" s="95">
        <f t="shared" si="8"/>
        <v>0.9999885888</v>
      </c>
      <c r="G352" s="69"/>
      <c r="T352" s="78" t="s">
        <v>806</v>
      </c>
      <c r="U352" s="78">
        <v>27.4</v>
      </c>
      <c r="V352" s="78">
        <f t="shared" si="3"/>
        <v>3288</v>
      </c>
      <c r="W352" s="78">
        <f t="shared" si="9"/>
        <v>600</v>
      </c>
      <c r="X352" s="78">
        <f t="shared" si="6"/>
        <v>27000</v>
      </c>
      <c r="Y352" s="95">
        <f t="shared" si="10"/>
        <v>0.9999885888</v>
      </c>
    </row>
    <row r="353">
      <c r="A353" s="78" t="s">
        <v>807</v>
      </c>
      <c r="B353" s="78">
        <v>0.0</v>
      </c>
      <c r="C353" s="78">
        <f t="shared" si="1"/>
        <v>0</v>
      </c>
      <c r="D353" s="78">
        <f t="shared" si="7"/>
        <v>600</v>
      </c>
      <c r="E353" s="78">
        <f t="shared" si="5"/>
        <v>23400</v>
      </c>
      <c r="F353" s="95">
        <f t="shared" si="8"/>
        <v>0.9999885888</v>
      </c>
      <c r="G353" s="69"/>
      <c r="T353" s="78" t="s">
        <v>808</v>
      </c>
      <c r="U353" s="78">
        <v>32.6</v>
      </c>
      <c r="V353" s="78">
        <f t="shared" si="3"/>
        <v>3912</v>
      </c>
      <c r="W353" s="78">
        <f t="shared" si="9"/>
        <v>600</v>
      </c>
      <c r="X353" s="78">
        <f t="shared" si="6"/>
        <v>27000</v>
      </c>
      <c r="Y353" s="95">
        <f t="shared" si="10"/>
        <v>0.9999885888</v>
      </c>
    </row>
    <row r="354">
      <c r="A354" s="78" t="s">
        <v>809</v>
      </c>
      <c r="B354" s="78">
        <v>1.2</v>
      </c>
      <c r="C354" s="78">
        <f t="shared" si="1"/>
        <v>144</v>
      </c>
      <c r="D354" s="78">
        <f t="shared" si="7"/>
        <v>600</v>
      </c>
      <c r="E354" s="78">
        <f t="shared" si="5"/>
        <v>22944</v>
      </c>
      <c r="F354" s="95">
        <f t="shared" si="8"/>
        <v>0.9999885888</v>
      </c>
      <c r="G354" s="69"/>
      <c r="T354" s="78" t="s">
        <v>810</v>
      </c>
      <c r="U354" s="78">
        <v>27.2</v>
      </c>
      <c r="V354" s="78">
        <f t="shared" si="3"/>
        <v>3264</v>
      </c>
      <c r="W354" s="78">
        <f t="shared" si="9"/>
        <v>600</v>
      </c>
      <c r="X354" s="78">
        <f t="shared" si="6"/>
        <v>27000</v>
      </c>
      <c r="Y354" s="95">
        <f t="shared" si="10"/>
        <v>0.9999885888</v>
      </c>
    </row>
    <row r="355">
      <c r="A355" s="78" t="s">
        <v>811</v>
      </c>
      <c r="B355" s="78">
        <v>45.4</v>
      </c>
      <c r="C355" s="78">
        <f t="shared" si="1"/>
        <v>5448</v>
      </c>
      <c r="D355" s="78">
        <f t="shared" si="7"/>
        <v>600</v>
      </c>
      <c r="E355" s="78">
        <f t="shared" si="5"/>
        <v>27000</v>
      </c>
      <c r="F355" s="95">
        <f t="shared" si="8"/>
        <v>0.9999885888</v>
      </c>
      <c r="G355" s="69"/>
      <c r="T355" s="78" t="s">
        <v>812</v>
      </c>
      <c r="U355" s="78">
        <v>33.8</v>
      </c>
      <c r="V355" s="78">
        <f t="shared" si="3"/>
        <v>4056</v>
      </c>
      <c r="W355" s="78">
        <f t="shared" si="9"/>
        <v>600</v>
      </c>
      <c r="X355" s="78">
        <f t="shared" si="6"/>
        <v>27000</v>
      </c>
      <c r="Y355" s="95">
        <f t="shared" si="10"/>
        <v>0.9999885888</v>
      </c>
    </row>
    <row r="356">
      <c r="A356" s="78" t="s">
        <v>813</v>
      </c>
      <c r="B356" s="78">
        <v>0.8</v>
      </c>
      <c r="C356" s="78">
        <f t="shared" si="1"/>
        <v>96</v>
      </c>
      <c r="D356" s="78">
        <f t="shared" si="7"/>
        <v>600</v>
      </c>
      <c r="E356" s="78">
        <f t="shared" si="5"/>
        <v>26496</v>
      </c>
      <c r="F356" s="95">
        <f t="shared" si="8"/>
        <v>0.9999885888</v>
      </c>
      <c r="G356" s="69"/>
      <c r="T356" s="78" t="s">
        <v>814</v>
      </c>
      <c r="U356" s="78">
        <v>22.4</v>
      </c>
      <c r="V356" s="78">
        <f t="shared" si="3"/>
        <v>2688</v>
      </c>
      <c r="W356" s="78">
        <f t="shared" si="9"/>
        <v>600</v>
      </c>
      <c r="X356" s="78">
        <f t="shared" si="6"/>
        <v>27000</v>
      </c>
      <c r="Y356" s="95">
        <f t="shared" si="10"/>
        <v>0.9999885888</v>
      </c>
    </row>
    <row r="357">
      <c r="A357" s="78" t="s">
        <v>815</v>
      </c>
      <c r="B357" s="78">
        <v>15.2</v>
      </c>
      <c r="C357" s="78">
        <f t="shared" si="1"/>
        <v>1824</v>
      </c>
      <c r="D357" s="78">
        <f t="shared" si="7"/>
        <v>600</v>
      </c>
      <c r="E357" s="78">
        <f t="shared" si="5"/>
        <v>27000</v>
      </c>
      <c r="F357" s="95">
        <f t="shared" si="8"/>
        <v>0.9999885888</v>
      </c>
      <c r="G357" s="69"/>
      <c r="T357" s="78" t="s">
        <v>816</v>
      </c>
      <c r="U357" s="78">
        <v>37.2</v>
      </c>
      <c r="V357" s="78">
        <f t="shared" si="3"/>
        <v>4464</v>
      </c>
      <c r="W357" s="78">
        <f t="shared" si="9"/>
        <v>600</v>
      </c>
      <c r="X357" s="78">
        <f t="shared" si="6"/>
        <v>27000</v>
      </c>
      <c r="Y357" s="95">
        <f t="shared" si="10"/>
        <v>0.9999885888</v>
      </c>
    </row>
    <row r="358">
      <c r="A358" s="78" t="s">
        <v>817</v>
      </c>
      <c r="B358" s="78">
        <v>48.6</v>
      </c>
      <c r="C358" s="78">
        <f t="shared" si="1"/>
        <v>5832</v>
      </c>
      <c r="D358" s="78">
        <f t="shared" si="7"/>
        <v>600</v>
      </c>
      <c r="E358" s="78">
        <f t="shared" si="5"/>
        <v>27000</v>
      </c>
      <c r="F358" s="95">
        <f t="shared" si="8"/>
        <v>0.9999885888</v>
      </c>
      <c r="G358" s="69"/>
      <c r="T358" s="78" t="s">
        <v>818</v>
      </c>
      <c r="U358" s="78">
        <v>27.0</v>
      </c>
      <c r="V358" s="78">
        <f t="shared" si="3"/>
        <v>3240</v>
      </c>
      <c r="W358" s="78">
        <f t="shared" si="9"/>
        <v>600</v>
      </c>
      <c r="X358" s="78">
        <f t="shared" si="6"/>
        <v>27000</v>
      </c>
      <c r="Y358" s="95">
        <f t="shared" si="10"/>
        <v>0.9999885888</v>
      </c>
    </row>
    <row r="359">
      <c r="A359" s="78" t="s">
        <v>819</v>
      </c>
      <c r="B359" s="78">
        <v>34.2</v>
      </c>
      <c r="C359" s="78">
        <f t="shared" si="1"/>
        <v>4104</v>
      </c>
      <c r="D359" s="78">
        <f t="shared" si="7"/>
        <v>600</v>
      </c>
      <c r="E359" s="78">
        <f t="shared" si="5"/>
        <v>27000</v>
      </c>
      <c r="F359" s="95">
        <f t="shared" si="8"/>
        <v>0.9999885888</v>
      </c>
      <c r="G359" s="69"/>
      <c r="T359" s="78" t="s">
        <v>820</v>
      </c>
      <c r="U359" s="78">
        <v>4.8</v>
      </c>
      <c r="V359" s="78">
        <f t="shared" si="3"/>
        <v>576</v>
      </c>
      <c r="W359" s="78">
        <f t="shared" si="9"/>
        <v>600</v>
      </c>
      <c r="X359" s="78">
        <f t="shared" si="6"/>
        <v>26976</v>
      </c>
      <c r="Y359" s="95">
        <f t="shared" si="10"/>
        <v>0.9999885888</v>
      </c>
    </row>
    <row r="360">
      <c r="A360" s="78" t="s">
        <v>821</v>
      </c>
      <c r="B360" s="78">
        <v>4.4</v>
      </c>
      <c r="C360" s="78">
        <f t="shared" si="1"/>
        <v>528</v>
      </c>
      <c r="D360" s="78">
        <f t="shared" si="7"/>
        <v>600</v>
      </c>
      <c r="E360" s="78">
        <f t="shared" si="5"/>
        <v>26928</v>
      </c>
      <c r="F360" s="95">
        <f t="shared" si="8"/>
        <v>0.9999885888</v>
      </c>
      <c r="G360" s="69"/>
      <c r="T360" s="78" t="s">
        <v>822</v>
      </c>
      <c r="U360" s="78">
        <v>12.2</v>
      </c>
      <c r="V360" s="78">
        <f t="shared" si="3"/>
        <v>1464</v>
      </c>
      <c r="W360" s="78">
        <f t="shared" si="9"/>
        <v>600</v>
      </c>
      <c r="X360" s="78">
        <f t="shared" si="6"/>
        <v>27000</v>
      </c>
      <c r="Y360" s="95">
        <f t="shared" si="10"/>
        <v>0.9999885888</v>
      </c>
    </row>
    <row r="361">
      <c r="A361" s="78" t="s">
        <v>823</v>
      </c>
      <c r="B361" s="78">
        <v>17.8</v>
      </c>
      <c r="C361" s="78">
        <f t="shared" si="1"/>
        <v>2136</v>
      </c>
      <c r="D361" s="78">
        <f t="shared" si="7"/>
        <v>600</v>
      </c>
      <c r="E361" s="78">
        <f t="shared" si="5"/>
        <v>27000</v>
      </c>
      <c r="F361" s="95">
        <f t="shared" si="8"/>
        <v>0.9999885888</v>
      </c>
      <c r="G361" s="69"/>
      <c r="T361" s="78" t="s">
        <v>824</v>
      </c>
      <c r="U361" s="78">
        <v>3.4</v>
      </c>
      <c r="V361" s="78">
        <f t="shared" si="3"/>
        <v>408</v>
      </c>
      <c r="W361" s="78">
        <f t="shared" si="9"/>
        <v>600</v>
      </c>
      <c r="X361" s="78">
        <f t="shared" si="6"/>
        <v>26808</v>
      </c>
      <c r="Y361" s="95">
        <f t="shared" si="10"/>
        <v>0.9999885888</v>
      </c>
    </row>
    <row r="362">
      <c r="A362" s="78" t="s">
        <v>825</v>
      </c>
      <c r="B362" s="78">
        <v>1.4</v>
      </c>
      <c r="C362" s="78">
        <f t="shared" si="1"/>
        <v>168</v>
      </c>
      <c r="D362" s="78">
        <f t="shared" si="7"/>
        <v>600</v>
      </c>
      <c r="E362" s="78">
        <f t="shared" si="5"/>
        <v>26568</v>
      </c>
      <c r="F362" s="95">
        <f t="shared" si="8"/>
        <v>0.9999885888</v>
      </c>
      <c r="G362" s="69"/>
      <c r="T362" s="78" t="s">
        <v>826</v>
      </c>
      <c r="U362" s="78">
        <v>23.8</v>
      </c>
      <c r="V362" s="78">
        <f t="shared" si="3"/>
        <v>2856</v>
      </c>
      <c r="W362" s="78">
        <f t="shared" si="9"/>
        <v>600</v>
      </c>
      <c r="X362" s="78">
        <f t="shared" si="6"/>
        <v>27000</v>
      </c>
      <c r="Y362" s="95">
        <f t="shared" si="10"/>
        <v>0.9999885888</v>
      </c>
    </row>
    <row r="363">
      <c r="A363" s="78" t="s">
        <v>827</v>
      </c>
      <c r="B363" s="78">
        <v>1.0</v>
      </c>
      <c r="C363" s="78">
        <f t="shared" si="1"/>
        <v>120</v>
      </c>
      <c r="D363" s="78">
        <f t="shared" si="7"/>
        <v>600</v>
      </c>
      <c r="E363" s="78">
        <f t="shared" si="5"/>
        <v>26088</v>
      </c>
      <c r="F363" s="95">
        <f t="shared" si="8"/>
        <v>0.9999885888</v>
      </c>
      <c r="G363" s="69"/>
      <c r="T363" s="78" t="s">
        <v>828</v>
      </c>
      <c r="U363" s="78">
        <v>0.0</v>
      </c>
      <c r="V363" s="78">
        <f t="shared" si="3"/>
        <v>0</v>
      </c>
      <c r="W363" s="78">
        <f t="shared" si="9"/>
        <v>600</v>
      </c>
      <c r="X363" s="78">
        <f t="shared" si="6"/>
        <v>26400</v>
      </c>
      <c r="Y363" s="95">
        <f t="shared" si="10"/>
        <v>0.9999885888</v>
      </c>
    </row>
    <row r="364">
      <c r="A364" s="78" t="s">
        <v>829</v>
      </c>
      <c r="B364" s="78">
        <v>0.0</v>
      </c>
      <c r="C364" s="78">
        <f t="shared" si="1"/>
        <v>0</v>
      </c>
      <c r="D364" s="78">
        <f t="shared" si="7"/>
        <v>600</v>
      </c>
      <c r="E364" s="78">
        <f t="shared" si="5"/>
        <v>25488</v>
      </c>
      <c r="F364" s="95">
        <f t="shared" si="8"/>
        <v>0.9999885888</v>
      </c>
      <c r="G364" s="69"/>
      <c r="T364" s="78" t="s">
        <v>830</v>
      </c>
      <c r="U364" s="78">
        <v>2.4</v>
      </c>
      <c r="V364" s="78">
        <f t="shared" si="3"/>
        <v>288</v>
      </c>
      <c r="W364" s="78">
        <f t="shared" si="9"/>
        <v>600</v>
      </c>
      <c r="X364" s="78">
        <f t="shared" si="6"/>
        <v>26088</v>
      </c>
      <c r="Y364" s="95">
        <f t="shared" si="10"/>
        <v>0.9999885888</v>
      </c>
    </row>
    <row r="365">
      <c r="A365" s="78" t="s">
        <v>831</v>
      </c>
      <c r="B365" s="78">
        <v>9.0</v>
      </c>
      <c r="C365" s="78">
        <f t="shared" si="1"/>
        <v>1080</v>
      </c>
      <c r="D365" s="78">
        <f t="shared" si="7"/>
        <v>600</v>
      </c>
      <c r="E365" s="78">
        <f t="shared" si="5"/>
        <v>25968</v>
      </c>
      <c r="F365" s="95">
        <f t="shared" si="8"/>
        <v>0.9999885888</v>
      </c>
      <c r="G365" s="69"/>
      <c r="T365" s="78" t="s">
        <v>832</v>
      </c>
      <c r="U365" s="78">
        <v>3.0</v>
      </c>
      <c r="V365" s="78">
        <f t="shared" si="3"/>
        <v>360</v>
      </c>
      <c r="W365" s="78">
        <f t="shared" si="9"/>
        <v>600</v>
      </c>
      <c r="X365" s="78">
        <f t="shared" si="6"/>
        <v>25848</v>
      </c>
      <c r="Y365" s="95">
        <f t="shared" si="10"/>
        <v>0.9999885888</v>
      </c>
    </row>
    <row r="366">
      <c r="A366" s="78" t="s">
        <v>833</v>
      </c>
      <c r="B366" s="78">
        <v>20.2</v>
      </c>
      <c r="C366" s="78">
        <f t="shared" si="1"/>
        <v>2424</v>
      </c>
      <c r="D366" s="78">
        <f t="shared" si="7"/>
        <v>600</v>
      </c>
      <c r="E366" s="78">
        <f t="shared" si="5"/>
        <v>27000</v>
      </c>
      <c r="F366" s="95">
        <f t="shared" si="8"/>
        <v>0.9999885888</v>
      </c>
      <c r="G366" s="69"/>
      <c r="T366" s="78" t="s">
        <v>834</v>
      </c>
      <c r="U366" s="78">
        <v>2.2</v>
      </c>
      <c r="V366" s="78">
        <f t="shared" si="3"/>
        <v>264</v>
      </c>
      <c r="W366" s="78">
        <f t="shared" si="9"/>
        <v>600</v>
      </c>
      <c r="X366" s="78">
        <f t="shared" si="6"/>
        <v>25512</v>
      </c>
      <c r="Y366" s="95">
        <f t="shared" si="10"/>
        <v>0.9999885888</v>
      </c>
    </row>
    <row r="367">
      <c r="A367" s="78" t="s">
        <v>835</v>
      </c>
      <c r="B367" s="78">
        <v>0.8</v>
      </c>
      <c r="C367" s="78">
        <f t="shared" si="1"/>
        <v>96</v>
      </c>
      <c r="D367" s="78">
        <f t="shared" si="7"/>
        <v>600</v>
      </c>
      <c r="E367" s="78">
        <f t="shared" si="5"/>
        <v>26496</v>
      </c>
      <c r="F367" s="95">
        <f t="shared" si="8"/>
        <v>0.9999885888</v>
      </c>
      <c r="G367" s="69"/>
      <c r="T367" s="78" t="s">
        <v>836</v>
      </c>
      <c r="U367" s="78">
        <v>21.8</v>
      </c>
      <c r="V367" s="78">
        <f t="shared" si="3"/>
        <v>2616</v>
      </c>
      <c r="W367" s="78">
        <f t="shared" si="9"/>
        <v>600</v>
      </c>
      <c r="X367" s="78">
        <f t="shared" si="6"/>
        <v>27000</v>
      </c>
      <c r="Y367" s="95">
        <f t="shared" si="10"/>
        <v>0.9999885888</v>
      </c>
    </row>
    <row r="368">
      <c r="A368" s="78" t="s">
        <v>837</v>
      </c>
      <c r="B368" s="78">
        <v>24.6</v>
      </c>
      <c r="C368" s="78">
        <f t="shared" si="1"/>
        <v>2952</v>
      </c>
      <c r="D368" s="78">
        <f t="shared" si="7"/>
        <v>600</v>
      </c>
      <c r="E368" s="78">
        <f t="shared" si="5"/>
        <v>27000</v>
      </c>
      <c r="F368" s="95">
        <f t="shared" si="8"/>
        <v>0.9999885888</v>
      </c>
      <c r="G368" s="69"/>
      <c r="T368" s="78" t="s">
        <v>838</v>
      </c>
      <c r="U368" s="78">
        <v>25.5</v>
      </c>
      <c r="V368" s="78">
        <f t="shared" si="3"/>
        <v>3060</v>
      </c>
      <c r="W368" s="78">
        <f t="shared" si="9"/>
        <v>600</v>
      </c>
      <c r="X368" s="78">
        <f t="shared" si="6"/>
        <v>27000</v>
      </c>
      <c r="Y368" s="95">
        <f t="shared" si="10"/>
        <v>0.9999885888</v>
      </c>
    </row>
    <row r="369">
      <c r="A369" s="78" t="s">
        <v>839</v>
      </c>
      <c r="B369" s="78">
        <v>0.0</v>
      </c>
      <c r="C369" s="78">
        <f t="shared" si="1"/>
        <v>0</v>
      </c>
      <c r="D369" s="78">
        <f t="shared" si="7"/>
        <v>600</v>
      </c>
      <c r="E369" s="78">
        <f t="shared" si="5"/>
        <v>26400</v>
      </c>
      <c r="F369" s="95">
        <f t="shared" si="8"/>
        <v>0.9999885888</v>
      </c>
      <c r="G369" s="69"/>
      <c r="T369" s="78" t="s">
        <v>840</v>
      </c>
      <c r="U369" s="78">
        <v>31.8</v>
      </c>
      <c r="V369" s="78">
        <f t="shared" si="3"/>
        <v>3816</v>
      </c>
      <c r="W369" s="78">
        <f t="shared" si="9"/>
        <v>600</v>
      </c>
      <c r="X369" s="78">
        <f t="shared" si="6"/>
        <v>27000</v>
      </c>
      <c r="Y369" s="95">
        <f t="shared" si="10"/>
        <v>0.9999885888</v>
      </c>
    </row>
    <row r="370">
      <c r="A370" s="78" t="s">
        <v>841</v>
      </c>
      <c r="B370" s="78">
        <v>0.0</v>
      </c>
      <c r="C370" s="78">
        <f t="shared" si="1"/>
        <v>0</v>
      </c>
      <c r="D370" s="78">
        <f t="shared" si="7"/>
        <v>600</v>
      </c>
      <c r="E370" s="78">
        <f t="shared" si="5"/>
        <v>25800</v>
      </c>
      <c r="F370" s="95">
        <f t="shared" si="8"/>
        <v>0.9999885888</v>
      </c>
      <c r="G370" s="69"/>
      <c r="T370" s="78" t="s">
        <v>842</v>
      </c>
      <c r="U370" s="78">
        <v>22.6</v>
      </c>
      <c r="V370" s="78">
        <f t="shared" si="3"/>
        <v>2712</v>
      </c>
      <c r="W370" s="78">
        <f t="shared" si="9"/>
        <v>600</v>
      </c>
      <c r="X370" s="78">
        <f t="shared" si="6"/>
        <v>27000</v>
      </c>
      <c r="Y370" s="95">
        <f t="shared" si="10"/>
        <v>0.9999885888</v>
      </c>
    </row>
    <row r="371">
      <c r="A371" s="78" t="s">
        <v>843</v>
      </c>
      <c r="B371" s="78">
        <v>8.8</v>
      </c>
      <c r="C371" s="78">
        <f t="shared" si="1"/>
        <v>1056</v>
      </c>
      <c r="D371" s="78">
        <f t="shared" si="7"/>
        <v>600</v>
      </c>
      <c r="E371" s="78">
        <f t="shared" si="5"/>
        <v>26256</v>
      </c>
      <c r="F371" s="95">
        <f t="shared" si="8"/>
        <v>0.9999885888</v>
      </c>
      <c r="G371" s="69"/>
      <c r="T371" s="78" t="s">
        <v>844</v>
      </c>
      <c r="U371" s="78">
        <v>9.0</v>
      </c>
      <c r="V371" s="78">
        <f t="shared" si="3"/>
        <v>1080</v>
      </c>
      <c r="W371" s="78">
        <f t="shared" si="9"/>
        <v>600</v>
      </c>
      <c r="X371" s="78">
        <f t="shared" si="6"/>
        <v>27000</v>
      </c>
      <c r="Y371" s="95">
        <f t="shared" si="10"/>
        <v>0.9999885888</v>
      </c>
    </row>
    <row r="372">
      <c r="A372" s="78" t="s">
        <v>845</v>
      </c>
      <c r="B372" s="78">
        <v>11.6</v>
      </c>
      <c r="C372" s="78">
        <f t="shared" si="1"/>
        <v>1392</v>
      </c>
      <c r="D372" s="78">
        <f t="shared" si="7"/>
        <v>600</v>
      </c>
      <c r="E372" s="78">
        <f t="shared" si="5"/>
        <v>27000</v>
      </c>
      <c r="F372" s="95">
        <f t="shared" si="8"/>
        <v>0.9999885888</v>
      </c>
      <c r="G372" s="69"/>
      <c r="T372" s="78" t="s">
        <v>846</v>
      </c>
      <c r="U372" s="78">
        <v>35.8</v>
      </c>
      <c r="V372" s="78">
        <f t="shared" si="3"/>
        <v>4296</v>
      </c>
      <c r="W372" s="78">
        <f t="shared" si="9"/>
        <v>600</v>
      </c>
      <c r="X372" s="78">
        <f t="shared" si="6"/>
        <v>27000</v>
      </c>
      <c r="Y372" s="95">
        <f t="shared" si="10"/>
        <v>0.9999885888</v>
      </c>
    </row>
    <row r="373">
      <c r="A373" s="78" t="s">
        <v>847</v>
      </c>
      <c r="B373" s="78">
        <v>10.0</v>
      </c>
      <c r="C373" s="78">
        <f t="shared" si="1"/>
        <v>1200</v>
      </c>
      <c r="D373" s="78">
        <f t="shared" si="7"/>
        <v>600</v>
      </c>
      <c r="E373" s="78">
        <f t="shared" si="5"/>
        <v>27000</v>
      </c>
      <c r="F373" s="95">
        <f t="shared" si="8"/>
        <v>0.9999885888</v>
      </c>
      <c r="G373" s="69"/>
      <c r="T373" s="78" t="s">
        <v>848</v>
      </c>
      <c r="U373" s="78">
        <v>9.4</v>
      </c>
      <c r="V373" s="78">
        <f t="shared" si="3"/>
        <v>1128</v>
      </c>
      <c r="W373" s="78">
        <f t="shared" si="9"/>
        <v>600</v>
      </c>
      <c r="X373" s="78">
        <f t="shared" si="6"/>
        <v>27000</v>
      </c>
      <c r="Y373" s="95">
        <f t="shared" si="10"/>
        <v>0.9999885888</v>
      </c>
    </row>
    <row r="374">
      <c r="A374" s="78" t="s">
        <v>849</v>
      </c>
      <c r="B374" s="78">
        <v>2.2</v>
      </c>
      <c r="C374" s="78">
        <f t="shared" si="1"/>
        <v>264</v>
      </c>
      <c r="D374" s="78">
        <f t="shared" si="7"/>
        <v>600</v>
      </c>
      <c r="E374" s="78">
        <f t="shared" si="5"/>
        <v>26664</v>
      </c>
      <c r="F374" s="95">
        <f t="shared" si="8"/>
        <v>0.9999885888</v>
      </c>
      <c r="G374" s="69"/>
      <c r="T374" s="78" t="s">
        <v>850</v>
      </c>
      <c r="U374" s="78">
        <v>0.0</v>
      </c>
      <c r="V374" s="78">
        <f t="shared" si="3"/>
        <v>0</v>
      </c>
      <c r="W374" s="78">
        <f t="shared" si="9"/>
        <v>600</v>
      </c>
      <c r="X374" s="78">
        <f t="shared" si="6"/>
        <v>26400</v>
      </c>
      <c r="Y374" s="95">
        <f t="shared" si="10"/>
        <v>0.9999885888</v>
      </c>
    </row>
    <row r="375">
      <c r="A375" s="78" t="s">
        <v>851</v>
      </c>
      <c r="B375" s="78">
        <v>0.6</v>
      </c>
      <c r="C375" s="78">
        <f t="shared" si="1"/>
        <v>72</v>
      </c>
      <c r="D375" s="78">
        <f t="shared" si="7"/>
        <v>600</v>
      </c>
      <c r="E375" s="78">
        <f t="shared" si="5"/>
        <v>26136</v>
      </c>
      <c r="F375" s="95">
        <f t="shared" si="8"/>
        <v>0.9999885888</v>
      </c>
      <c r="G375" s="69"/>
      <c r="T375" s="78" t="s">
        <v>852</v>
      </c>
      <c r="U375" s="78">
        <v>0.0</v>
      </c>
      <c r="V375" s="78">
        <f t="shared" si="3"/>
        <v>0</v>
      </c>
      <c r="W375" s="78">
        <f t="shared" si="9"/>
        <v>600</v>
      </c>
      <c r="X375" s="78">
        <f t="shared" si="6"/>
        <v>25800</v>
      </c>
      <c r="Y375" s="95">
        <f t="shared" si="10"/>
        <v>0.9999885888</v>
      </c>
    </row>
    <row r="376">
      <c r="A376" s="78" t="s">
        <v>853</v>
      </c>
      <c r="B376" s="78">
        <v>10.2</v>
      </c>
      <c r="C376" s="78">
        <f t="shared" si="1"/>
        <v>1224</v>
      </c>
      <c r="D376" s="78">
        <f t="shared" si="7"/>
        <v>600</v>
      </c>
      <c r="E376" s="78">
        <f t="shared" si="5"/>
        <v>26760</v>
      </c>
      <c r="F376" s="95">
        <f t="shared" si="8"/>
        <v>0.9999885888</v>
      </c>
      <c r="G376" s="69"/>
      <c r="T376" s="78" t="s">
        <v>854</v>
      </c>
      <c r="U376" s="78">
        <v>26.2</v>
      </c>
      <c r="V376" s="78">
        <f t="shared" si="3"/>
        <v>3144</v>
      </c>
      <c r="W376" s="78">
        <f t="shared" si="9"/>
        <v>600</v>
      </c>
      <c r="X376" s="78">
        <f t="shared" si="6"/>
        <v>27000</v>
      </c>
      <c r="Y376" s="95">
        <f t="shared" si="10"/>
        <v>0.9999885888</v>
      </c>
    </row>
    <row r="377">
      <c r="A377" s="78" t="s">
        <v>855</v>
      </c>
      <c r="B377" s="78">
        <v>5.4</v>
      </c>
      <c r="C377" s="78">
        <f t="shared" si="1"/>
        <v>648</v>
      </c>
      <c r="D377" s="78">
        <f t="shared" si="7"/>
        <v>600</v>
      </c>
      <c r="E377" s="78">
        <f t="shared" si="5"/>
        <v>26808</v>
      </c>
      <c r="F377" s="95">
        <f t="shared" si="8"/>
        <v>0.9999885888</v>
      </c>
      <c r="G377" s="69"/>
      <c r="T377" s="78" t="s">
        <v>856</v>
      </c>
      <c r="U377" s="78">
        <v>1.6</v>
      </c>
      <c r="V377" s="78">
        <f t="shared" si="3"/>
        <v>192</v>
      </c>
      <c r="W377" s="78">
        <f t="shared" si="9"/>
        <v>600</v>
      </c>
      <c r="X377" s="78">
        <f t="shared" si="6"/>
        <v>26592</v>
      </c>
      <c r="Y377" s="95">
        <f t="shared" si="10"/>
        <v>0.9999885888</v>
      </c>
    </row>
    <row r="378">
      <c r="A378" s="78" t="s">
        <v>857</v>
      </c>
      <c r="B378" s="78">
        <v>0.0</v>
      </c>
      <c r="C378" s="78">
        <f t="shared" si="1"/>
        <v>0</v>
      </c>
      <c r="D378" s="78">
        <f t="shared" si="7"/>
        <v>600</v>
      </c>
      <c r="E378" s="78">
        <f t="shared" si="5"/>
        <v>26208</v>
      </c>
      <c r="F378" s="95">
        <f t="shared" si="8"/>
        <v>0.9999885888</v>
      </c>
      <c r="G378" s="69"/>
      <c r="T378" s="78" t="s">
        <v>858</v>
      </c>
      <c r="U378" s="78">
        <v>0.2</v>
      </c>
      <c r="V378" s="78">
        <f t="shared" si="3"/>
        <v>24</v>
      </c>
      <c r="W378" s="78">
        <f t="shared" si="9"/>
        <v>600</v>
      </c>
      <c r="X378" s="78">
        <f t="shared" si="6"/>
        <v>26016</v>
      </c>
      <c r="Y378" s="95">
        <f t="shared" si="10"/>
        <v>0.9999885888</v>
      </c>
    </row>
    <row r="379">
      <c r="A379" s="78" t="s">
        <v>859</v>
      </c>
      <c r="B379" s="78">
        <v>0.0</v>
      </c>
      <c r="C379" s="78">
        <f t="shared" si="1"/>
        <v>0</v>
      </c>
      <c r="D379" s="78">
        <f t="shared" si="7"/>
        <v>600</v>
      </c>
      <c r="E379" s="78">
        <f t="shared" si="5"/>
        <v>25608</v>
      </c>
      <c r="F379" s="95">
        <f t="shared" si="8"/>
        <v>0.9999885888</v>
      </c>
      <c r="G379" s="69"/>
      <c r="T379" s="78" t="s">
        <v>860</v>
      </c>
      <c r="U379" s="78">
        <v>0.0</v>
      </c>
      <c r="V379" s="78">
        <f t="shared" si="3"/>
        <v>0</v>
      </c>
      <c r="W379" s="78">
        <f t="shared" si="9"/>
        <v>600</v>
      </c>
      <c r="X379" s="78">
        <f t="shared" si="6"/>
        <v>25416</v>
      </c>
      <c r="Y379" s="95">
        <f t="shared" si="10"/>
        <v>0.9999885888</v>
      </c>
    </row>
    <row r="380">
      <c r="A380" s="78" t="s">
        <v>861</v>
      </c>
      <c r="B380" s="78">
        <v>0.0</v>
      </c>
      <c r="C380" s="78">
        <f t="shared" si="1"/>
        <v>0</v>
      </c>
      <c r="D380" s="78">
        <f t="shared" si="7"/>
        <v>600</v>
      </c>
      <c r="E380" s="78">
        <f t="shared" si="5"/>
        <v>25008</v>
      </c>
      <c r="F380" s="95">
        <f t="shared" si="8"/>
        <v>0.9999885888</v>
      </c>
      <c r="G380" s="69"/>
      <c r="T380" s="78" t="s">
        <v>862</v>
      </c>
      <c r="U380" s="78">
        <v>0.0</v>
      </c>
      <c r="V380" s="78">
        <f t="shared" si="3"/>
        <v>0</v>
      </c>
      <c r="W380" s="78">
        <f t="shared" si="9"/>
        <v>600</v>
      </c>
      <c r="X380" s="78">
        <f t="shared" si="6"/>
        <v>24816</v>
      </c>
      <c r="Y380" s="95">
        <f t="shared" si="10"/>
        <v>0.9999885888</v>
      </c>
    </row>
    <row r="381">
      <c r="A381" s="78" t="s">
        <v>863</v>
      </c>
      <c r="B381" s="78">
        <v>0.0</v>
      </c>
      <c r="C381" s="78">
        <f t="shared" si="1"/>
        <v>0</v>
      </c>
      <c r="D381" s="78">
        <f t="shared" si="7"/>
        <v>600</v>
      </c>
      <c r="E381" s="78">
        <f t="shared" si="5"/>
        <v>24408</v>
      </c>
      <c r="F381" s="95">
        <f t="shared" si="8"/>
        <v>0.9999885888</v>
      </c>
      <c r="G381" s="69"/>
      <c r="T381" s="78" t="s">
        <v>864</v>
      </c>
      <c r="U381" s="78">
        <v>0.0</v>
      </c>
      <c r="V381" s="78">
        <f t="shared" si="3"/>
        <v>0</v>
      </c>
      <c r="W381" s="78">
        <f t="shared" si="9"/>
        <v>600</v>
      </c>
      <c r="X381" s="78">
        <f t="shared" si="6"/>
        <v>24216</v>
      </c>
      <c r="Y381" s="95">
        <f t="shared" si="10"/>
        <v>0.9999885888</v>
      </c>
    </row>
  </sheetData>
  <mergeCells count="6">
    <mergeCell ref="A15:F15"/>
    <mergeCell ref="T15:Y15"/>
    <mergeCell ref="I2:J2"/>
    <mergeCell ref="L2:M2"/>
    <mergeCell ref="I5:J5"/>
    <mergeCell ref="O2:Q2"/>
  </mergeCells>
  <printOptions/>
  <pageMargins bottom="0.75" footer="0.0" header="0.0" left="0.7" right="0.7" top="0.7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24.86"/>
    <col customWidth="1" min="2" max="2" width="10.57"/>
    <col customWidth="1" min="3" max="3" width="22.14"/>
    <col customWidth="1" min="4" max="4" width="21.57"/>
    <col customWidth="1" min="5" max="5" width="13.0"/>
    <col customWidth="1" min="6" max="6" width="12.29"/>
    <col customWidth="1" min="7" max="7" width="11.0"/>
    <col customWidth="1" min="8" max="8" width="8.71"/>
    <col customWidth="1" min="9" max="9" width="13.14"/>
    <col customWidth="1" min="10" max="10" width="11.29"/>
    <col customWidth="1" min="11" max="11" width="18.57"/>
    <col customWidth="1" min="12" max="26" width="8.71"/>
  </cols>
  <sheetData>
    <row r="1">
      <c r="A1" s="51" t="s">
        <v>99</v>
      </c>
      <c r="B1" s="51" t="s">
        <v>63</v>
      </c>
      <c r="C1" s="51" t="s">
        <v>865</v>
      </c>
      <c r="I1" s="96"/>
      <c r="J1" s="97" t="s">
        <v>866</v>
      </c>
      <c r="K1" s="97" t="s">
        <v>867</v>
      </c>
    </row>
    <row r="2">
      <c r="A2" t="s">
        <v>868</v>
      </c>
      <c r="B2">
        <f>C11</f>
        <v>3893.237</v>
      </c>
      <c r="I2" s="13"/>
      <c r="J2" s="98" t="s">
        <v>869</v>
      </c>
      <c r="K2" s="98" t="s">
        <v>869</v>
      </c>
    </row>
    <row r="3">
      <c r="A3" t="s">
        <v>77</v>
      </c>
      <c r="B3">
        <f>'Design Specifications'!B1</f>
        <v>600</v>
      </c>
      <c r="C3" t="s">
        <v>78</v>
      </c>
      <c r="I3" s="99" t="s">
        <v>870</v>
      </c>
      <c r="J3" s="100">
        <v>125.0</v>
      </c>
      <c r="K3" s="100">
        <v>75.0</v>
      </c>
    </row>
    <row r="4">
      <c r="I4" s="99" t="s">
        <v>871</v>
      </c>
      <c r="J4" s="100">
        <v>110.0</v>
      </c>
      <c r="K4" s="100">
        <v>60.0</v>
      </c>
    </row>
    <row r="5">
      <c r="I5" s="99" t="s">
        <v>872</v>
      </c>
      <c r="J5" s="100">
        <v>100.0</v>
      </c>
      <c r="K5" s="100">
        <v>50.0</v>
      </c>
    </row>
    <row r="6">
      <c r="A6" s="101" t="s">
        <v>873</v>
      </c>
      <c r="B6" s="102"/>
      <c r="C6" s="102"/>
      <c r="D6" s="102"/>
      <c r="E6" s="102"/>
      <c r="F6" s="102"/>
      <c r="G6" s="103"/>
    </row>
    <row r="7">
      <c r="A7" t="s">
        <v>874</v>
      </c>
      <c r="B7" t="s">
        <v>875</v>
      </c>
      <c r="C7" t="s">
        <v>868</v>
      </c>
      <c r="D7" t="s">
        <v>876</v>
      </c>
      <c r="E7" t="s">
        <v>877</v>
      </c>
      <c r="F7" t="s">
        <v>878</v>
      </c>
      <c r="G7" t="s">
        <v>879</v>
      </c>
    </row>
    <row r="8">
      <c r="A8" t="s">
        <v>37</v>
      </c>
      <c r="B8" t="str">
        <f>'Design Specifications'!C24</f>
        <v>y</v>
      </c>
      <c r="C8">
        <v>3798.28</v>
      </c>
      <c r="D8">
        <f>IF(B8="n","N/A",IF(B9="n",IF(B10="y",G8,E8),F8))</f>
        <v>20000</v>
      </c>
      <c r="E8">
        <v>5000.0</v>
      </c>
      <c r="F8">
        <v>20000.0</v>
      </c>
      <c r="G8">
        <v>15000.0</v>
      </c>
    </row>
    <row r="9">
      <c r="A9" t="s">
        <v>38</v>
      </c>
      <c r="B9" t="str">
        <f>'Design Specifications'!C25</f>
        <v/>
      </c>
      <c r="C9">
        <v>1899.14</v>
      </c>
      <c r="D9">
        <f>IF(B9="n","N/A",IF(B10="y",G9,E9))</f>
        <v>20000</v>
      </c>
      <c r="E9">
        <v>10000.0</v>
      </c>
      <c r="G9">
        <v>20000.0</v>
      </c>
    </row>
    <row r="10">
      <c r="A10" t="s">
        <v>39</v>
      </c>
      <c r="B10" t="str">
        <f>'Design Specifications'!C26</f>
        <v>y</v>
      </c>
      <c r="C10">
        <v>94.957</v>
      </c>
      <c r="D10">
        <f>IF(B10="n","N/A",IF(B10="y",E10,IF(B9="y",E9,E8)))</f>
        <v>20000</v>
      </c>
      <c r="E10">
        <v>20000.0</v>
      </c>
    </row>
    <row r="11">
      <c r="A11" s="51" t="s">
        <v>97</v>
      </c>
      <c r="B11" s="51"/>
      <c r="C11" s="51">
        <f>IF(B8="y",C8,0)+IF(B9="y",C9,0)+IF(B10="y",C10,0)</f>
        <v>3893.237</v>
      </c>
    </row>
    <row r="13">
      <c r="A13" s="101" t="s">
        <v>880</v>
      </c>
      <c r="B13" s="102"/>
      <c r="C13" s="102"/>
      <c r="D13" s="103"/>
      <c r="F13" s="22" t="s">
        <v>69</v>
      </c>
    </row>
    <row r="14">
      <c r="A14" t="s">
        <v>874</v>
      </c>
      <c r="B14" t="s">
        <v>881</v>
      </c>
      <c r="C14" s="15" t="s">
        <v>882</v>
      </c>
      <c r="D14" s="37" t="s">
        <v>883</v>
      </c>
      <c r="F14" s="15" t="s">
        <v>884</v>
      </c>
      <c r="G14">
        <f>IF(B8="y",J3,0)+IF(B9="y",J4,0)+IF(B10="y",J5,0)</f>
        <v>225</v>
      </c>
    </row>
    <row r="15">
      <c r="A15" t="s">
        <v>37</v>
      </c>
      <c r="B15">
        <f t="shared" ref="B15:B17" si="1">D8</f>
        <v>20000</v>
      </c>
      <c r="C15">
        <f t="shared" ref="C15:C17" si="2">IF(B15="N/A","N/A",ROUNDDOWN(365*5/(B15/$B$3),0))</f>
        <v>54</v>
      </c>
      <c r="D15" s="37">
        <f t="shared" ref="D15:D17" si="3">IF(B15="N/A","N/A",C15/5)</f>
        <v>10.8</v>
      </c>
      <c r="F15" s="15" t="s">
        <v>885</v>
      </c>
      <c r="G15" s="104">
        <f>IF(B8="y",C15*K3,0)+IF(B9="y",C16*K4,0)+IF(B10="y",C17*K5,0)</f>
        <v>6750</v>
      </c>
    </row>
    <row r="16">
      <c r="A16" t="s">
        <v>38</v>
      </c>
      <c r="B16">
        <f t="shared" si="1"/>
        <v>20000</v>
      </c>
      <c r="C16">
        <f t="shared" si="2"/>
        <v>54</v>
      </c>
      <c r="D16" s="37">
        <f t="shared" si="3"/>
        <v>10.8</v>
      </c>
      <c r="F16" s="22" t="s">
        <v>88</v>
      </c>
      <c r="G16" s="105">
        <f>SUM(G14:G15)</f>
        <v>6975</v>
      </c>
    </row>
    <row r="17">
      <c r="A17" t="s">
        <v>39</v>
      </c>
      <c r="B17">
        <f t="shared" si="1"/>
        <v>20000</v>
      </c>
      <c r="C17">
        <f t="shared" si="2"/>
        <v>54</v>
      </c>
      <c r="D17" s="37">
        <f t="shared" si="3"/>
        <v>10.8</v>
      </c>
    </row>
    <row r="18">
      <c r="B18" s="51" t="s">
        <v>886</v>
      </c>
      <c r="C18" s="51">
        <f>SUM(C15:C17)-ROUNDDOWN(365*5/(LCM(B15:B17)/$B$3),0)</f>
        <v>108</v>
      </c>
      <c r="D18" s="106">
        <f>C18/5</f>
        <v>21.6</v>
      </c>
    </row>
    <row r="19">
      <c r="B19" s="15"/>
      <c r="C19" s="15"/>
      <c r="D19" s="15"/>
    </row>
    <row r="20">
      <c r="A20" s="15"/>
    </row>
    <row r="51">
      <c r="D51" s="33"/>
    </row>
  </sheetData>
  <mergeCells count="4">
    <mergeCell ref="A6:G6"/>
    <mergeCell ref="A13:D13"/>
    <mergeCell ref="I1:I2"/>
    <mergeCell ref="F13:G13"/>
  </mergeCells>
  <printOptions/>
  <pageMargins bottom="0.75" footer="0.0" header="0.0" left="0.7" right="0.7" top="0.75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21.86"/>
    <col customWidth="1" min="2" max="2" width="13.86"/>
    <col customWidth="1" min="3" max="3" width="19.43"/>
    <col customWidth="1" min="4" max="4" width="13.71"/>
    <col customWidth="1" min="5" max="5" width="9.43"/>
    <col customWidth="1" min="6" max="7" width="13.86"/>
    <col customWidth="1" min="8" max="8" width="16.43"/>
    <col customWidth="1" min="9" max="10" width="23.86"/>
    <col customWidth="1" min="11" max="11" width="25.57"/>
    <col customWidth="1" min="12" max="12" width="22.14"/>
    <col customWidth="1" min="13" max="13" width="13.57"/>
    <col customWidth="1" min="14" max="14" width="12.71"/>
    <col customWidth="1" min="15" max="27" width="8.71"/>
  </cols>
  <sheetData>
    <row r="1">
      <c r="A1" s="51" t="s">
        <v>99</v>
      </c>
      <c r="B1" s="51" t="s">
        <v>63</v>
      </c>
      <c r="C1" s="51" t="s">
        <v>865</v>
      </c>
      <c r="E1" s="107" t="s">
        <v>887</v>
      </c>
      <c r="G1" s="24"/>
      <c r="H1" s="23" t="s">
        <v>888</v>
      </c>
      <c r="J1" s="24"/>
      <c r="K1" s="25" t="s">
        <v>889</v>
      </c>
      <c r="M1" s="108"/>
    </row>
    <row r="2">
      <c r="A2" s="33" t="s">
        <v>890</v>
      </c>
      <c r="B2" s="109">
        <f>'Design Specifications'!E15+1.5+'Design Specifications'!C17</f>
        <v>11.5</v>
      </c>
      <c r="C2" t="s">
        <v>891</v>
      </c>
      <c r="E2" s="24" t="s">
        <v>892</v>
      </c>
      <c r="F2" s="74">
        <f>IF('Design Specifications'!$C$18 = "y",-0.0191,IF('Design Specifications'!$C$19="y",-0.0039,IF('Design Specifications'!$C$20="y",-0.0151,0)))</f>
        <v>-0.0191</v>
      </c>
      <c r="G2" s="24"/>
      <c r="H2" s="110" t="s">
        <v>893</v>
      </c>
      <c r="I2" s="74">
        <f>IF('Design Specifications'!$C$18 = "y",580,IF('Design Specifications'!$C$19="y",1400,IF('Design Specifications'!$C$20="y",3500,0)))</f>
        <v>580</v>
      </c>
      <c r="J2" s="24"/>
      <c r="K2" s="111" t="s">
        <v>894</v>
      </c>
      <c r="L2" s="82">
        <f>ROUNDDOWN(I5*5/I3,0)</f>
        <v>1</v>
      </c>
      <c r="M2" s="112"/>
    </row>
    <row r="3">
      <c r="A3" t="s">
        <v>895</v>
      </c>
      <c r="B3" s="109">
        <f>sqrt('Design Specifications'!C14^2+'Design Specifications'!C15^2)</f>
        <v>25.49509757</v>
      </c>
      <c r="C3" t="s">
        <v>891</v>
      </c>
      <c r="E3" s="24" t="s">
        <v>896</v>
      </c>
      <c r="F3" s="74">
        <f>IF('Design Specifications'!$C$18 = "y",-0.4006,IF('Design Specifications'!$C$19="y",-0.096,IF('Design Specifications'!$C$20="y",-0.5516,0)))</f>
        <v>-0.4006</v>
      </c>
      <c r="G3" s="24"/>
      <c r="H3" s="110" t="s">
        <v>897</v>
      </c>
      <c r="I3" s="74">
        <f>IF('Design Specifications'!$C$18 = "y",1000,IF('Design Specifications'!$C$19="y",1500,IF('Design Specifications'!$C$20="y",1500,0)))</f>
        <v>1000</v>
      </c>
      <c r="J3" s="24"/>
      <c r="K3" s="111" t="s">
        <v>898</v>
      </c>
      <c r="L3" s="82">
        <f>(L2+1)*I2</f>
        <v>1160</v>
      </c>
    </row>
    <row r="4">
      <c r="A4" t="s">
        <v>899</v>
      </c>
      <c r="B4">
        <v>0.02</v>
      </c>
      <c r="C4" t="s">
        <v>891</v>
      </c>
      <c r="E4" s="24" t="s">
        <v>900</v>
      </c>
      <c r="F4" s="74">
        <f>IF('Design Specifications'!$C$18 = "y",167.7,IF('Design Specifications'!$C$19="y",237.86,IF('Design Specifications'!$C$20="y",356.8,0)))</f>
        <v>167.7</v>
      </c>
      <c r="G4" s="24"/>
      <c r="H4" s="110" t="s">
        <v>901</v>
      </c>
      <c r="I4" s="113">
        <f>IF('Design Specifications'!C18 = "y",0.7,IF('Design Specifications'!C19="y",0.72,IF('Design Specifications'!C20="y",0.65,0)))</f>
        <v>0.7</v>
      </c>
      <c r="J4" s="24"/>
      <c r="K4" s="24"/>
      <c r="L4" s="24"/>
    </row>
    <row r="5">
      <c r="A5" t="s">
        <v>902</v>
      </c>
      <c r="B5">
        <v>3.141592654E-4</v>
      </c>
      <c r="C5" t="s">
        <v>101</v>
      </c>
      <c r="E5" s="24"/>
      <c r="F5" s="24"/>
      <c r="G5" s="24"/>
      <c r="H5" s="114" t="s">
        <v>903</v>
      </c>
      <c r="I5" s="24">
        <f>'Catchment Area'!P5/F17/60</f>
        <v>304.7601904</v>
      </c>
      <c r="J5" s="24"/>
      <c r="K5" s="115" t="s">
        <v>904</v>
      </c>
      <c r="L5" s="116">
        <f>600*365/F17/60</f>
        <v>194.0605878</v>
      </c>
    </row>
    <row r="6">
      <c r="A6" t="s">
        <v>905</v>
      </c>
      <c r="B6">
        <v>0.05</v>
      </c>
      <c r="E6" s="24"/>
      <c r="F6" s="24"/>
      <c r="G6" s="24"/>
      <c r="H6" s="114"/>
      <c r="I6" s="24"/>
      <c r="J6" s="24"/>
      <c r="K6" s="117" t="s">
        <v>906</v>
      </c>
      <c r="L6" s="118">
        <f>ROUNDDOWN(L5*5/1000,0)</f>
        <v>0</v>
      </c>
    </row>
    <row r="7">
      <c r="A7" t="s">
        <v>907</v>
      </c>
      <c r="B7">
        <v>10.0</v>
      </c>
      <c r="E7" s="24" t="s">
        <v>908</v>
      </c>
      <c r="F7" s="24" t="s">
        <v>909</v>
      </c>
      <c r="G7" s="24" t="s">
        <v>910</v>
      </c>
      <c r="H7" s="24"/>
      <c r="I7" s="24"/>
      <c r="J7" s="24"/>
      <c r="K7" s="114" t="s">
        <v>911</v>
      </c>
      <c r="L7" s="24"/>
    </row>
    <row r="8">
      <c r="A8" t="s">
        <v>868</v>
      </c>
      <c r="B8">
        <f>IF('Design Specifications'!C23="y",Filters!C11,0)</f>
        <v>3893.237</v>
      </c>
      <c r="E8" s="74">
        <f>(1000*60000^2*F2*B5^2)-((B6*B3*B9)/(2*B4))-((1/2)*(B7*B9))</f>
        <v>-43655.21195</v>
      </c>
      <c r="F8" s="74">
        <f>1000*60000*F3*B5-B8</f>
        <v>-11444.3691</v>
      </c>
      <c r="G8" s="74">
        <f>1000*F4-B11</f>
        <v>54885</v>
      </c>
      <c r="H8" s="24"/>
      <c r="I8" s="24"/>
      <c r="J8" s="24"/>
      <c r="K8" s="24"/>
      <c r="L8" s="24"/>
    </row>
    <row r="9">
      <c r="A9" t="s">
        <v>912</v>
      </c>
      <c r="B9">
        <v>1000.0</v>
      </c>
      <c r="C9" t="s">
        <v>913</v>
      </c>
    </row>
    <row r="10">
      <c r="A10" t="s">
        <v>914</v>
      </c>
      <c r="B10">
        <v>9.81</v>
      </c>
      <c r="C10" t="s">
        <v>915</v>
      </c>
    </row>
    <row r="11">
      <c r="A11" s="37" t="s">
        <v>916</v>
      </c>
      <c r="B11">
        <f>$B$9*$B$10*$B$2</f>
        <v>112815</v>
      </c>
      <c r="C11" t="s">
        <v>917</v>
      </c>
    </row>
    <row r="12">
      <c r="A12" s="37"/>
    </row>
    <row r="15">
      <c r="A15" s="119" t="s">
        <v>918</v>
      </c>
      <c r="B15" s="119" t="s">
        <v>919</v>
      </c>
      <c r="C15" s="119" t="s">
        <v>920</v>
      </c>
      <c r="D15" s="119" t="s">
        <v>28</v>
      </c>
      <c r="E15" s="101" t="s">
        <v>921</v>
      </c>
      <c r="F15" s="103"/>
      <c r="G15" s="120"/>
      <c r="H15" s="120"/>
    </row>
    <row r="16">
      <c r="A16">
        <v>0.0</v>
      </c>
      <c r="B16">
        <f t="shared" ref="B16:B76" si="1">A16*$B$5*60000</f>
        <v>0</v>
      </c>
      <c r="C16">
        <f t="shared" ref="C16:C76" si="2">$B$11+($B$6*($B$3/$B$4)*($B$9*(A16^2))/2)+($B$7*($B$9*(A16^2)/2))+(A16*$B$8)</f>
        <v>112815</v>
      </c>
      <c r="D16">
        <f t="shared" ref="D16:D76" si="3">($F$2*(B16)^2+$F$3*(B16)+$F$4)*1000</f>
        <v>167700</v>
      </c>
      <c r="E16" t="s">
        <v>922</v>
      </c>
      <c r="F16">
        <f>(-$F$8-SQRT($F$8^2-4*$E$8*$G$8))/(2*$E$8)</f>
        <v>0.9978250417</v>
      </c>
    </row>
    <row r="17">
      <c r="A17">
        <f t="shared" ref="A17:A76" si="4">A16+0.05</f>
        <v>0.05</v>
      </c>
      <c r="B17">
        <f t="shared" si="1"/>
        <v>0.9424777962</v>
      </c>
      <c r="C17">
        <f t="shared" si="2"/>
        <v>113101.834</v>
      </c>
      <c r="D17">
        <f t="shared" si="3"/>
        <v>167305.4775</v>
      </c>
      <c r="E17" t="s">
        <v>923</v>
      </c>
      <c r="F17">
        <f>$F$16*$B$5*60000</f>
        <v>18.80855893</v>
      </c>
    </row>
    <row r="18">
      <c r="A18">
        <f t="shared" si="4"/>
        <v>0.1</v>
      </c>
      <c r="B18">
        <f t="shared" si="1"/>
        <v>1.884955592</v>
      </c>
      <c r="C18">
        <f t="shared" si="2"/>
        <v>113573.0124</v>
      </c>
      <c r="D18">
        <f t="shared" si="3"/>
        <v>166877.0234</v>
      </c>
      <c r="E18" s="15" t="s">
        <v>924</v>
      </c>
      <c r="F18">
        <f>$B$11+($B$6*($B$3/$B$4)*($B$9*(F16^2))/2)+($B$7*($B$9*(F16^2)/2))+(F16*$B$8)</f>
        <v>153408.4392</v>
      </c>
    </row>
    <row r="19">
      <c r="A19">
        <f t="shared" si="4"/>
        <v>0.15</v>
      </c>
      <c r="B19">
        <f t="shared" si="1"/>
        <v>2.827433389</v>
      </c>
      <c r="C19">
        <f t="shared" si="2"/>
        <v>114228.5352</v>
      </c>
      <c r="D19">
        <f t="shared" si="3"/>
        <v>166414.6375</v>
      </c>
    </row>
    <row r="20">
      <c r="A20">
        <f t="shared" si="4"/>
        <v>0.2</v>
      </c>
      <c r="B20">
        <f t="shared" si="1"/>
        <v>3.769911185</v>
      </c>
      <c r="C20">
        <f t="shared" si="2"/>
        <v>115068.4023</v>
      </c>
      <c r="D20">
        <f t="shared" si="3"/>
        <v>165918.32</v>
      </c>
    </row>
    <row r="21">
      <c r="A21">
        <f t="shared" si="4"/>
        <v>0.25</v>
      </c>
      <c r="B21">
        <f t="shared" si="1"/>
        <v>4.712388981</v>
      </c>
      <c r="C21">
        <f t="shared" si="2"/>
        <v>116092.6137</v>
      </c>
      <c r="D21">
        <f t="shared" si="3"/>
        <v>165388.0707</v>
      </c>
    </row>
    <row r="22">
      <c r="A22">
        <f t="shared" si="4"/>
        <v>0.3</v>
      </c>
      <c r="B22">
        <f t="shared" si="1"/>
        <v>5.654866777</v>
      </c>
      <c r="C22">
        <f t="shared" si="2"/>
        <v>117301.1696</v>
      </c>
      <c r="D22">
        <f t="shared" si="3"/>
        <v>164823.8898</v>
      </c>
    </row>
    <row r="23">
      <c r="A23">
        <f t="shared" si="4"/>
        <v>0.35</v>
      </c>
      <c r="B23">
        <f t="shared" si="1"/>
        <v>6.597344573</v>
      </c>
      <c r="C23">
        <f t="shared" si="2"/>
        <v>118694.0698</v>
      </c>
      <c r="D23">
        <f t="shared" si="3"/>
        <v>164225.7771</v>
      </c>
    </row>
    <row r="24">
      <c r="A24">
        <f t="shared" si="4"/>
        <v>0.4</v>
      </c>
      <c r="B24">
        <f t="shared" si="1"/>
        <v>7.53982237</v>
      </c>
      <c r="C24">
        <f t="shared" si="2"/>
        <v>120271.3143</v>
      </c>
      <c r="D24">
        <f t="shared" si="3"/>
        <v>163593.7328</v>
      </c>
    </row>
    <row r="25">
      <c r="A25">
        <f t="shared" si="4"/>
        <v>0.45</v>
      </c>
      <c r="B25">
        <f t="shared" si="1"/>
        <v>8.482300166</v>
      </c>
      <c r="C25">
        <f t="shared" si="2"/>
        <v>122032.9032</v>
      </c>
      <c r="D25">
        <f t="shared" si="3"/>
        <v>162927.7567</v>
      </c>
    </row>
    <row r="26">
      <c r="A26">
        <f t="shared" si="4"/>
        <v>0.5</v>
      </c>
      <c r="B26">
        <f t="shared" si="1"/>
        <v>9.424777962</v>
      </c>
      <c r="C26">
        <f t="shared" si="2"/>
        <v>123978.8365</v>
      </c>
      <c r="D26">
        <f t="shared" si="3"/>
        <v>162227.849</v>
      </c>
    </row>
    <row r="27">
      <c r="A27">
        <f t="shared" si="4"/>
        <v>0.55</v>
      </c>
      <c r="B27">
        <f t="shared" si="1"/>
        <v>10.36725576</v>
      </c>
      <c r="C27">
        <f t="shared" si="2"/>
        <v>126109.1141</v>
      </c>
      <c r="D27">
        <f t="shared" si="3"/>
        <v>161494.0095</v>
      </c>
    </row>
    <row r="28">
      <c r="A28">
        <f t="shared" si="4"/>
        <v>0.6</v>
      </c>
      <c r="B28">
        <f t="shared" si="1"/>
        <v>11.30973355</v>
      </c>
      <c r="C28">
        <f t="shared" si="2"/>
        <v>128423.7361</v>
      </c>
      <c r="D28">
        <f t="shared" si="3"/>
        <v>160726.2383</v>
      </c>
    </row>
    <row r="29">
      <c r="A29">
        <f t="shared" si="4"/>
        <v>0.65</v>
      </c>
      <c r="B29">
        <f t="shared" si="1"/>
        <v>12.25221135</v>
      </c>
      <c r="C29">
        <f t="shared" si="2"/>
        <v>130922.7025</v>
      </c>
      <c r="D29">
        <f t="shared" si="3"/>
        <v>159924.5355</v>
      </c>
    </row>
    <row r="30">
      <c r="A30">
        <f t="shared" si="4"/>
        <v>0.7</v>
      </c>
      <c r="B30">
        <f t="shared" si="1"/>
        <v>13.19468915</v>
      </c>
      <c r="C30">
        <f t="shared" si="2"/>
        <v>133606.0132</v>
      </c>
      <c r="D30">
        <f t="shared" si="3"/>
        <v>159088.9009</v>
      </c>
    </row>
    <row r="31">
      <c r="A31">
        <f t="shared" si="4"/>
        <v>0.75</v>
      </c>
      <c r="B31">
        <f t="shared" si="1"/>
        <v>14.13716694</v>
      </c>
      <c r="C31">
        <f t="shared" si="2"/>
        <v>136473.6682</v>
      </c>
      <c r="D31">
        <f t="shared" si="3"/>
        <v>158219.3347</v>
      </c>
    </row>
    <row r="32">
      <c r="A32">
        <f t="shared" si="4"/>
        <v>0.8</v>
      </c>
      <c r="B32">
        <f t="shared" si="1"/>
        <v>15.07964474</v>
      </c>
      <c r="C32">
        <f t="shared" si="2"/>
        <v>139525.6677</v>
      </c>
      <c r="D32">
        <f t="shared" si="3"/>
        <v>157315.8367</v>
      </c>
    </row>
    <row r="33">
      <c r="A33">
        <f t="shared" si="4"/>
        <v>0.85</v>
      </c>
      <c r="B33">
        <f t="shared" si="1"/>
        <v>16.02212254</v>
      </c>
      <c r="C33">
        <f t="shared" si="2"/>
        <v>142762.0114</v>
      </c>
      <c r="D33">
        <f t="shared" si="3"/>
        <v>156378.4071</v>
      </c>
    </row>
    <row r="34">
      <c r="A34">
        <f t="shared" si="4"/>
        <v>0.9</v>
      </c>
      <c r="B34">
        <f t="shared" si="1"/>
        <v>16.96460033</v>
      </c>
      <c r="C34">
        <f t="shared" si="2"/>
        <v>146182.6996</v>
      </c>
      <c r="D34">
        <f t="shared" si="3"/>
        <v>155407.0457</v>
      </c>
    </row>
    <row r="35">
      <c r="A35">
        <f t="shared" si="4"/>
        <v>0.95</v>
      </c>
      <c r="B35">
        <f t="shared" si="1"/>
        <v>17.90707813</v>
      </c>
      <c r="C35">
        <f t="shared" si="2"/>
        <v>149787.7321</v>
      </c>
      <c r="D35">
        <f t="shared" si="3"/>
        <v>154401.7527</v>
      </c>
    </row>
    <row r="36">
      <c r="A36">
        <f t="shared" si="4"/>
        <v>1</v>
      </c>
      <c r="B36">
        <f t="shared" si="1"/>
        <v>18.84955592</v>
      </c>
      <c r="C36">
        <f t="shared" si="2"/>
        <v>153577.109</v>
      </c>
      <c r="D36">
        <f t="shared" si="3"/>
        <v>153362.5279</v>
      </c>
      <c r="I36" s="121"/>
      <c r="J36" s="122"/>
      <c r="K36" s="37"/>
      <c r="L36" s="37"/>
      <c r="M36" s="37"/>
      <c r="N36" s="37"/>
    </row>
    <row r="37">
      <c r="A37">
        <f t="shared" si="4"/>
        <v>1.05</v>
      </c>
      <c r="B37">
        <f t="shared" si="1"/>
        <v>19.79203372</v>
      </c>
      <c r="C37">
        <f t="shared" si="2"/>
        <v>157550.8302</v>
      </c>
      <c r="D37">
        <f t="shared" si="3"/>
        <v>152289.3715</v>
      </c>
    </row>
    <row r="38">
      <c r="A38">
        <f t="shared" si="4"/>
        <v>1.1</v>
      </c>
      <c r="B38">
        <f t="shared" si="1"/>
        <v>20.73451152</v>
      </c>
      <c r="C38">
        <f t="shared" si="2"/>
        <v>161708.8958</v>
      </c>
      <c r="D38">
        <f t="shared" si="3"/>
        <v>151182.2833</v>
      </c>
    </row>
    <row r="39">
      <c r="A39">
        <f t="shared" si="4"/>
        <v>1.15</v>
      </c>
      <c r="B39">
        <f t="shared" si="1"/>
        <v>21.67698931</v>
      </c>
      <c r="C39">
        <f t="shared" si="2"/>
        <v>166051.3057</v>
      </c>
      <c r="D39">
        <f t="shared" si="3"/>
        <v>150041.2634</v>
      </c>
    </row>
    <row r="40">
      <c r="A40">
        <f t="shared" si="4"/>
        <v>1.2</v>
      </c>
      <c r="B40">
        <f t="shared" si="1"/>
        <v>22.61946711</v>
      </c>
      <c r="C40">
        <f t="shared" si="2"/>
        <v>170578.06</v>
      </c>
      <c r="D40">
        <f t="shared" si="3"/>
        <v>148866.3119</v>
      </c>
    </row>
    <row r="41">
      <c r="A41">
        <f t="shared" si="4"/>
        <v>1.25</v>
      </c>
      <c r="B41">
        <f t="shared" si="1"/>
        <v>23.56194491</v>
      </c>
      <c r="C41">
        <f t="shared" si="2"/>
        <v>175289.1587</v>
      </c>
      <c r="D41">
        <f t="shared" si="3"/>
        <v>147657.4286</v>
      </c>
    </row>
    <row r="42">
      <c r="A42">
        <f t="shared" si="4"/>
        <v>1.3</v>
      </c>
      <c r="B42">
        <f t="shared" si="1"/>
        <v>24.5044227</v>
      </c>
      <c r="C42">
        <f t="shared" si="2"/>
        <v>180184.6017</v>
      </c>
      <c r="D42">
        <f t="shared" si="3"/>
        <v>146414.6137</v>
      </c>
    </row>
    <row r="43">
      <c r="A43">
        <f t="shared" si="4"/>
        <v>1.35</v>
      </c>
      <c r="B43">
        <f t="shared" si="1"/>
        <v>25.4469005</v>
      </c>
      <c r="C43">
        <f t="shared" si="2"/>
        <v>185264.3891</v>
      </c>
      <c r="D43">
        <f t="shared" si="3"/>
        <v>145137.867</v>
      </c>
    </row>
    <row r="44">
      <c r="A44">
        <f t="shared" si="4"/>
        <v>1.4</v>
      </c>
      <c r="B44">
        <f t="shared" si="1"/>
        <v>26.38937829</v>
      </c>
      <c r="C44">
        <f t="shared" si="2"/>
        <v>190528.5208</v>
      </c>
      <c r="D44">
        <f t="shared" si="3"/>
        <v>143827.1887</v>
      </c>
    </row>
    <row r="45">
      <c r="A45">
        <f t="shared" si="4"/>
        <v>1.45</v>
      </c>
      <c r="B45">
        <f t="shared" si="1"/>
        <v>27.33185609</v>
      </c>
      <c r="C45">
        <f t="shared" si="2"/>
        <v>195976.9969</v>
      </c>
      <c r="D45">
        <f t="shared" si="3"/>
        <v>142482.5786</v>
      </c>
    </row>
    <row r="46">
      <c r="A46">
        <f t="shared" si="4"/>
        <v>1.5</v>
      </c>
      <c r="B46">
        <f t="shared" si="1"/>
        <v>28.27433389</v>
      </c>
      <c r="C46">
        <f t="shared" si="2"/>
        <v>201609.8174</v>
      </c>
      <c r="D46">
        <f t="shared" si="3"/>
        <v>141104.0369</v>
      </c>
    </row>
    <row r="47">
      <c r="A47">
        <f t="shared" si="4"/>
        <v>1.55</v>
      </c>
      <c r="B47">
        <f t="shared" si="1"/>
        <v>29.21681168</v>
      </c>
      <c r="C47">
        <f t="shared" si="2"/>
        <v>207426.9822</v>
      </c>
      <c r="D47">
        <f t="shared" si="3"/>
        <v>139691.5634</v>
      </c>
    </row>
    <row r="48">
      <c r="A48">
        <f t="shared" si="4"/>
        <v>1.6</v>
      </c>
      <c r="B48">
        <f t="shared" si="1"/>
        <v>30.15928948</v>
      </c>
      <c r="C48">
        <f t="shared" si="2"/>
        <v>213428.4914</v>
      </c>
      <c r="D48">
        <f t="shared" si="3"/>
        <v>138245.1583</v>
      </c>
    </row>
    <row r="49">
      <c r="A49">
        <f t="shared" si="4"/>
        <v>1.65</v>
      </c>
      <c r="B49">
        <f t="shared" si="1"/>
        <v>31.10176727</v>
      </c>
      <c r="C49">
        <f t="shared" si="2"/>
        <v>219614.345</v>
      </c>
      <c r="D49">
        <f t="shared" si="3"/>
        <v>136764.8214</v>
      </c>
    </row>
    <row r="50">
      <c r="A50">
        <f t="shared" si="4"/>
        <v>1.7</v>
      </c>
      <c r="B50">
        <f t="shared" si="1"/>
        <v>32.04424507</v>
      </c>
      <c r="C50">
        <f t="shared" si="2"/>
        <v>225984.5429</v>
      </c>
      <c r="D50">
        <f t="shared" si="3"/>
        <v>135250.5529</v>
      </c>
    </row>
    <row r="51">
      <c r="A51">
        <f t="shared" si="4"/>
        <v>1.75</v>
      </c>
      <c r="B51">
        <f t="shared" si="1"/>
        <v>32.98672287</v>
      </c>
      <c r="C51">
        <f t="shared" si="2"/>
        <v>232539.0851</v>
      </c>
      <c r="D51">
        <f t="shared" si="3"/>
        <v>133702.3526</v>
      </c>
    </row>
    <row r="52">
      <c r="A52">
        <f t="shared" si="4"/>
        <v>1.8</v>
      </c>
      <c r="B52">
        <f t="shared" si="1"/>
        <v>33.92920066</v>
      </c>
      <c r="C52">
        <f t="shared" si="2"/>
        <v>239277.9718</v>
      </c>
      <c r="D52">
        <f t="shared" si="3"/>
        <v>132120.2207</v>
      </c>
    </row>
    <row r="53">
      <c r="A53">
        <f t="shared" si="4"/>
        <v>1.85</v>
      </c>
      <c r="B53">
        <f t="shared" si="1"/>
        <v>34.87167846</v>
      </c>
      <c r="C53">
        <f t="shared" si="2"/>
        <v>246201.2027</v>
      </c>
      <c r="D53">
        <f t="shared" si="3"/>
        <v>130504.157</v>
      </c>
    </row>
    <row r="54">
      <c r="A54">
        <f t="shared" si="4"/>
        <v>1.9</v>
      </c>
      <c r="B54">
        <f t="shared" si="1"/>
        <v>35.81415626</v>
      </c>
      <c r="C54">
        <f t="shared" si="2"/>
        <v>253308.7781</v>
      </c>
      <c r="D54">
        <f t="shared" si="3"/>
        <v>128854.1616</v>
      </c>
    </row>
    <row r="55">
      <c r="A55">
        <f t="shared" si="4"/>
        <v>1.95</v>
      </c>
      <c r="B55">
        <f t="shared" si="1"/>
        <v>36.75663405</v>
      </c>
      <c r="C55">
        <f t="shared" si="2"/>
        <v>260600.6978</v>
      </c>
      <c r="D55">
        <f t="shared" si="3"/>
        <v>127170.2346</v>
      </c>
    </row>
    <row r="56">
      <c r="A56">
        <f t="shared" si="4"/>
        <v>2</v>
      </c>
      <c r="B56">
        <f t="shared" si="1"/>
        <v>37.69911185</v>
      </c>
      <c r="C56">
        <f t="shared" si="2"/>
        <v>268076.9618</v>
      </c>
      <c r="D56">
        <f t="shared" si="3"/>
        <v>125452.3758</v>
      </c>
    </row>
    <row r="57">
      <c r="A57">
        <f t="shared" si="4"/>
        <v>2.05</v>
      </c>
      <c r="B57">
        <f t="shared" si="1"/>
        <v>38.64158964</v>
      </c>
      <c r="C57">
        <f t="shared" si="2"/>
        <v>275737.5703</v>
      </c>
      <c r="D57">
        <f t="shared" si="3"/>
        <v>123700.5854</v>
      </c>
    </row>
    <row r="58">
      <c r="A58">
        <f t="shared" si="4"/>
        <v>2.1</v>
      </c>
      <c r="B58">
        <f t="shared" si="1"/>
        <v>39.58406744</v>
      </c>
      <c r="C58">
        <f t="shared" si="2"/>
        <v>283582.523</v>
      </c>
      <c r="D58">
        <f t="shared" si="3"/>
        <v>121914.8632</v>
      </c>
    </row>
    <row r="59">
      <c r="A59">
        <f t="shared" si="4"/>
        <v>2.15</v>
      </c>
      <c r="B59">
        <f t="shared" si="1"/>
        <v>40.52654524</v>
      </c>
      <c r="C59">
        <f t="shared" si="2"/>
        <v>291611.8202</v>
      </c>
      <c r="D59">
        <f t="shared" si="3"/>
        <v>120095.2094</v>
      </c>
    </row>
    <row r="60">
      <c r="A60">
        <f t="shared" si="4"/>
        <v>2.2</v>
      </c>
      <c r="B60">
        <f t="shared" si="1"/>
        <v>41.46902303</v>
      </c>
      <c r="C60">
        <f t="shared" si="2"/>
        <v>299825.4617</v>
      </c>
      <c r="D60">
        <f t="shared" si="3"/>
        <v>118241.6238</v>
      </c>
    </row>
    <row r="61">
      <c r="A61">
        <f t="shared" si="4"/>
        <v>2.25</v>
      </c>
      <c r="B61">
        <f t="shared" si="1"/>
        <v>42.41150083</v>
      </c>
      <c r="C61">
        <f t="shared" si="2"/>
        <v>308223.4475</v>
      </c>
      <c r="D61">
        <f t="shared" si="3"/>
        <v>116354.1066</v>
      </c>
    </row>
    <row r="62">
      <c r="A62">
        <f t="shared" si="4"/>
        <v>2.3</v>
      </c>
      <c r="B62">
        <f t="shared" si="1"/>
        <v>43.35397863</v>
      </c>
      <c r="C62">
        <f t="shared" si="2"/>
        <v>316805.7778</v>
      </c>
      <c r="D62">
        <f t="shared" si="3"/>
        <v>114432.6576</v>
      </c>
    </row>
    <row r="63">
      <c r="A63">
        <f t="shared" si="4"/>
        <v>2.35</v>
      </c>
      <c r="B63">
        <f t="shared" si="1"/>
        <v>44.29645642</v>
      </c>
      <c r="C63">
        <f t="shared" si="2"/>
        <v>325572.4523</v>
      </c>
      <c r="D63">
        <f t="shared" si="3"/>
        <v>112477.277</v>
      </c>
    </row>
    <row r="64">
      <c r="A64">
        <f t="shared" si="4"/>
        <v>2.4</v>
      </c>
      <c r="B64">
        <f t="shared" si="1"/>
        <v>45.23893422</v>
      </c>
      <c r="C64">
        <f t="shared" si="2"/>
        <v>334523.4713</v>
      </c>
      <c r="D64">
        <f t="shared" si="3"/>
        <v>110487.9646</v>
      </c>
    </row>
    <row r="65">
      <c r="A65">
        <f t="shared" si="4"/>
        <v>2.45</v>
      </c>
      <c r="B65">
        <f t="shared" si="1"/>
        <v>46.18141201</v>
      </c>
      <c r="C65">
        <f t="shared" si="2"/>
        <v>343658.8346</v>
      </c>
      <c r="D65">
        <f t="shared" si="3"/>
        <v>108464.7206</v>
      </c>
    </row>
    <row r="66">
      <c r="A66">
        <f t="shared" si="4"/>
        <v>2.5</v>
      </c>
      <c r="B66">
        <f t="shared" si="1"/>
        <v>47.12388981</v>
      </c>
      <c r="C66">
        <f t="shared" si="2"/>
        <v>352978.5422</v>
      </c>
      <c r="D66">
        <f t="shared" si="3"/>
        <v>106407.5448</v>
      </c>
    </row>
    <row r="67">
      <c r="A67">
        <f t="shared" si="4"/>
        <v>2.55</v>
      </c>
      <c r="B67">
        <f t="shared" si="1"/>
        <v>48.06636761</v>
      </c>
      <c r="C67">
        <f t="shared" si="2"/>
        <v>362482.5943</v>
      </c>
      <c r="D67">
        <f t="shared" si="3"/>
        <v>104316.4374</v>
      </c>
    </row>
    <row r="68">
      <c r="A68">
        <f t="shared" si="4"/>
        <v>2.6</v>
      </c>
      <c r="B68">
        <f t="shared" si="1"/>
        <v>49.0088454</v>
      </c>
      <c r="C68">
        <f t="shared" si="2"/>
        <v>372170.9906</v>
      </c>
      <c r="D68">
        <f t="shared" si="3"/>
        <v>102191.3982</v>
      </c>
    </row>
    <row r="69">
      <c r="A69">
        <f t="shared" si="4"/>
        <v>2.65</v>
      </c>
      <c r="B69">
        <f t="shared" si="1"/>
        <v>49.9513232</v>
      </c>
      <c r="C69">
        <f t="shared" si="2"/>
        <v>382043.7314</v>
      </c>
      <c r="D69">
        <f t="shared" si="3"/>
        <v>100032.4274</v>
      </c>
    </row>
    <row r="70">
      <c r="A70">
        <f t="shared" si="4"/>
        <v>2.7</v>
      </c>
      <c r="B70">
        <f t="shared" si="1"/>
        <v>50.89380099</v>
      </c>
      <c r="C70">
        <f t="shared" si="2"/>
        <v>392100.8165</v>
      </c>
      <c r="D70">
        <f t="shared" si="3"/>
        <v>97839.52481</v>
      </c>
    </row>
    <row r="71">
      <c r="A71">
        <f t="shared" si="4"/>
        <v>2.75</v>
      </c>
      <c r="B71">
        <f t="shared" si="1"/>
        <v>51.83627879</v>
      </c>
      <c r="C71">
        <f t="shared" si="2"/>
        <v>402342.2459</v>
      </c>
      <c r="D71">
        <f t="shared" si="3"/>
        <v>95612.69056</v>
      </c>
    </row>
    <row r="72">
      <c r="A72">
        <f t="shared" si="4"/>
        <v>2.8</v>
      </c>
      <c r="B72">
        <f t="shared" si="1"/>
        <v>52.77875659</v>
      </c>
      <c r="C72">
        <f t="shared" si="2"/>
        <v>412768.0198</v>
      </c>
      <c r="D72">
        <f t="shared" si="3"/>
        <v>93351.92461</v>
      </c>
    </row>
    <row r="73">
      <c r="A73">
        <f t="shared" si="4"/>
        <v>2.85</v>
      </c>
      <c r="B73">
        <f t="shared" si="1"/>
        <v>53.72123438</v>
      </c>
      <c r="C73">
        <f t="shared" si="2"/>
        <v>423378.1379</v>
      </c>
      <c r="D73">
        <f t="shared" si="3"/>
        <v>91057.22695</v>
      </c>
    </row>
    <row r="74">
      <c r="A74">
        <f t="shared" si="4"/>
        <v>2.9</v>
      </c>
      <c r="B74">
        <f t="shared" si="1"/>
        <v>54.66371218</v>
      </c>
      <c r="C74">
        <f t="shared" si="2"/>
        <v>434172.6005</v>
      </c>
      <c r="D74">
        <f t="shared" si="3"/>
        <v>88728.5976</v>
      </c>
    </row>
    <row r="75">
      <c r="A75">
        <f t="shared" si="4"/>
        <v>2.95</v>
      </c>
      <c r="B75">
        <f t="shared" si="1"/>
        <v>55.60618998</v>
      </c>
      <c r="C75">
        <f t="shared" si="2"/>
        <v>445151.4074</v>
      </c>
      <c r="D75">
        <f t="shared" si="3"/>
        <v>86366.03655</v>
      </c>
    </row>
    <row r="76">
      <c r="A76">
        <f t="shared" si="4"/>
        <v>3</v>
      </c>
      <c r="B76">
        <f t="shared" si="1"/>
        <v>56.54866777</v>
      </c>
      <c r="C76">
        <f t="shared" si="2"/>
        <v>456314.5586</v>
      </c>
      <c r="D76">
        <f t="shared" si="3"/>
        <v>83969.5438</v>
      </c>
    </row>
  </sheetData>
  <mergeCells count="4">
    <mergeCell ref="E15:F15"/>
    <mergeCell ref="E1:F1"/>
    <mergeCell ref="H1:I1"/>
    <mergeCell ref="K1:L1"/>
  </mergeCells>
  <printOptions/>
  <pageMargins bottom="0.75" footer="0.0" header="0.0" left="0.7" right="0.7" top="0.75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23.86"/>
    <col customWidth="1" min="2" max="2" width="10.71"/>
    <col customWidth="1" min="3" max="3" width="16.57"/>
    <col customWidth="1" min="4" max="26" width="8.71"/>
  </cols>
  <sheetData>
    <row r="1">
      <c r="A1" s="51" t="s">
        <v>99</v>
      </c>
      <c r="B1" s="51" t="s">
        <v>63</v>
      </c>
      <c r="C1" s="51" t="s">
        <v>865</v>
      </c>
    </row>
    <row r="2">
      <c r="A2" t="s">
        <v>890</v>
      </c>
      <c r="B2" s="109">
        <f>'Design Specifications'!E15+'Design Specifications'!C17</f>
        <v>10</v>
      </c>
      <c r="C2" t="s">
        <v>891</v>
      </c>
      <c r="G2" s="15"/>
    </row>
    <row r="3">
      <c r="A3" t="s">
        <v>895</v>
      </c>
      <c r="B3" s="109">
        <f>SQRT(B2^2+'Design Specifications'!C14^2+'Design Specifications'!C15^2)</f>
        <v>27.38612788</v>
      </c>
      <c r="C3" t="s">
        <v>891</v>
      </c>
    </row>
    <row r="4">
      <c r="A4" t="s">
        <v>899</v>
      </c>
      <c r="B4">
        <v>0.02</v>
      </c>
      <c r="C4" t="s">
        <v>891</v>
      </c>
    </row>
    <row r="5">
      <c r="A5" t="s">
        <v>902</v>
      </c>
      <c r="B5">
        <v>3.141592654E-4</v>
      </c>
      <c r="C5" t="s">
        <v>101</v>
      </c>
    </row>
    <row r="6">
      <c r="A6" t="s">
        <v>905</v>
      </c>
      <c r="B6">
        <v>0.05</v>
      </c>
    </row>
    <row r="7">
      <c r="A7" t="s">
        <v>907</v>
      </c>
      <c r="B7">
        <v>10.0</v>
      </c>
    </row>
    <row r="8">
      <c r="A8" t="s">
        <v>868</v>
      </c>
      <c r="B8" s="109">
        <f>IF('Design Specifications'!C22="y",Filters!B2,0)</f>
        <v>0</v>
      </c>
    </row>
    <row r="9">
      <c r="A9" t="s">
        <v>912</v>
      </c>
      <c r="B9">
        <v>1000.0</v>
      </c>
      <c r="C9" t="s">
        <v>913</v>
      </c>
    </row>
    <row r="10">
      <c r="A10" t="s">
        <v>914</v>
      </c>
      <c r="B10">
        <v>9.81</v>
      </c>
      <c r="C10" t="s">
        <v>915</v>
      </c>
    </row>
    <row r="11">
      <c r="A11" s="37" t="s">
        <v>916</v>
      </c>
      <c r="B11">
        <f>$B$9*$B$10*$B$2</f>
        <v>98100</v>
      </c>
      <c r="C11" t="s">
        <v>917</v>
      </c>
    </row>
    <row r="12">
      <c r="A12" s="37" t="s">
        <v>925</v>
      </c>
      <c r="B12">
        <f>E21</f>
        <v>29.80655271</v>
      </c>
      <c r="C12" t="s">
        <v>93</v>
      </c>
    </row>
    <row r="13">
      <c r="A13" s="37"/>
    </row>
    <row r="15">
      <c r="A15" s="119" t="s">
        <v>918</v>
      </c>
      <c r="B15" s="119" t="s">
        <v>919</v>
      </c>
      <c r="C15" s="119" t="s">
        <v>926</v>
      </c>
      <c r="D15" s="101" t="s">
        <v>927</v>
      </c>
      <c r="E15" s="103"/>
    </row>
    <row r="16">
      <c r="A16">
        <v>0.0</v>
      </c>
      <c r="B16">
        <f t="shared" ref="B16:B76" si="1">(A16*$B$5)*60000</f>
        <v>0</v>
      </c>
      <c r="C16">
        <f t="shared" ref="C16:C76" si="2">($B$6*($B$3/$B$4)*($B$9*(A16^2))/2)+($B$7*($B$9*(A16^2)/2))+(A16*$B$8)</f>
        <v>0</v>
      </c>
      <c r="E16" s="37" t="s">
        <v>916</v>
      </c>
      <c r="F16">
        <f>$B$9*$B$10*$B$2</f>
        <v>98100</v>
      </c>
    </row>
    <row r="17">
      <c r="A17">
        <f t="shared" ref="A17:A76" si="4">A16+0.05</f>
        <v>0.05</v>
      </c>
      <c r="B17">
        <f t="shared" si="1"/>
        <v>0.9424777962</v>
      </c>
      <c r="C17">
        <f t="shared" si="2"/>
        <v>98.08164961</v>
      </c>
      <c r="D17">
        <v>0.0</v>
      </c>
      <c r="E17">
        <f t="shared" ref="E17:F17" si="3">$B$9*$B$10*$B$2</f>
        <v>98100</v>
      </c>
      <c r="F17">
        <f t="shared" si="3"/>
        <v>98100</v>
      </c>
    </row>
    <row r="18">
      <c r="A18">
        <f t="shared" si="4"/>
        <v>0.1</v>
      </c>
      <c r="B18">
        <f t="shared" si="1"/>
        <v>1.884955592</v>
      </c>
      <c r="C18">
        <f t="shared" si="2"/>
        <v>392.3265984</v>
      </c>
      <c r="D18">
        <f>B76</f>
        <v>56.54866777</v>
      </c>
      <c r="E18">
        <f t="shared" ref="E18:F18" si="5">$B$9*$B$10*$B$2</f>
        <v>98100</v>
      </c>
      <c r="F18">
        <f t="shared" si="5"/>
        <v>98100</v>
      </c>
    </row>
    <row r="19">
      <c r="A19">
        <f t="shared" si="4"/>
        <v>0.15</v>
      </c>
      <c r="B19">
        <f t="shared" si="1"/>
        <v>2.827433389</v>
      </c>
      <c r="C19">
        <f t="shared" si="2"/>
        <v>882.7348465</v>
      </c>
      <c r="D19" s="101" t="s">
        <v>928</v>
      </c>
      <c r="E19" s="103"/>
      <c r="F19">
        <f t="shared" ref="F19:F76" si="6">$B$9*$B$10*$B$2</f>
        <v>98100</v>
      </c>
    </row>
    <row r="20">
      <c r="A20">
        <f t="shared" si="4"/>
        <v>0.2</v>
      </c>
      <c r="B20">
        <f t="shared" si="1"/>
        <v>3.769911185</v>
      </c>
      <c r="C20">
        <f t="shared" si="2"/>
        <v>1569.306394</v>
      </c>
      <c r="D20" t="s">
        <v>922</v>
      </c>
      <c r="E20" s="37">
        <f>(SQRT($B$4*($B$4*$B$8^2+2*$B$2*$B$10*$B$9^2*($B$4*$B$7+$B$6*$B$3)))-$B$4*$B$8)/($B$9*($B$4*$B$7+$B$6*$B$3))</f>
        <v>1.581286733</v>
      </c>
      <c r="F20">
        <f t="shared" si="6"/>
        <v>98100</v>
      </c>
    </row>
    <row r="21">
      <c r="A21">
        <f t="shared" si="4"/>
        <v>0.25</v>
      </c>
      <c r="B21">
        <f t="shared" si="1"/>
        <v>4.712388981</v>
      </c>
      <c r="C21">
        <f t="shared" si="2"/>
        <v>2452.04124</v>
      </c>
      <c r="D21" t="s">
        <v>925</v>
      </c>
      <c r="E21">
        <f>$E$20*$B$5*60000</f>
        <v>29.80655271</v>
      </c>
      <c r="F21">
        <f t="shared" si="6"/>
        <v>98100</v>
      </c>
    </row>
    <row r="22">
      <c r="A22">
        <f t="shared" si="4"/>
        <v>0.3</v>
      </c>
      <c r="B22">
        <f t="shared" si="1"/>
        <v>5.654866777</v>
      </c>
      <c r="C22">
        <f t="shared" si="2"/>
        <v>3530.939386</v>
      </c>
      <c r="F22">
        <f t="shared" si="6"/>
        <v>98100</v>
      </c>
    </row>
    <row r="23">
      <c r="A23">
        <f t="shared" si="4"/>
        <v>0.35</v>
      </c>
      <c r="B23">
        <f t="shared" si="1"/>
        <v>6.597344573</v>
      </c>
      <c r="C23">
        <f t="shared" si="2"/>
        <v>4806.000831</v>
      </c>
      <c r="F23">
        <f t="shared" si="6"/>
        <v>98100</v>
      </c>
    </row>
    <row r="24">
      <c r="A24">
        <f t="shared" si="4"/>
        <v>0.4</v>
      </c>
      <c r="B24">
        <f t="shared" si="1"/>
        <v>7.53982237</v>
      </c>
      <c r="C24">
        <f t="shared" si="2"/>
        <v>6277.225575</v>
      </c>
      <c r="F24">
        <f t="shared" si="6"/>
        <v>98100</v>
      </c>
    </row>
    <row r="25">
      <c r="A25">
        <f t="shared" si="4"/>
        <v>0.45</v>
      </c>
      <c r="B25">
        <f t="shared" si="1"/>
        <v>8.482300166</v>
      </c>
      <c r="C25">
        <f t="shared" si="2"/>
        <v>7944.613618</v>
      </c>
      <c r="F25">
        <f t="shared" si="6"/>
        <v>98100</v>
      </c>
    </row>
    <row r="26">
      <c r="A26">
        <f t="shared" si="4"/>
        <v>0.5</v>
      </c>
      <c r="B26">
        <f t="shared" si="1"/>
        <v>9.424777962</v>
      </c>
      <c r="C26">
        <f t="shared" si="2"/>
        <v>9808.164961</v>
      </c>
      <c r="F26">
        <f t="shared" si="6"/>
        <v>98100</v>
      </c>
    </row>
    <row r="27">
      <c r="A27">
        <f t="shared" si="4"/>
        <v>0.55</v>
      </c>
      <c r="B27">
        <f t="shared" si="1"/>
        <v>10.36725576</v>
      </c>
      <c r="C27">
        <f t="shared" si="2"/>
        <v>11867.8796</v>
      </c>
      <c r="F27">
        <f t="shared" si="6"/>
        <v>98100</v>
      </c>
    </row>
    <row r="28">
      <c r="A28">
        <f t="shared" si="4"/>
        <v>0.6</v>
      </c>
      <c r="B28">
        <f t="shared" si="1"/>
        <v>11.30973355</v>
      </c>
      <c r="C28">
        <f t="shared" si="2"/>
        <v>14123.75754</v>
      </c>
      <c r="F28">
        <f t="shared" si="6"/>
        <v>98100</v>
      </c>
    </row>
    <row r="29">
      <c r="A29">
        <f t="shared" si="4"/>
        <v>0.65</v>
      </c>
      <c r="B29">
        <f t="shared" si="1"/>
        <v>12.25221135</v>
      </c>
      <c r="C29">
        <f t="shared" si="2"/>
        <v>16575.79878</v>
      </c>
      <c r="F29">
        <f t="shared" si="6"/>
        <v>98100</v>
      </c>
    </row>
    <row r="30">
      <c r="A30">
        <f t="shared" si="4"/>
        <v>0.7</v>
      </c>
      <c r="B30">
        <f t="shared" si="1"/>
        <v>13.19468915</v>
      </c>
      <c r="C30">
        <f t="shared" si="2"/>
        <v>19224.00332</v>
      </c>
      <c r="F30">
        <f t="shared" si="6"/>
        <v>98100</v>
      </c>
    </row>
    <row r="31">
      <c r="A31">
        <f t="shared" si="4"/>
        <v>0.75</v>
      </c>
      <c r="B31">
        <f t="shared" si="1"/>
        <v>14.13716694</v>
      </c>
      <c r="C31">
        <f t="shared" si="2"/>
        <v>22068.37116</v>
      </c>
      <c r="F31">
        <f t="shared" si="6"/>
        <v>98100</v>
      </c>
    </row>
    <row r="32">
      <c r="A32">
        <f t="shared" si="4"/>
        <v>0.8</v>
      </c>
      <c r="B32">
        <f t="shared" si="1"/>
        <v>15.07964474</v>
      </c>
      <c r="C32">
        <f t="shared" si="2"/>
        <v>25108.9023</v>
      </c>
      <c r="F32">
        <f t="shared" si="6"/>
        <v>98100</v>
      </c>
    </row>
    <row r="33">
      <c r="A33">
        <f t="shared" si="4"/>
        <v>0.85</v>
      </c>
      <c r="B33">
        <f t="shared" si="1"/>
        <v>16.02212254</v>
      </c>
      <c r="C33">
        <f t="shared" si="2"/>
        <v>28345.59674</v>
      </c>
      <c r="F33">
        <f t="shared" si="6"/>
        <v>98100</v>
      </c>
    </row>
    <row r="34">
      <c r="A34">
        <f t="shared" si="4"/>
        <v>0.9</v>
      </c>
      <c r="B34">
        <f t="shared" si="1"/>
        <v>16.96460033</v>
      </c>
      <c r="C34">
        <f t="shared" si="2"/>
        <v>31778.45447</v>
      </c>
      <c r="F34">
        <f t="shared" si="6"/>
        <v>98100</v>
      </c>
    </row>
    <row r="35">
      <c r="A35">
        <f t="shared" si="4"/>
        <v>0.95</v>
      </c>
      <c r="B35">
        <f t="shared" si="1"/>
        <v>17.90707813</v>
      </c>
      <c r="C35">
        <f t="shared" si="2"/>
        <v>35407.47551</v>
      </c>
      <c r="F35">
        <f t="shared" si="6"/>
        <v>98100</v>
      </c>
    </row>
    <row r="36">
      <c r="A36">
        <f t="shared" si="4"/>
        <v>1</v>
      </c>
      <c r="B36">
        <f t="shared" si="1"/>
        <v>18.84955592</v>
      </c>
      <c r="C36">
        <f t="shared" si="2"/>
        <v>39232.65984</v>
      </c>
      <c r="F36">
        <f t="shared" si="6"/>
        <v>98100</v>
      </c>
    </row>
    <row r="37">
      <c r="A37">
        <f t="shared" si="4"/>
        <v>1.05</v>
      </c>
      <c r="B37">
        <f t="shared" si="1"/>
        <v>19.79203372</v>
      </c>
      <c r="C37">
        <f t="shared" si="2"/>
        <v>43254.00748</v>
      </c>
      <c r="F37">
        <f t="shared" si="6"/>
        <v>98100</v>
      </c>
    </row>
    <row r="38">
      <c r="A38">
        <f t="shared" si="4"/>
        <v>1.1</v>
      </c>
      <c r="B38">
        <f t="shared" si="1"/>
        <v>20.73451152</v>
      </c>
      <c r="C38">
        <f t="shared" si="2"/>
        <v>47471.51841</v>
      </c>
      <c r="F38">
        <f t="shared" si="6"/>
        <v>98100</v>
      </c>
    </row>
    <row r="39">
      <c r="A39">
        <f t="shared" si="4"/>
        <v>1.15</v>
      </c>
      <c r="B39">
        <f t="shared" si="1"/>
        <v>21.67698931</v>
      </c>
      <c r="C39">
        <f t="shared" si="2"/>
        <v>51885.19264</v>
      </c>
      <c r="F39">
        <f t="shared" si="6"/>
        <v>98100</v>
      </c>
    </row>
    <row r="40">
      <c r="A40">
        <f t="shared" si="4"/>
        <v>1.2</v>
      </c>
      <c r="B40">
        <f t="shared" si="1"/>
        <v>22.61946711</v>
      </c>
      <c r="C40">
        <f t="shared" si="2"/>
        <v>56495.03018</v>
      </c>
      <c r="F40">
        <f t="shared" si="6"/>
        <v>98100</v>
      </c>
    </row>
    <row r="41">
      <c r="A41">
        <f t="shared" si="4"/>
        <v>1.25</v>
      </c>
      <c r="B41">
        <f t="shared" si="1"/>
        <v>23.56194491</v>
      </c>
      <c r="C41">
        <f t="shared" si="2"/>
        <v>61301.03101</v>
      </c>
      <c r="F41">
        <f t="shared" si="6"/>
        <v>98100</v>
      </c>
    </row>
    <row r="42">
      <c r="A42">
        <f t="shared" si="4"/>
        <v>1.3</v>
      </c>
      <c r="B42">
        <f t="shared" si="1"/>
        <v>24.5044227</v>
      </c>
      <c r="C42">
        <f t="shared" si="2"/>
        <v>66303.19514</v>
      </c>
      <c r="F42">
        <f t="shared" si="6"/>
        <v>98100</v>
      </c>
    </row>
    <row r="43">
      <c r="A43">
        <f t="shared" si="4"/>
        <v>1.35</v>
      </c>
      <c r="B43">
        <f t="shared" si="1"/>
        <v>25.4469005</v>
      </c>
      <c r="C43">
        <f t="shared" si="2"/>
        <v>71501.52257</v>
      </c>
      <c r="F43">
        <f t="shared" si="6"/>
        <v>98100</v>
      </c>
    </row>
    <row r="44">
      <c r="A44">
        <f t="shared" si="4"/>
        <v>1.4</v>
      </c>
      <c r="B44">
        <f t="shared" si="1"/>
        <v>26.38937829</v>
      </c>
      <c r="C44">
        <f t="shared" si="2"/>
        <v>76896.01329</v>
      </c>
      <c r="F44">
        <f t="shared" si="6"/>
        <v>98100</v>
      </c>
    </row>
    <row r="45">
      <c r="A45">
        <f t="shared" si="4"/>
        <v>1.45</v>
      </c>
      <c r="B45">
        <f t="shared" si="1"/>
        <v>27.33185609</v>
      </c>
      <c r="C45">
        <f t="shared" si="2"/>
        <v>82486.66732</v>
      </c>
      <c r="F45">
        <f t="shared" si="6"/>
        <v>98100</v>
      </c>
    </row>
    <row r="46">
      <c r="A46">
        <f t="shared" si="4"/>
        <v>1.5</v>
      </c>
      <c r="B46">
        <f t="shared" si="1"/>
        <v>28.27433389</v>
      </c>
      <c r="C46">
        <f t="shared" si="2"/>
        <v>88273.48465</v>
      </c>
      <c r="F46">
        <f t="shared" si="6"/>
        <v>98100</v>
      </c>
    </row>
    <row r="47">
      <c r="A47">
        <f t="shared" si="4"/>
        <v>1.55</v>
      </c>
      <c r="B47">
        <f t="shared" si="1"/>
        <v>29.21681168</v>
      </c>
      <c r="C47">
        <f t="shared" si="2"/>
        <v>94256.46528</v>
      </c>
      <c r="F47">
        <f t="shared" si="6"/>
        <v>98100</v>
      </c>
    </row>
    <row r="48">
      <c r="A48">
        <f t="shared" si="4"/>
        <v>1.6</v>
      </c>
      <c r="B48">
        <f t="shared" si="1"/>
        <v>30.15928948</v>
      </c>
      <c r="C48">
        <f t="shared" si="2"/>
        <v>100435.6092</v>
      </c>
      <c r="F48">
        <f t="shared" si="6"/>
        <v>98100</v>
      </c>
    </row>
    <row r="49">
      <c r="A49">
        <f t="shared" si="4"/>
        <v>1.65</v>
      </c>
      <c r="B49">
        <f t="shared" si="1"/>
        <v>31.10176727</v>
      </c>
      <c r="C49">
        <f t="shared" si="2"/>
        <v>106810.9164</v>
      </c>
      <c r="F49">
        <f t="shared" si="6"/>
        <v>98100</v>
      </c>
    </row>
    <row r="50">
      <c r="A50">
        <f t="shared" si="4"/>
        <v>1.7</v>
      </c>
      <c r="B50">
        <f t="shared" si="1"/>
        <v>32.04424507</v>
      </c>
      <c r="C50">
        <f t="shared" si="2"/>
        <v>113382.3869</v>
      </c>
      <c r="F50">
        <f t="shared" si="6"/>
        <v>98100</v>
      </c>
    </row>
    <row r="51">
      <c r="A51">
        <f t="shared" si="4"/>
        <v>1.75</v>
      </c>
      <c r="B51">
        <f t="shared" si="1"/>
        <v>32.98672287</v>
      </c>
      <c r="C51">
        <f t="shared" si="2"/>
        <v>120150.0208</v>
      </c>
      <c r="F51">
        <f t="shared" si="6"/>
        <v>98100</v>
      </c>
    </row>
    <row r="52">
      <c r="A52">
        <f t="shared" si="4"/>
        <v>1.8</v>
      </c>
      <c r="B52">
        <f t="shared" si="1"/>
        <v>33.92920066</v>
      </c>
      <c r="C52">
        <f t="shared" si="2"/>
        <v>127113.8179</v>
      </c>
      <c r="F52">
        <f t="shared" si="6"/>
        <v>98100</v>
      </c>
    </row>
    <row r="53">
      <c r="A53">
        <f t="shared" si="4"/>
        <v>1.85</v>
      </c>
      <c r="B53">
        <f t="shared" si="1"/>
        <v>34.87167846</v>
      </c>
      <c r="C53">
        <f t="shared" si="2"/>
        <v>134273.7783</v>
      </c>
      <c r="F53">
        <f t="shared" si="6"/>
        <v>98100</v>
      </c>
    </row>
    <row r="54">
      <c r="A54">
        <f t="shared" si="4"/>
        <v>1.9</v>
      </c>
      <c r="B54">
        <f t="shared" si="1"/>
        <v>35.81415626</v>
      </c>
      <c r="C54">
        <f t="shared" si="2"/>
        <v>141629.902</v>
      </c>
      <c r="F54">
        <f t="shared" si="6"/>
        <v>98100</v>
      </c>
    </row>
    <row r="55">
      <c r="A55">
        <f t="shared" si="4"/>
        <v>1.95</v>
      </c>
      <c r="B55">
        <f t="shared" si="1"/>
        <v>36.75663405</v>
      </c>
      <c r="C55">
        <f t="shared" si="2"/>
        <v>149182.1891</v>
      </c>
      <c r="F55">
        <f t="shared" si="6"/>
        <v>98100</v>
      </c>
    </row>
    <row r="56">
      <c r="A56">
        <f t="shared" si="4"/>
        <v>2</v>
      </c>
      <c r="B56">
        <f t="shared" si="1"/>
        <v>37.69911185</v>
      </c>
      <c r="C56">
        <f t="shared" si="2"/>
        <v>156930.6394</v>
      </c>
      <c r="F56">
        <f t="shared" si="6"/>
        <v>98100</v>
      </c>
    </row>
    <row r="57">
      <c r="A57">
        <f t="shared" si="4"/>
        <v>2.05</v>
      </c>
      <c r="B57">
        <f t="shared" si="1"/>
        <v>38.64158964</v>
      </c>
      <c r="C57">
        <f t="shared" si="2"/>
        <v>164875.253</v>
      </c>
      <c r="F57">
        <f t="shared" si="6"/>
        <v>98100</v>
      </c>
    </row>
    <row r="58">
      <c r="A58">
        <f t="shared" si="4"/>
        <v>2.1</v>
      </c>
      <c r="B58">
        <f t="shared" si="1"/>
        <v>39.58406744</v>
      </c>
      <c r="C58">
        <f t="shared" si="2"/>
        <v>173016.0299</v>
      </c>
      <c r="F58">
        <f t="shared" si="6"/>
        <v>98100</v>
      </c>
    </row>
    <row r="59">
      <c r="A59">
        <f t="shared" si="4"/>
        <v>2.15</v>
      </c>
      <c r="B59">
        <f t="shared" si="1"/>
        <v>40.52654524</v>
      </c>
      <c r="C59">
        <f t="shared" si="2"/>
        <v>181352.9701</v>
      </c>
      <c r="F59">
        <f t="shared" si="6"/>
        <v>98100</v>
      </c>
    </row>
    <row r="60">
      <c r="A60">
        <f t="shared" si="4"/>
        <v>2.2</v>
      </c>
      <c r="B60">
        <f t="shared" si="1"/>
        <v>41.46902303</v>
      </c>
      <c r="C60">
        <f t="shared" si="2"/>
        <v>189886.0736</v>
      </c>
      <c r="F60">
        <f t="shared" si="6"/>
        <v>98100</v>
      </c>
    </row>
    <row r="61">
      <c r="A61">
        <f t="shared" si="4"/>
        <v>2.25</v>
      </c>
      <c r="B61">
        <f t="shared" si="1"/>
        <v>42.41150083</v>
      </c>
      <c r="C61">
        <f t="shared" si="2"/>
        <v>198615.3405</v>
      </c>
      <c r="F61">
        <f t="shared" si="6"/>
        <v>98100</v>
      </c>
    </row>
    <row r="62">
      <c r="A62">
        <f t="shared" si="4"/>
        <v>2.3</v>
      </c>
      <c r="B62">
        <f t="shared" si="1"/>
        <v>43.35397863</v>
      </c>
      <c r="C62">
        <f t="shared" si="2"/>
        <v>207540.7706</v>
      </c>
      <c r="F62">
        <f t="shared" si="6"/>
        <v>98100</v>
      </c>
    </row>
    <row r="63">
      <c r="A63">
        <f t="shared" si="4"/>
        <v>2.35</v>
      </c>
      <c r="B63">
        <f t="shared" si="1"/>
        <v>44.29645642</v>
      </c>
      <c r="C63">
        <f t="shared" si="2"/>
        <v>216662.364</v>
      </c>
      <c r="F63">
        <f t="shared" si="6"/>
        <v>98100</v>
      </c>
    </row>
    <row r="64">
      <c r="A64">
        <f t="shared" si="4"/>
        <v>2.4</v>
      </c>
      <c r="B64">
        <f t="shared" si="1"/>
        <v>45.23893422</v>
      </c>
      <c r="C64">
        <f t="shared" si="2"/>
        <v>225980.1207</v>
      </c>
      <c r="F64">
        <f t="shared" si="6"/>
        <v>98100</v>
      </c>
    </row>
    <row r="65">
      <c r="A65">
        <f t="shared" si="4"/>
        <v>2.45</v>
      </c>
      <c r="B65">
        <f t="shared" si="1"/>
        <v>46.18141201</v>
      </c>
      <c r="C65">
        <f t="shared" si="2"/>
        <v>235494.0407</v>
      </c>
      <c r="F65">
        <f t="shared" si="6"/>
        <v>98100</v>
      </c>
    </row>
    <row r="66">
      <c r="A66">
        <f t="shared" si="4"/>
        <v>2.5</v>
      </c>
      <c r="B66">
        <f t="shared" si="1"/>
        <v>47.12388981</v>
      </c>
      <c r="C66">
        <f t="shared" si="2"/>
        <v>245204.124</v>
      </c>
      <c r="F66">
        <f t="shared" si="6"/>
        <v>98100</v>
      </c>
    </row>
    <row r="67">
      <c r="A67">
        <f t="shared" si="4"/>
        <v>2.55</v>
      </c>
      <c r="B67">
        <f t="shared" si="1"/>
        <v>48.06636761</v>
      </c>
      <c r="C67">
        <f t="shared" si="2"/>
        <v>255110.3706</v>
      </c>
      <c r="F67">
        <f t="shared" si="6"/>
        <v>98100</v>
      </c>
    </row>
    <row r="68">
      <c r="A68">
        <f t="shared" si="4"/>
        <v>2.6</v>
      </c>
      <c r="B68">
        <f t="shared" si="1"/>
        <v>49.0088454</v>
      </c>
      <c r="C68">
        <f t="shared" si="2"/>
        <v>265212.7805</v>
      </c>
      <c r="F68">
        <f t="shared" si="6"/>
        <v>98100</v>
      </c>
    </row>
    <row r="69">
      <c r="A69">
        <f t="shared" si="4"/>
        <v>2.65</v>
      </c>
      <c r="B69">
        <f t="shared" si="1"/>
        <v>49.9513232</v>
      </c>
      <c r="C69">
        <f t="shared" si="2"/>
        <v>275511.3538</v>
      </c>
      <c r="F69">
        <f t="shared" si="6"/>
        <v>98100</v>
      </c>
    </row>
    <row r="70">
      <c r="A70">
        <f t="shared" si="4"/>
        <v>2.7</v>
      </c>
      <c r="B70">
        <f t="shared" si="1"/>
        <v>50.89380099</v>
      </c>
      <c r="C70">
        <f t="shared" si="2"/>
        <v>286006.0903</v>
      </c>
      <c r="F70">
        <f t="shared" si="6"/>
        <v>98100</v>
      </c>
    </row>
    <row r="71">
      <c r="A71">
        <f t="shared" si="4"/>
        <v>2.75</v>
      </c>
      <c r="B71">
        <f t="shared" si="1"/>
        <v>51.83627879</v>
      </c>
      <c r="C71">
        <f t="shared" si="2"/>
        <v>296696.9901</v>
      </c>
      <c r="F71">
        <f t="shared" si="6"/>
        <v>98100</v>
      </c>
    </row>
    <row r="72">
      <c r="A72">
        <f t="shared" si="4"/>
        <v>2.8</v>
      </c>
      <c r="B72">
        <f t="shared" si="1"/>
        <v>52.77875659</v>
      </c>
      <c r="C72">
        <f t="shared" si="2"/>
        <v>307584.0532</v>
      </c>
      <c r="F72">
        <f t="shared" si="6"/>
        <v>98100</v>
      </c>
    </row>
    <row r="73">
      <c r="A73">
        <f t="shared" si="4"/>
        <v>2.85</v>
      </c>
      <c r="B73">
        <f t="shared" si="1"/>
        <v>53.72123438</v>
      </c>
      <c r="C73">
        <f t="shared" si="2"/>
        <v>318667.2796</v>
      </c>
      <c r="F73">
        <f t="shared" si="6"/>
        <v>98100</v>
      </c>
    </row>
    <row r="74">
      <c r="A74">
        <f t="shared" si="4"/>
        <v>2.9</v>
      </c>
      <c r="B74">
        <f t="shared" si="1"/>
        <v>54.66371218</v>
      </c>
      <c r="C74">
        <f t="shared" si="2"/>
        <v>329946.6693</v>
      </c>
      <c r="F74">
        <f t="shared" si="6"/>
        <v>98100</v>
      </c>
    </row>
    <row r="75">
      <c r="A75">
        <f t="shared" si="4"/>
        <v>2.95</v>
      </c>
      <c r="B75">
        <f t="shared" si="1"/>
        <v>55.60618998</v>
      </c>
      <c r="C75">
        <f t="shared" si="2"/>
        <v>341422.2223</v>
      </c>
      <c r="F75">
        <f t="shared" si="6"/>
        <v>98100</v>
      </c>
    </row>
    <row r="76">
      <c r="A76">
        <f t="shared" si="4"/>
        <v>3</v>
      </c>
      <c r="B76">
        <f t="shared" si="1"/>
        <v>56.54866777</v>
      </c>
      <c r="C76">
        <f t="shared" si="2"/>
        <v>353093.9386</v>
      </c>
      <c r="F76">
        <f t="shared" si="6"/>
        <v>98100</v>
      </c>
    </row>
  </sheetData>
  <mergeCells count="2">
    <mergeCell ref="D15:E15"/>
    <mergeCell ref="D19:E19"/>
  </mergeCells>
  <printOptions/>
  <pageMargins bottom="0.75" footer="0.0" header="0.0" left="0.7" right="0.7" top="0.75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22.0"/>
    <col customWidth="1" min="2" max="2" width="21.0"/>
    <col customWidth="1" min="3" max="3" width="13.86"/>
    <col customWidth="1" min="4" max="4" width="28.71"/>
    <col customWidth="1" min="5" max="5" width="16.29"/>
    <col customWidth="1" min="6" max="6" width="23.29"/>
    <col customWidth="1" min="7" max="7" width="26.0"/>
    <col customWidth="1" min="8" max="8" width="24.29"/>
    <col customWidth="1" min="9" max="9" width="35.86"/>
    <col customWidth="1" min="10" max="12" width="8.71"/>
    <col customWidth="1" min="13" max="13" width="13.71"/>
    <col customWidth="1" min="14" max="14" width="8.71"/>
    <col customWidth="1" min="15" max="15" width="14.57"/>
    <col customWidth="1" min="16" max="16" width="8.71"/>
    <col customWidth="1" min="17" max="17" width="13.43"/>
    <col customWidth="1" min="18" max="26" width="8.71"/>
  </cols>
  <sheetData>
    <row r="1">
      <c r="A1" s="51"/>
      <c r="B1" s="51" t="s">
        <v>63</v>
      </c>
      <c r="C1" s="51" t="s">
        <v>64</v>
      </c>
      <c r="E1" s="101" t="s">
        <v>929</v>
      </c>
      <c r="F1" s="102"/>
      <c r="G1" s="103"/>
      <c r="I1" s="101" t="s">
        <v>930</v>
      </c>
      <c r="J1" s="102"/>
      <c r="K1" s="103"/>
      <c r="M1" s="101" t="s">
        <v>931</v>
      </c>
      <c r="N1" s="102"/>
      <c r="O1" s="103"/>
      <c r="Q1" s="22" t="s">
        <v>932</v>
      </c>
    </row>
    <row r="2">
      <c r="A2" t="s">
        <v>933</v>
      </c>
      <c r="B2" t="str">
        <f>IF('Design Specifications'!C29="y","Chlorine","Ozone")</f>
        <v>Chlorine</v>
      </c>
      <c r="E2" t="s">
        <v>103</v>
      </c>
      <c r="F2">
        <f>IF($B$3=36,500,750)</f>
        <v>500</v>
      </c>
      <c r="G2" s="123" t="s">
        <v>118</v>
      </c>
      <c r="I2" t="s">
        <v>934</v>
      </c>
      <c r="J2">
        <f>SUM($D$13:$D$377)</f>
        <v>66861.6</v>
      </c>
      <c r="K2" t="s">
        <v>935</v>
      </c>
      <c r="M2" t="s">
        <v>936</v>
      </c>
      <c r="N2">
        <v>50.0</v>
      </c>
      <c r="O2" t="s">
        <v>937</v>
      </c>
      <c r="Q2" s="15" t="s">
        <v>103</v>
      </c>
      <c r="R2" s="15">
        <f>IF('Design Specifications'!C29="y",J6,N5)</f>
        <v>3100</v>
      </c>
    </row>
    <row r="3">
      <c r="A3" t="s">
        <v>938</v>
      </c>
      <c r="B3">
        <f>IF('Design Specifications'!C27="y",36,50)</f>
        <v>36</v>
      </c>
      <c r="C3" t="s">
        <v>939</v>
      </c>
      <c r="E3" t="s">
        <v>940</v>
      </c>
      <c r="F3">
        <f>IF($B$3=36,90,110)</f>
        <v>90</v>
      </c>
      <c r="G3" s="123" t="s">
        <v>118</v>
      </c>
      <c r="I3" s="15" t="s">
        <v>941</v>
      </c>
      <c r="J3">
        <f>SUM($F$13:$F$377)</f>
        <v>24</v>
      </c>
      <c r="M3" t="s">
        <v>942</v>
      </c>
      <c r="N3">
        <v>2.0</v>
      </c>
      <c r="O3" t="s">
        <v>943</v>
      </c>
      <c r="Q3" s="15" t="s">
        <v>944</v>
      </c>
      <c r="R3">
        <f>IF('Design Specifications'!C29="y",J3*5,N4*5)</f>
        <v>120</v>
      </c>
    </row>
    <row r="4">
      <c r="A4" t="s">
        <v>945</v>
      </c>
      <c r="B4">
        <v>10.0</v>
      </c>
      <c r="C4" t="s">
        <v>946</v>
      </c>
      <c r="E4" t="s">
        <v>947</v>
      </c>
      <c r="F4">
        <v>1.0</v>
      </c>
      <c r="G4" s="123" t="s">
        <v>948</v>
      </c>
      <c r="I4" t="s">
        <v>949</v>
      </c>
      <c r="J4">
        <f>J3*100</f>
        <v>2400</v>
      </c>
      <c r="K4" t="s">
        <v>118</v>
      </c>
      <c r="M4" t="s">
        <v>950</v>
      </c>
      <c r="N4">
        <v>1.0</v>
      </c>
      <c r="O4" t="s">
        <v>951</v>
      </c>
    </row>
    <row r="5">
      <c r="E5" t="s">
        <v>952</v>
      </c>
      <c r="F5">
        <f>IF($B$3=36,25,35)</f>
        <v>25</v>
      </c>
      <c r="G5" s="123" t="s">
        <v>953</v>
      </c>
      <c r="I5" t="s">
        <v>954</v>
      </c>
      <c r="J5">
        <v>700.0</v>
      </c>
      <c r="K5" t="s">
        <v>118</v>
      </c>
      <c r="M5" t="s">
        <v>954</v>
      </c>
      <c r="N5">
        <v>4000.0</v>
      </c>
      <c r="O5" t="s">
        <v>118</v>
      </c>
    </row>
    <row r="6">
      <c r="G6" s="123"/>
      <c r="I6" s="15" t="s">
        <v>955</v>
      </c>
      <c r="J6">
        <f>SUM(J4:J5)</f>
        <v>3100</v>
      </c>
      <c r="K6" s="15" t="s">
        <v>118</v>
      </c>
    </row>
    <row r="7">
      <c r="G7" s="123"/>
    </row>
    <row r="8">
      <c r="F8" s="15"/>
      <c r="G8" s="123"/>
    </row>
    <row r="9">
      <c r="G9" s="123"/>
    </row>
    <row r="10">
      <c r="G10" s="123"/>
    </row>
    <row r="11">
      <c r="A11" s="101" t="s">
        <v>956</v>
      </c>
      <c r="B11" s="102"/>
      <c r="C11" s="103"/>
      <c r="D11" s="101" t="s">
        <v>957</v>
      </c>
      <c r="E11" s="102"/>
      <c r="F11" s="103"/>
      <c r="G11" s="124" t="s">
        <v>46</v>
      </c>
      <c r="H11" s="103"/>
    </row>
    <row r="12" ht="18.0" customHeight="1">
      <c r="A12" s="92" t="s">
        <v>130</v>
      </c>
      <c r="B12" s="92" t="s">
        <v>131</v>
      </c>
      <c r="C12" s="92" t="s">
        <v>132</v>
      </c>
      <c r="D12" s="125" t="s">
        <v>958</v>
      </c>
      <c r="E12" s="125" t="s">
        <v>959</v>
      </c>
      <c r="F12" s="125" t="s">
        <v>960</v>
      </c>
      <c r="G12" s="126" t="s">
        <v>961</v>
      </c>
      <c r="H12" s="125" t="s">
        <v>962</v>
      </c>
    </row>
    <row r="13">
      <c r="A13" s="78" t="s">
        <v>135</v>
      </c>
      <c r="B13" s="78">
        <v>18.8</v>
      </c>
      <c r="C13" s="78">
        <f>'Catchment Area'!C17</f>
        <v>2256</v>
      </c>
      <c r="D13">
        <f t="shared" ref="D13:D377" si="1">(10*C13/1000)*100/5</f>
        <v>451.2</v>
      </c>
      <c r="E13">
        <f>D13</f>
        <v>451.2</v>
      </c>
      <c r="G13" s="123">
        <f t="shared" ref="G13:G377" si="2">C13*50/1440/1000</f>
        <v>0.07833333333</v>
      </c>
      <c r="H13">
        <f t="shared" ref="H13:H377" si="3">G13*$N$3</f>
        <v>0.1566666667</v>
      </c>
    </row>
    <row r="14">
      <c r="A14" s="78" t="s">
        <v>137</v>
      </c>
      <c r="B14" s="78">
        <v>19.8</v>
      </c>
      <c r="C14" s="78">
        <f>'Catchment Area'!C18</f>
        <v>2376</v>
      </c>
      <c r="D14">
        <f t="shared" si="1"/>
        <v>475.2</v>
      </c>
      <c r="E14">
        <f t="shared" ref="E14:E377" si="4">IF(D14+E13&lt;3000,D14+E13,D14)</f>
        <v>926.4</v>
      </c>
      <c r="F14" t="str">
        <f t="shared" ref="F14:F377" si="5">IF(D14+E13&gt;=3000,1," ")</f>
        <v> </v>
      </c>
      <c r="G14" s="123">
        <f t="shared" si="2"/>
        <v>0.0825</v>
      </c>
      <c r="H14">
        <f t="shared" si="3"/>
        <v>0.165</v>
      </c>
    </row>
    <row r="15">
      <c r="A15" s="78" t="s">
        <v>139</v>
      </c>
      <c r="B15" s="78">
        <v>0.0</v>
      </c>
      <c r="C15" s="78">
        <f>'Catchment Area'!C19</f>
        <v>0</v>
      </c>
      <c r="D15">
        <f t="shared" si="1"/>
        <v>0</v>
      </c>
      <c r="E15">
        <f t="shared" si="4"/>
        <v>926.4</v>
      </c>
      <c r="F15" t="str">
        <f t="shared" si="5"/>
        <v> </v>
      </c>
      <c r="G15" s="123">
        <f t="shared" si="2"/>
        <v>0</v>
      </c>
      <c r="H15">
        <f t="shared" si="3"/>
        <v>0</v>
      </c>
    </row>
    <row r="16">
      <c r="A16" s="78" t="s">
        <v>141</v>
      </c>
      <c r="B16" s="78">
        <v>0.0</v>
      </c>
      <c r="C16" s="78">
        <f>'Catchment Area'!C20</f>
        <v>0</v>
      </c>
      <c r="D16">
        <f t="shared" si="1"/>
        <v>0</v>
      </c>
      <c r="E16">
        <f t="shared" si="4"/>
        <v>926.4</v>
      </c>
      <c r="F16" t="str">
        <f t="shared" si="5"/>
        <v> </v>
      </c>
      <c r="G16" s="123">
        <f t="shared" si="2"/>
        <v>0</v>
      </c>
      <c r="H16">
        <f t="shared" si="3"/>
        <v>0</v>
      </c>
    </row>
    <row r="17">
      <c r="A17" s="78" t="s">
        <v>143</v>
      </c>
      <c r="B17" s="78">
        <v>0.0</v>
      </c>
      <c r="C17" s="78">
        <f>'Catchment Area'!C21</f>
        <v>0</v>
      </c>
      <c r="D17">
        <f t="shared" si="1"/>
        <v>0</v>
      </c>
      <c r="E17">
        <f t="shared" si="4"/>
        <v>926.4</v>
      </c>
      <c r="F17" t="str">
        <f t="shared" si="5"/>
        <v> </v>
      </c>
      <c r="G17" s="123">
        <f t="shared" si="2"/>
        <v>0</v>
      </c>
      <c r="H17">
        <f t="shared" si="3"/>
        <v>0</v>
      </c>
    </row>
    <row r="18">
      <c r="A18" s="78" t="s">
        <v>145</v>
      </c>
      <c r="B18" s="78">
        <v>5.0</v>
      </c>
      <c r="C18" s="78">
        <f>'Catchment Area'!C22</f>
        <v>600</v>
      </c>
      <c r="D18">
        <f t="shared" si="1"/>
        <v>120</v>
      </c>
      <c r="E18">
        <f t="shared" si="4"/>
        <v>1046.4</v>
      </c>
      <c r="F18" t="str">
        <f t="shared" si="5"/>
        <v> </v>
      </c>
      <c r="G18" s="123">
        <f t="shared" si="2"/>
        <v>0.02083333333</v>
      </c>
      <c r="H18">
        <f t="shared" si="3"/>
        <v>0.04166666667</v>
      </c>
    </row>
    <row r="19">
      <c r="A19" s="78" t="s">
        <v>147</v>
      </c>
      <c r="B19" s="78">
        <v>20.4</v>
      </c>
      <c r="C19" s="78">
        <f>'Catchment Area'!C23</f>
        <v>2448</v>
      </c>
      <c r="D19">
        <f t="shared" si="1"/>
        <v>489.6</v>
      </c>
      <c r="E19">
        <f t="shared" si="4"/>
        <v>1536</v>
      </c>
      <c r="F19" t="str">
        <f t="shared" si="5"/>
        <v> </v>
      </c>
      <c r="G19" s="123">
        <f t="shared" si="2"/>
        <v>0.085</v>
      </c>
      <c r="H19">
        <f t="shared" si="3"/>
        <v>0.17</v>
      </c>
    </row>
    <row r="20">
      <c r="A20" s="78" t="s">
        <v>149</v>
      </c>
      <c r="B20" s="78">
        <v>24.8</v>
      </c>
      <c r="C20" s="78">
        <f>'Catchment Area'!C24</f>
        <v>2976</v>
      </c>
      <c r="D20">
        <f t="shared" si="1"/>
        <v>595.2</v>
      </c>
      <c r="E20">
        <f t="shared" si="4"/>
        <v>2131.2</v>
      </c>
      <c r="F20" t="str">
        <f t="shared" si="5"/>
        <v> </v>
      </c>
      <c r="G20" s="123">
        <f t="shared" si="2"/>
        <v>0.1033333333</v>
      </c>
      <c r="H20">
        <f t="shared" si="3"/>
        <v>0.2066666667</v>
      </c>
    </row>
    <row r="21">
      <c r="A21" s="78" t="s">
        <v>151</v>
      </c>
      <c r="B21" s="78">
        <v>34.0</v>
      </c>
      <c r="C21" s="78">
        <f>'Catchment Area'!C25</f>
        <v>4080</v>
      </c>
      <c r="D21">
        <f t="shared" si="1"/>
        <v>816</v>
      </c>
      <c r="E21">
        <f t="shared" si="4"/>
        <v>2947.2</v>
      </c>
      <c r="F21" t="str">
        <f t="shared" si="5"/>
        <v> </v>
      </c>
      <c r="G21" s="123">
        <f t="shared" si="2"/>
        <v>0.1416666667</v>
      </c>
      <c r="H21">
        <f t="shared" si="3"/>
        <v>0.2833333333</v>
      </c>
    </row>
    <row r="22">
      <c r="A22" s="78" t="s">
        <v>153</v>
      </c>
      <c r="B22" s="78">
        <v>44.6</v>
      </c>
      <c r="C22" s="78">
        <f>'Catchment Area'!C26</f>
        <v>5352</v>
      </c>
      <c r="D22">
        <f t="shared" si="1"/>
        <v>1070.4</v>
      </c>
      <c r="E22">
        <f t="shared" si="4"/>
        <v>1070.4</v>
      </c>
      <c r="F22">
        <f t="shared" si="5"/>
        <v>1</v>
      </c>
      <c r="G22" s="123">
        <f t="shared" si="2"/>
        <v>0.1858333333</v>
      </c>
      <c r="H22">
        <f t="shared" si="3"/>
        <v>0.3716666667</v>
      </c>
    </row>
    <row r="23">
      <c r="A23" s="78" t="s">
        <v>155</v>
      </c>
      <c r="B23" s="78">
        <v>14.4</v>
      </c>
      <c r="C23" s="78">
        <f>'Catchment Area'!C27</f>
        <v>1728</v>
      </c>
      <c r="D23">
        <f t="shared" si="1"/>
        <v>345.6</v>
      </c>
      <c r="E23">
        <f t="shared" si="4"/>
        <v>1416</v>
      </c>
      <c r="F23" t="str">
        <f t="shared" si="5"/>
        <v> </v>
      </c>
      <c r="G23" s="123">
        <f t="shared" si="2"/>
        <v>0.06</v>
      </c>
      <c r="H23">
        <f t="shared" si="3"/>
        <v>0.12</v>
      </c>
    </row>
    <row r="24">
      <c r="A24" s="78" t="s">
        <v>157</v>
      </c>
      <c r="B24" s="78">
        <v>50.2</v>
      </c>
      <c r="C24" s="78">
        <f>'Catchment Area'!C28</f>
        <v>6024</v>
      </c>
      <c r="D24">
        <f t="shared" si="1"/>
        <v>1204.8</v>
      </c>
      <c r="E24">
        <f t="shared" si="4"/>
        <v>2620.8</v>
      </c>
      <c r="F24" t="str">
        <f t="shared" si="5"/>
        <v> </v>
      </c>
      <c r="G24" s="123">
        <f t="shared" si="2"/>
        <v>0.2091666667</v>
      </c>
      <c r="H24">
        <f t="shared" si="3"/>
        <v>0.4183333333</v>
      </c>
    </row>
    <row r="25">
      <c r="A25" s="78" t="s">
        <v>159</v>
      </c>
      <c r="B25" s="78">
        <v>9.6</v>
      </c>
      <c r="C25" s="78">
        <f>'Catchment Area'!C29</f>
        <v>1152</v>
      </c>
      <c r="D25">
        <f t="shared" si="1"/>
        <v>230.4</v>
      </c>
      <c r="E25">
        <f t="shared" si="4"/>
        <v>2851.2</v>
      </c>
      <c r="F25" t="str">
        <f t="shared" si="5"/>
        <v> </v>
      </c>
      <c r="G25" s="123">
        <f t="shared" si="2"/>
        <v>0.04</v>
      </c>
      <c r="H25">
        <f t="shared" si="3"/>
        <v>0.08</v>
      </c>
    </row>
    <row r="26">
      <c r="A26" s="78" t="s">
        <v>161</v>
      </c>
      <c r="B26" s="78">
        <v>5.8</v>
      </c>
      <c r="C26" s="78">
        <f>'Catchment Area'!C30</f>
        <v>696</v>
      </c>
      <c r="D26">
        <f t="shared" si="1"/>
        <v>139.2</v>
      </c>
      <c r="E26">
        <f t="shared" si="4"/>
        <v>2990.4</v>
      </c>
      <c r="F26" t="str">
        <f t="shared" si="5"/>
        <v> </v>
      </c>
      <c r="G26" s="123">
        <f t="shared" si="2"/>
        <v>0.02416666667</v>
      </c>
      <c r="H26">
        <f t="shared" si="3"/>
        <v>0.04833333333</v>
      </c>
    </row>
    <row r="27">
      <c r="A27" s="78" t="s">
        <v>163</v>
      </c>
      <c r="B27" s="78">
        <v>1.6</v>
      </c>
      <c r="C27" s="78">
        <f>'Catchment Area'!C31</f>
        <v>192</v>
      </c>
      <c r="D27">
        <f t="shared" si="1"/>
        <v>38.4</v>
      </c>
      <c r="E27">
        <f t="shared" si="4"/>
        <v>38.4</v>
      </c>
      <c r="F27">
        <f t="shared" si="5"/>
        <v>1</v>
      </c>
      <c r="G27" s="123">
        <f t="shared" si="2"/>
        <v>0.006666666667</v>
      </c>
      <c r="H27">
        <f t="shared" si="3"/>
        <v>0.01333333333</v>
      </c>
    </row>
    <row r="28">
      <c r="A28" s="78" t="s">
        <v>165</v>
      </c>
      <c r="B28" s="78">
        <v>0.8</v>
      </c>
      <c r="C28" s="78">
        <f>'Catchment Area'!C32</f>
        <v>96</v>
      </c>
      <c r="D28">
        <f t="shared" si="1"/>
        <v>19.2</v>
      </c>
      <c r="E28">
        <f t="shared" si="4"/>
        <v>57.6</v>
      </c>
      <c r="F28" t="str">
        <f t="shared" si="5"/>
        <v> </v>
      </c>
      <c r="G28" s="123">
        <f t="shared" si="2"/>
        <v>0.003333333333</v>
      </c>
      <c r="H28">
        <f t="shared" si="3"/>
        <v>0.006666666667</v>
      </c>
    </row>
    <row r="29">
      <c r="A29" s="78" t="s">
        <v>167</v>
      </c>
      <c r="B29" s="78">
        <v>0.0</v>
      </c>
      <c r="C29" s="78">
        <f>'Catchment Area'!C33</f>
        <v>0</v>
      </c>
      <c r="D29">
        <f t="shared" si="1"/>
        <v>0</v>
      </c>
      <c r="E29">
        <f t="shared" si="4"/>
        <v>57.6</v>
      </c>
      <c r="F29" t="str">
        <f t="shared" si="5"/>
        <v> </v>
      </c>
      <c r="G29" s="123">
        <f t="shared" si="2"/>
        <v>0</v>
      </c>
      <c r="H29">
        <f t="shared" si="3"/>
        <v>0</v>
      </c>
    </row>
    <row r="30">
      <c r="A30" s="78" t="s">
        <v>169</v>
      </c>
      <c r="B30" s="78">
        <v>2.6</v>
      </c>
      <c r="C30" s="78">
        <f>'Catchment Area'!C34</f>
        <v>312</v>
      </c>
      <c r="D30">
        <f t="shared" si="1"/>
        <v>62.4</v>
      </c>
      <c r="E30">
        <f t="shared" si="4"/>
        <v>120</v>
      </c>
      <c r="F30" t="str">
        <f t="shared" si="5"/>
        <v> </v>
      </c>
      <c r="G30" s="123">
        <f t="shared" si="2"/>
        <v>0.01083333333</v>
      </c>
      <c r="H30">
        <f t="shared" si="3"/>
        <v>0.02166666667</v>
      </c>
    </row>
    <row r="31">
      <c r="A31" s="78" t="s">
        <v>171</v>
      </c>
      <c r="B31" s="78">
        <v>1.0</v>
      </c>
      <c r="C31" s="78">
        <f>'Catchment Area'!C35</f>
        <v>120</v>
      </c>
      <c r="D31">
        <f t="shared" si="1"/>
        <v>24</v>
      </c>
      <c r="E31">
        <f t="shared" si="4"/>
        <v>144</v>
      </c>
      <c r="F31" t="str">
        <f t="shared" si="5"/>
        <v> </v>
      </c>
      <c r="G31" s="123">
        <f t="shared" si="2"/>
        <v>0.004166666667</v>
      </c>
      <c r="H31">
        <f t="shared" si="3"/>
        <v>0.008333333333</v>
      </c>
    </row>
    <row r="32">
      <c r="A32" s="78" t="s">
        <v>173</v>
      </c>
      <c r="B32" s="78">
        <v>0.6</v>
      </c>
      <c r="C32" s="78">
        <f>'Catchment Area'!C36</f>
        <v>72</v>
      </c>
      <c r="D32">
        <f t="shared" si="1"/>
        <v>14.4</v>
      </c>
      <c r="E32">
        <f t="shared" si="4"/>
        <v>158.4</v>
      </c>
      <c r="F32" t="str">
        <f t="shared" si="5"/>
        <v> </v>
      </c>
      <c r="G32" s="123">
        <f t="shared" si="2"/>
        <v>0.0025</v>
      </c>
      <c r="H32">
        <f t="shared" si="3"/>
        <v>0.005</v>
      </c>
    </row>
    <row r="33">
      <c r="A33" s="78" t="s">
        <v>175</v>
      </c>
      <c r="B33" s="78">
        <v>0.8</v>
      </c>
      <c r="C33" s="78">
        <f>'Catchment Area'!C37</f>
        <v>96</v>
      </c>
      <c r="D33">
        <f t="shared" si="1"/>
        <v>19.2</v>
      </c>
      <c r="E33">
        <f t="shared" si="4"/>
        <v>177.6</v>
      </c>
      <c r="F33" t="str">
        <f t="shared" si="5"/>
        <v> </v>
      </c>
      <c r="G33" s="123">
        <f t="shared" si="2"/>
        <v>0.003333333333</v>
      </c>
      <c r="H33">
        <f t="shared" si="3"/>
        <v>0.006666666667</v>
      </c>
    </row>
    <row r="34">
      <c r="A34" s="78" t="s">
        <v>177</v>
      </c>
      <c r="B34" s="78">
        <v>0.6</v>
      </c>
      <c r="C34" s="78">
        <f>'Catchment Area'!C38</f>
        <v>72</v>
      </c>
      <c r="D34">
        <f t="shared" si="1"/>
        <v>14.4</v>
      </c>
      <c r="E34">
        <f t="shared" si="4"/>
        <v>192</v>
      </c>
      <c r="F34" t="str">
        <f t="shared" si="5"/>
        <v> </v>
      </c>
      <c r="G34" s="123">
        <f t="shared" si="2"/>
        <v>0.0025</v>
      </c>
      <c r="H34">
        <f t="shared" si="3"/>
        <v>0.005</v>
      </c>
    </row>
    <row r="35">
      <c r="A35" s="78" t="s">
        <v>179</v>
      </c>
      <c r="B35" s="78">
        <v>0.0</v>
      </c>
      <c r="C35" s="78">
        <f>'Catchment Area'!C39</f>
        <v>0</v>
      </c>
      <c r="D35">
        <f t="shared" si="1"/>
        <v>0</v>
      </c>
      <c r="E35">
        <f t="shared" si="4"/>
        <v>192</v>
      </c>
      <c r="F35" t="str">
        <f t="shared" si="5"/>
        <v> </v>
      </c>
      <c r="G35" s="123">
        <f t="shared" si="2"/>
        <v>0</v>
      </c>
      <c r="H35">
        <f t="shared" si="3"/>
        <v>0</v>
      </c>
    </row>
    <row r="36">
      <c r="A36" s="78" t="s">
        <v>181</v>
      </c>
      <c r="B36" s="78">
        <v>0.0</v>
      </c>
      <c r="C36" s="78">
        <f>'Catchment Area'!C40</f>
        <v>0</v>
      </c>
      <c r="D36">
        <f t="shared" si="1"/>
        <v>0</v>
      </c>
      <c r="E36">
        <f t="shared" si="4"/>
        <v>192</v>
      </c>
      <c r="F36" t="str">
        <f t="shared" si="5"/>
        <v> </v>
      </c>
      <c r="G36" s="123">
        <f t="shared" si="2"/>
        <v>0</v>
      </c>
      <c r="H36">
        <f t="shared" si="3"/>
        <v>0</v>
      </c>
    </row>
    <row r="37">
      <c r="A37" s="78" t="s">
        <v>183</v>
      </c>
      <c r="B37" s="78">
        <v>0.0</v>
      </c>
      <c r="C37" s="78">
        <f>'Catchment Area'!C41</f>
        <v>0</v>
      </c>
      <c r="D37">
        <f t="shared" si="1"/>
        <v>0</v>
      </c>
      <c r="E37">
        <f t="shared" si="4"/>
        <v>192</v>
      </c>
      <c r="F37" t="str">
        <f t="shared" si="5"/>
        <v> </v>
      </c>
      <c r="G37" s="123">
        <f t="shared" si="2"/>
        <v>0</v>
      </c>
      <c r="H37">
        <f t="shared" si="3"/>
        <v>0</v>
      </c>
    </row>
    <row r="38">
      <c r="A38" s="78" t="s">
        <v>185</v>
      </c>
      <c r="B38" s="78">
        <v>0.0</v>
      </c>
      <c r="C38" s="78">
        <f>'Catchment Area'!C42</f>
        <v>0</v>
      </c>
      <c r="D38">
        <f t="shared" si="1"/>
        <v>0</v>
      </c>
      <c r="E38">
        <f t="shared" si="4"/>
        <v>192</v>
      </c>
      <c r="F38" t="str">
        <f t="shared" si="5"/>
        <v> </v>
      </c>
      <c r="G38" s="123">
        <f t="shared" si="2"/>
        <v>0</v>
      </c>
      <c r="H38">
        <f t="shared" si="3"/>
        <v>0</v>
      </c>
    </row>
    <row r="39">
      <c r="A39" s="78" t="s">
        <v>187</v>
      </c>
      <c r="B39" s="78">
        <v>17.6</v>
      </c>
      <c r="C39" s="78">
        <f>'Catchment Area'!C43</f>
        <v>2112</v>
      </c>
      <c r="D39">
        <f t="shared" si="1"/>
        <v>422.4</v>
      </c>
      <c r="E39">
        <f t="shared" si="4"/>
        <v>614.4</v>
      </c>
      <c r="F39" t="str">
        <f t="shared" si="5"/>
        <v> </v>
      </c>
      <c r="G39" s="123">
        <f t="shared" si="2"/>
        <v>0.07333333333</v>
      </c>
      <c r="H39">
        <f t="shared" si="3"/>
        <v>0.1466666667</v>
      </c>
    </row>
    <row r="40">
      <c r="A40" s="78" t="s">
        <v>189</v>
      </c>
      <c r="B40" s="78">
        <v>0.0</v>
      </c>
      <c r="C40" s="78">
        <f>'Catchment Area'!C44</f>
        <v>0</v>
      </c>
      <c r="D40">
        <f t="shared" si="1"/>
        <v>0</v>
      </c>
      <c r="E40">
        <f t="shared" si="4"/>
        <v>614.4</v>
      </c>
      <c r="F40" t="str">
        <f t="shared" si="5"/>
        <v> </v>
      </c>
      <c r="G40" s="123">
        <f t="shared" si="2"/>
        <v>0</v>
      </c>
      <c r="H40">
        <f t="shared" si="3"/>
        <v>0</v>
      </c>
    </row>
    <row r="41">
      <c r="A41" s="78" t="s">
        <v>191</v>
      </c>
      <c r="B41" s="78">
        <v>0.0</v>
      </c>
      <c r="C41" s="78">
        <f>'Catchment Area'!C45</f>
        <v>0</v>
      </c>
      <c r="D41">
        <f t="shared" si="1"/>
        <v>0</v>
      </c>
      <c r="E41">
        <f t="shared" si="4"/>
        <v>614.4</v>
      </c>
      <c r="F41" t="str">
        <f t="shared" si="5"/>
        <v> </v>
      </c>
      <c r="G41" s="123">
        <f t="shared" si="2"/>
        <v>0</v>
      </c>
      <c r="H41">
        <f t="shared" si="3"/>
        <v>0</v>
      </c>
    </row>
    <row r="42">
      <c r="A42" s="78" t="s">
        <v>193</v>
      </c>
      <c r="B42" s="78">
        <v>0.0</v>
      </c>
      <c r="C42" s="78">
        <f>'Catchment Area'!C46</f>
        <v>0</v>
      </c>
      <c r="D42">
        <f t="shared" si="1"/>
        <v>0</v>
      </c>
      <c r="E42">
        <f t="shared" si="4"/>
        <v>614.4</v>
      </c>
      <c r="F42" t="str">
        <f t="shared" si="5"/>
        <v> </v>
      </c>
      <c r="G42" s="123">
        <f t="shared" si="2"/>
        <v>0</v>
      </c>
      <c r="H42">
        <f t="shared" si="3"/>
        <v>0</v>
      </c>
    </row>
    <row r="43">
      <c r="A43" s="78" t="s">
        <v>195</v>
      </c>
      <c r="B43" s="78">
        <v>2.6</v>
      </c>
      <c r="C43" s="78">
        <f>'Catchment Area'!C47</f>
        <v>312</v>
      </c>
      <c r="D43">
        <f t="shared" si="1"/>
        <v>62.4</v>
      </c>
      <c r="E43">
        <f t="shared" si="4"/>
        <v>676.8</v>
      </c>
      <c r="F43" t="str">
        <f t="shared" si="5"/>
        <v> </v>
      </c>
      <c r="G43" s="123">
        <f t="shared" si="2"/>
        <v>0.01083333333</v>
      </c>
      <c r="H43">
        <f t="shared" si="3"/>
        <v>0.02166666667</v>
      </c>
    </row>
    <row r="44">
      <c r="A44" s="78" t="s">
        <v>197</v>
      </c>
      <c r="B44" s="78">
        <v>2.6</v>
      </c>
      <c r="C44" s="78">
        <f>'Catchment Area'!C48</f>
        <v>312</v>
      </c>
      <c r="D44">
        <f t="shared" si="1"/>
        <v>62.4</v>
      </c>
      <c r="E44">
        <f t="shared" si="4"/>
        <v>739.2</v>
      </c>
      <c r="F44" t="str">
        <f t="shared" si="5"/>
        <v> </v>
      </c>
      <c r="G44" s="123">
        <f t="shared" si="2"/>
        <v>0.01083333333</v>
      </c>
      <c r="H44">
        <f t="shared" si="3"/>
        <v>0.02166666667</v>
      </c>
    </row>
    <row r="45">
      <c r="A45" s="78" t="s">
        <v>199</v>
      </c>
      <c r="B45" s="78">
        <v>0.0</v>
      </c>
      <c r="C45" s="78">
        <f>'Catchment Area'!C49</f>
        <v>0</v>
      </c>
      <c r="D45">
        <f t="shared" si="1"/>
        <v>0</v>
      </c>
      <c r="E45">
        <f t="shared" si="4"/>
        <v>739.2</v>
      </c>
      <c r="F45" t="str">
        <f t="shared" si="5"/>
        <v> </v>
      </c>
      <c r="G45" s="123">
        <f t="shared" si="2"/>
        <v>0</v>
      </c>
      <c r="H45">
        <f t="shared" si="3"/>
        <v>0</v>
      </c>
    </row>
    <row r="46">
      <c r="A46" s="78" t="s">
        <v>201</v>
      </c>
      <c r="B46" s="78">
        <v>0.0</v>
      </c>
      <c r="C46" s="78">
        <f>'Catchment Area'!C50</f>
        <v>0</v>
      </c>
      <c r="D46">
        <f t="shared" si="1"/>
        <v>0</v>
      </c>
      <c r="E46">
        <f t="shared" si="4"/>
        <v>739.2</v>
      </c>
      <c r="F46" t="str">
        <f t="shared" si="5"/>
        <v> </v>
      </c>
      <c r="G46" s="123">
        <f t="shared" si="2"/>
        <v>0</v>
      </c>
      <c r="H46">
        <f t="shared" si="3"/>
        <v>0</v>
      </c>
    </row>
    <row r="47">
      <c r="A47" s="78" t="s">
        <v>203</v>
      </c>
      <c r="B47" s="78">
        <v>0.0</v>
      </c>
      <c r="C47" s="78">
        <f>'Catchment Area'!C51</f>
        <v>0</v>
      </c>
      <c r="D47">
        <f t="shared" si="1"/>
        <v>0</v>
      </c>
      <c r="E47">
        <f t="shared" si="4"/>
        <v>739.2</v>
      </c>
      <c r="F47" t="str">
        <f t="shared" si="5"/>
        <v> </v>
      </c>
      <c r="G47" s="123">
        <f t="shared" si="2"/>
        <v>0</v>
      </c>
      <c r="H47">
        <f t="shared" si="3"/>
        <v>0</v>
      </c>
    </row>
    <row r="48">
      <c r="A48" s="78" t="s">
        <v>205</v>
      </c>
      <c r="B48" s="78">
        <v>0.0</v>
      </c>
      <c r="C48" s="78">
        <f>'Catchment Area'!C52</f>
        <v>0</v>
      </c>
      <c r="D48">
        <f t="shared" si="1"/>
        <v>0</v>
      </c>
      <c r="E48">
        <f t="shared" si="4"/>
        <v>739.2</v>
      </c>
      <c r="F48" t="str">
        <f t="shared" si="5"/>
        <v> </v>
      </c>
      <c r="G48" s="123">
        <f t="shared" si="2"/>
        <v>0</v>
      </c>
      <c r="H48">
        <f t="shared" si="3"/>
        <v>0</v>
      </c>
    </row>
    <row r="49">
      <c r="A49" s="78" t="s">
        <v>207</v>
      </c>
      <c r="B49" s="78">
        <v>0.0</v>
      </c>
      <c r="C49" s="78">
        <f>'Catchment Area'!C53</f>
        <v>0</v>
      </c>
      <c r="D49">
        <f t="shared" si="1"/>
        <v>0</v>
      </c>
      <c r="E49">
        <f t="shared" si="4"/>
        <v>739.2</v>
      </c>
      <c r="F49" t="str">
        <f t="shared" si="5"/>
        <v> </v>
      </c>
      <c r="G49" s="123">
        <f t="shared" si="2"/>
        <v>0</v>
      </c>
      <c r="H49">
        <f t="shared" si="3"/>
        <v>0</v>
      </c>
    </row>
    <row r="50">
      <c r="A50" s="78" t="s">
        <v>209</v>
      </c>
      <c r="B50" s="78">
        <v>0.0</v>
      </c>
      <c r="C50" s="78">
        <f>'Catchment Area'!C54</f>
        <v>0</v>
      </c>
      <c r="D50">
        <f t="shared" si="1"/>
        <v>0</v>
      </c>
      <c r="E50">
        <f t="shared" si="4"/>
        <v>739.2</v>
      </c>
      <c r="F50" t="str">
        <f t="shared" si="5"/>
        <v> </v>
      </c>
      <c r="G50" s="123">
        <f t="shared" si="2"/>
        <v>0</v>
      </c>
      <c r="H50">
        <f t="shared" si="3"/>
        <v>0</v>
      </c>
    </row>
    <row r="51">
      <c r="A51" s="78" t="s">
        <v>211</v>
      </c>
      <c r="B51" s="78">
        <v>0.0</v>
      </c>
      <c r="C51" s="78">
        <f>'Catchment Area'!C55</f>
        <v>0</v>
      </c>
      <c r="D51">
        <f t="shared" si="1"/>
        <v>0</v>
      </c>
      <c r="E51">
        <f t="shared" si="4"/>
        <v>739.2</v>
      </c>
      <c r="F51" t="str">
        <f t="shared" si="5"/>
        <v> </v>
      </c>
      <c r="G51" s="123">
        <f t="shared" si="2"/>
        <v>0</v>
      </c>
      <c r="H51">
        <f t="shared" si="3"/>
        <v>0</v>
      </c>
    </row>
    <row r="52">
      <c r="A52" s="78" t="s">
        <v>213</v>
      </c>
      <c r="B52" s="78">
        <v>12.2</v>
      </c>
      <c r="C52" s="78">
        <f>'Catchment Area'!C56</f>
        <v>1464</v>
      </c>
      <c r="D52">
        <f t="shared" si="1"/>
        <v>292.8</v>
      </c>
      <c r="E52">
        <f t="shared" si="4"/>
        <v>1032</v>
      </c>
      <c r="F52" t="str">
        <f t="shared" si="5"/>
        <v> </v>
      </c>
      <c r="G52" s="123">
        <f t="shared" si="2"/>
        <v>0.05083333333</v>
      </c>
      <c r="H52">
        <f t="shared" si="3"/>
        <v>0.1016666667</v>
      </c>
    </row>
    <row r="53">
      <c r="A53" s="78" t="s">
        <v>215</v>
      </c>
      <c r="B53" s="78">
        <v>13.4</v>
      </c>
      <c r="C53" s="78">
        <f>'Catchment Area'!C57</f>
        <v>1608</v>
      </c>
      <c r="D53">
        <f t="shared" si="1"/>
        <v>321.6</v>
      </c>
      <c r="E53">
        <f t="shared" si="4"/>
        <v>1353.6</v>
      </c>
      <c r="F53" t="str">
        <f t="shared" si="5"/>
        <v> </v>
      </c>
      <c r="G53" s="123">
        <f t="shared" si="2"/>
        <v>0.05583333333</v>
      </c>
      <c r="H53">
        <f t="shared" si="3"/>
        <v>0.1116666667</v>
      </c>
    </row>
    <row r="54">
      <c r="A54" s="78" t="s">
        <v>217</v>
      </c>
      <c r="B54" s="78">
        <v>46.6</v>
      </c>
      <c r="C54" s="78">
        <f>'Catchment Area'!C58</f>
        <v>5592</v>
      </c>
      <c r="D54">
        <f t="shared" si="1"/>
        <v>1118.4</v>
      </c>
      <c r="E54">
        <f t="shared" si="4"/>
        <v>2472</v>
      </c>
      <c r="F54" t="str">
        <f t="shared" si="5"/>
        <v> </v>
      </c>
      <c r="G54" s="123">
        <f t="shared" si="2"/>
        <v>0.1941666667</v>
      </c>
      <c r="H54">
        <f t="shared" si="3"/>
        <v>0.3883333333</v>
      </c>
    </row>
    <row r="55">
      <c r="A55" s="78" t="s">
        <v>219</v>
      </c>
      <c r="B55" s="78">
        <v>16.8</v>
      </c>
      <c r="C55" s="78">
        <f>'Catchment Area'!C59</f>
        <v>2016</v>
      </c>
      <c r="D55">
        <f t="shared" si="1"/>
        <v>403.2</v>
      </c>
      <c r="E55">
        <f t="shared" si="4"/>
        <v>2875.2</v>
      </c>
      <c r="F55" t="str">
        <f t="shared" si="5"/>
        <v> </v>
      </c>
      <c r="G55" s="123">
        <f t="shared" si="2"/>
        <v>0.07</v>
      </c>
      <c r="H55">
        <f t="shared" si="3"/>
        <v>0.14</v>
      </c>
    </row>
    <row r="56">
      <c r="A56" s="78" t="s">
        <v>221</v>
      </c>
      <c r="B56" s="78">
        <v>15.6</v>
      </c>
      <c r="C56" s="78">
        <f>'Catchment Area'!C60</f>
        <v>1872</v>
      </c>
      <c r="D56">
        <f t="shared" si="1"/>
        <v>374.4</v>
      </c>
      <c r="E56">
        <f t="shared" si="4"/>
        <v>374.4</v>
      </c>
      <c r="F56">
        <f t="shared" si="5"/>
        <v>1</v>
      </c>
      <c r="G56" s="123">
        <f t="shared" si="2"/>
        <v>0.065</v>
      </c>
      <c r="H56">
        <f t="shared" si="3"/>
        <v>0.13</v>
      </c>
    </row>
    <row r="57">
      <c r="A57" s="78" t="s">
        <v>223</v>
      </c>
      <c r="B57" s="78">
        <v>3.0</v>
      </c>
      <c r="C57" s="78">
        <f>'Catchment Area'!C61</f>
        <v>360</v>
      </c>
      <c r="D57">
        <f t="shared" si="1"/>
        <v>72</v>
      </c>
      <c r="E57">
        <f t="shared" si="4"/>
        <v>446.4</v>
      </c>
      <c r="F57" t="str">
        <f t="shared" si="5"/>
        <v> </v>
      </c>
      <c r="G57" s="123">
        <f t="shared" si="2"/>
        <v>0.0125</v>
      </c>
      <c r="H57">
        <f t="shared" si="3"/>
        <v>0.025</v>
      </c>
    </row>
    <row r="58">
      <c r="A58" s="78" t="s">
        <v>225</v>
      </c>
      <c r="B58" s="78">
        <v>11.6</v>
      </c>
      <c r="C58" s="78">
        <f>'Catchment Area'!C62</f>
        <v>1392</v>
      </c>
      <c r="D58">
        <f t="shared" si="1"/>
        <v>278.4</v>
      </c>
      <c r="E58">
        <f t="shared" si="4"/>
        <v>724.8</v>
      </c>
      <c r="F58" t="str">
        <f t="shared" si="5"/>
        <v> </v>
      </c>
      <c r="G58" s="123">
        <f t="shared" si="2"/>
        <v>0.04833333333</v>
      </c>
      <c r="H58">
        <f t="shared" si="3"/>
        <v>0.09666666667</v>
      </c>
    </row>
    <row r="59">
      <c r="A59" s="78" t="s">
        <v>227</v>
      </c>
      <c r="B59" s="78">
        <v>19.0</v>
      </c>
      <c r="C59" s="78">
        <f>'Catchment Area'!C63</f>
        <v>2280</v>
      </c>
      <c r="D59">
        <f t="shared" si="1"/>
        <v>456</v>
      </c>
      <c r="E59">
        <f t="shared" si="4"/>
        <v>1180.8</v>
      </c>
      <c r="F59" t="str">
        <f t="shared" si="5"/>
        <v> </v>
      </c>
      <c r="G59" s="123">
        <f t="shared" si="2"/>
        <v>0.07916666667</v>
      </c>
      <c r="H59">
        <f t="shared" si="3"/>
        <v>0.1583333333</v>
      </c>
    </row>
    <row r="60">
      <c r="A60" s="78" t="s">
        <v>229</v>
      </c>
      <c r="B60" s="78">
        <v>9.2</v>
      </c>
      <c r="C60" s="78">
        <f>'Catchment Area'!C64</f>
        <v>1104</v>
      </c>
      <c r="D60">
        <f t="shared" si="1"/>
        <v>220.8</v>
      </c>
      <c r="E60">
        <f t="shared" si="4"/>
        <v>1401.6</v>
      </c>
      <c r="F60" t="str">
        <f t="shared" si="5"/>
        <v> </v>
      </c>
      <c r="G60" s="123">
        <f t="shared" si="2"/>
        <v>0.03833333333</v>
      </c>
      <c r="H60">
        <f t="shared" si="3"/>
        <v>0.07666666667</v>
      </c>
    </row>
    <row r="61">
      <c r="A61" s="78" t="s">
        <v>231</v>
      </c>
      <c r="B61" s="78">
        <v>12.6</v>
      </c>
      <c r="C61" s="78">
        <f>'Catchment Area'!C65</f>
        <v>1512</v>
      </c>
      <c r="D61">
        <f t="shared" si="1"/>
        <v>302.4</v>
      </c>
      <c r="E61">
        <f t="shared" si="4"/>
        <v>1704</v>
      </c>
      <c r="F61" t="str">
        <f t="shared" si="5"/>
        <v> </v>
      </c>
      <c r="G61" s="123">
        <f t="shared" si="2"/>
        <v>0.0525</v>
      </c>
      <c r="H61">
        <f t="shared" si="3"/>
        <v>0.105</v>
      </c>
    </row>
    <row r="62">
      <c r="A62" s="78" t="s">
        <v>233</v>
      </c>
      <c r="B62" s="78">
        <v>21.8</v>
      </c>
      <c r="C62" s="78">
        <f>'Catchment Area'!C66</f>
        <v>2616</v>
      </c>
      <c r="D62">
        <f t="shared" si="1"/>
        <v>523.2</v>
      </c>
      <c r="E62">
        <f t="shared" si="4"/>
        <v>2227.2</v>
      </c>
      <c r="F62" t="str">
        <f t="shared" si="5"/>
        <v> </v>
      </c>
      <c r="G62" s="123">
        <f t="shared" si="2"/>
        <v>0.09083333333</v>
      </c>
      <c r="H62">
        <f t="shared" si="3"/>
        <v>0.1816666667</v>
      </c>
    </row>
    <row r="63">
      <c r="A63" s="78" t="s">
        <v>235</v>
      </c>
      <c r="B63" s="78">
        <v>2.4</v>
      </c>
      <c r="C63" s="78">
        <f>'Catchment Area'!C67</f>
        <v>288</v>
      </c>
      <c r="D63">
        <f t="shared" si="1"/>
        <v>57.6</v>
      </c>
      <c r="E63">
        <f t="shared" si="4"/>
        <v>2284.8</v>
      </c>
      <c r="F63" t="str">
        <f t="shared" si="5"/>
        <v> </v>
      </c>
      <c r="G63" s="123">
        <f t="shared" si="2"/>
        <v>0.01</v>
      </c>
      <c r="H63">
        <f t="shared" si="3"/>
        <v>0.02</v>
      </c>
    </row>
    <row r="64">
      <c r="A64" s="78" t="s">
        <v>237</v>
      </c>
      <c r="B64" s="78">
        <v>0.8</v>
      </c>
      <c r="C64" s="78">
        <f>'Catchment Area'!C68</f>
        <v>96</v>
      </c>
      <c r="D64">
        <f t="shared" si="1"/>
        <v>19.2</v>
      </c>
      <c r="E64">
        <f t="shared" si="4"/>
        <v>2304</v>
      </c>
      <c r="F64" t="str">
        <f t="shared" si="5"/>
        <v> </v>
      </c>
      <c r="G64" s="123">
        <f t="shared" si="2"/>
        <v>0.003333333333</v>
      </c>
      <c r="H64">
        <f t="shared" si="3"/>
        <v>0.006666666667</v>
      </c>
    </row>
    <row r="65">
      <c r="A65" s="78" t="s">
        <v>239</v>
      </c>
      <c r="B65" s="78">
        <v>4.8</v>
      </c>
      <c r="C65" s="78">
        <f>'Catchment Area'!C69</f>
        <v>576</v>
      </c>
      <c r="D65">
        <f t="shared" si="1"/>
        <v>115.2</v>
      </c>
      <c r="E65">
        <f t="shared" si="4"/>
        <v>2419.2</v>
      </c>
      <c r="F65" t="str">
        <f t="shared" si="5"/>
        <v> </v>
      </c>
      <c r="G65" s="123">
        <f t="shared" si="2"/>
        <v>0.02</v>
      </c>
      <c r="H65">
        <f t="shared" si="3"/>
        <v>0.04</v>
      </c>
    </row>
    <row r="66">
      <c r="A66" s="78" t="s">
        <v>241</v>
      </c>
      <c r="B66" s="78">
        <v>14.6</v>
      </c>
      <c r="C66" s="78">
        <f>'Catchment Area'!C70</f>
        <v>1752</v>
      </c>
      <c r="D66">
        <f t="shared" si="1"/>
        <v>350.4</v>
      </c>
      <c r="E66">
        <f t="shared" si="4"/>
        <v>2769.6</v>
      </c>
      <c r="F66" t="str">
        <f t="shared" si="5"/>
        <v> </v>
      </c>
      <c r="G66" s="123">
        <f t="shared" si="2"/>
        <v>0.06083333333</v>
      </c>
      <c r="H66">
        <f t="shared" si="3"/>
        <v>0.1216666667</v>
      </c>
    </row>
    <row r="67">
      <c r="A67" s="78" t="s">
        <v>243</v>
      </c>
      <c r="B67" s="78">
        <v>6.8</v>
      </c>
      <c r="C67" s="78">
        <f>'Catchment Area'!C71</f>
        <v>816</v>
      </c>
      <c r="D67">
        <f t="shared" si="1"/>
        <v>163.2</v>
      </c>
      <c r="E67">
        <f t="shared" si="4"/>
        <v>2932.8</v>
      </c>
      <c r="F67" t="str">
        <f t="shared" si="5"/>
        <v> </v>
      </c>
      <c r="G67" s="123">
        <f t="shared" si="2"/>
        <v>0.02833333333</v>
      </c>
      <c r="H67">
        <f t="shared" si="3"/>
        <v>0.05666666667</v>
      </c>
    </row>
    <row r="68">
      <c r="A68" s="78" t="s">
        <v>245</v>
      </c>
      <c r="B68" s="78">
        <v>0.0</v>
      </c>
      <c r="C68" s="78">
        <f>'Catchment Area'!C72</f>
        <v>0</v>
      </c>
      <c r="D68">
        <f t="shared" si="1"/>
        <v>0</v>
      </c>
      <c r="E68">
        <f t="shared" si="4"/>
        <v>2932.8</v>
      </c>
      <c r="F68" t="str">
        <f t="shared" si="5"/>
        <v> </v>
      </c>
      <c r="G68" s="123">
        <f t="shared" si="2"/>
        <v>0</v>
      </c>
      <c r="H68">
        <f t="shared" si="3"/>
        <v>0</v>
      </c>
    </row>
    <row r="69">
      <c r="A69" s="78" t="s">
        <v>247</v>
      </c>
      <c r="B69" s="78">
        <v>0.8</v>
      </c>
      <c r="C69" s="78">
        <f>'Catchment Area'!C73</f>
        <v>96</v>
      </c>
      <c r="D69">
        <f t="shared" si="1"/>
        <v>19.2</v>
      </c>
      <c r="E69">
        <f t="shared" si="4"/>
        <v>2952</v>
      </c>
      <c r="F69" t="str">
        <f t="shared" si="5"/>
        <v> </v>
      </c>
      <c r="G69" s="123">
        <f t="shared" si="2"/>
        <v>0.003333333333</v>
      </c>
      <c r="H69">
        <f t="shared" si="3"/>
        <v>0.006666666667</v>
      </c>
    </row>
    <row r="70">
      <c r="A70" s="78" t="s">
        <v>249</v>
      </c>
      <c r="B70" s="78">
        <v>0.0</v>
      </c>
      <c r="C70" s="78">
        <f>'Catchment Area'!C74</f>
        <v>0</v>
      </c>
      <c r="D70">
        <f t="shared" si="1"/>
        <v>0</v>
      </c>
      <c r="E70">
        <f t="shared" si="4"/>
        <v>2952</v>
      </c>
      <c r="F70" t="str">
        <f t="shared" si="5"/>
        <v> </v>
      </c>
      <c r="G70" s="123">
        <f t="shared" si="2"/>
        <v>0</v>
      </c>
      <c r="H70">
        <f t="shared" si="3"/>
        <v>0</v>
      </c>
    </row>
    <row r="71">
      <c r="A71" s="78" t="s">
        <v>251</v>
      </c>
      <c r="B71" s="78">
        <v>0.4</v>
      </c>
      <c r="C71" s="78">
        <f>'Catchment Area'!C75</f>
        <v>48</v>
      </c>
      <c r="D71">
        <f t="shared" si="1"/>
        <v>9.6</v>
      </c>
      <c r="E71">
        <f t="shared" si="4"/>
        <v>2961.6</v>
      </c>
      <c r="F71" t="str">
        <f t="shared" si="5"/>
        <v> </v>
      </c>
      <c r="G71" s="123">
        <f t="shared" si="2"/>
        <v>0.001666666667</v>
      </c>
      <c r="H71">
        <f t="shared" si="3"/>
        <v>0.003333333333</v>
      </c>
    </row>
    <row r="72">
      <c r="A72" s="78" t="s">
        <v>253</v>
      </c>
      <c r="B72" s="78">
        <v>2.0</v>
      </c>
      <c r="C72" s="78">
        <f>'Catchment Area'!C76</f>
        <v>240</v>
      </c>
      <c r="D72">
        <f t="shared" si="1"/>
        <v>48</v>
      </c>
      <c r="E72">
        <f t="shared" si="4"/>
        <v>48</v>
      </c>
      <c r="F72">
        <f t="shared" si="5"/>
        <v>1</v>
      </c>
      <c r="G72" s="123">
        <f t="shared" si="2"/>
        <v>0.008333333333</v>
      </c>
      <c r="H72">
        <f t="shared" si="3"/>
        <v>0.01666666667</v>
      </c>
    </row>
    <row r="73">
      <c r="A73" s="78" t="s">
        <v>255</v>
      </c>
      <c r="B73" s="78">
        <v>19.0</v>
      </c>
      <c r="C73" s="78">
        <f>'Catchment Area'!C77</f>
        <v>2280</v>
      </c>
      <c r="D73">
        <f t="shared" si="1"/>
        <v>456</v>
      </c>
      <c r="E73">
        <f t="shared" si="4"/>
        <v>504</v>
      </c>
      <c r="F73" t="str">
        <f t="shared" si="5"/>
        <v> </v>
      </c>
      <c r="G73" s="123">
        <f t="shared" si="2"/>
        <v>0.07916666667</v>
      </c>
      <c r="H73">
        <f t="shared" si="3"/>
        <v>0.1583333333</v>
      </c>
    </row>
    <row r="74">
      <c r="A74" s="78" t="s">
        <v>257</v>
      </c>
      <c r="B74" s="78">
        <v>1.0</v>
      </c>
      <c r="C74" s="78">
        <f>'Catchment Area'!C78</f>
        <v>120</v>
      </c>
      <c r="D74">
        <f t="shared" si="1"/>
        <v>24</v>
      </c>
      <c r="E74">
        <f t="shared" si="4"/>
        <v>528</v>
      </c>
      <c r="F74" t="str">
        <f t="shared" si="5"/>
        <v> </v>
      </c>
      <c r="G74" s="123">
        <f t="shared" si="2"/>
        <v>0.004166666667</v>
      </c>
      <c r="H74">
        <f t="shared" si="3"/>
        <v>0.008333333333</v>
      </c>
    </row>
    <row r="75">
      <c r="A75" s="78" t="s">
        <v>259</v>
      </c>
      <c r="B75" s="78">
        <v>2.4</v>
      </c>
      <c r="C75" s="78">
        <f>'Catchment Area'!C79</f>
        <v>288</v>
      </c>
      <c r="D75">
        <f t="shared" si="1"/>
        <v>57.6</v>
      </c>
      <c r="E75">
        <f t="shared" si="4"/>
        <v>585.6</v>
      </c>
      <c r="F75" t="str">
        <f t="shared" si="5"/>
        <v> </v>
      </c>
      <c r="G75" s="123">
        <f t="shared" si="2"/>
        <v>0.01</v>
      </c>
      <c r="H75">
        <f t="shared" si="3"/>
        <v>0.02</v>
      </c>
    </row>
    <row r="76">
      <c r="A76" s="78" t="s">
        <v>261</v>
      </c>
      <c r="B76" s="78">
        <v>23.8</v>
      </c>
      <c r="C76" s="78">
        <f>'Catchment Area'!C80</f>
        <v>2856</v>
      </c>
      <c r="D76">
        <f t="shared" si="1"/>
        <v>571.2</v>
      </c>
      <c r="E76">
        <f t="shared" si="4"/>
        <v>1156.8</v>
      </c>
      <c r="F76" t="str">
        <f t="shared" si="5"/>
        <v> </v>
      </c>
      <c r="G76" s="123">
        <f t="shared" si="2"/>
        <v>0.09916666667</v>
      </c>
      <c r="H76">
        <f t="shared" si="3"/>
        <v>0.1983333333</v>
      </c>
    </row>
    <row r="77">
      <c r="A77" s="78" t="s">
        <v>263</v>
      </c>
      <c r="B77" s="78">
        <v>8.6</v>
      </c>
      <c r="C77" s="78">
        <f>'Catchment Area'!C81</f>
        <v>1032</v>
      </c>
      <c r="D77">
        <f t="shared" si="1"/>
        <v>206.4</v>
      </c>
      <c r="E77">
        <f t="shared" si="4"/>
        <v>1363.2</v>
      </c>
      <c r="F77" t="str">
        <f t="shared" si="5"/>
        <v> </v>
      </c>
      <c r="G77" s="123">
        <f t="shared" si="2"/>
        <v>0.03583333333</v>
      </c>
      <c r="H77">
        <f t="shared" si="3"/>
        <v>0.07166666667</v>
      </c>
    </row>
    <row r="78">
      <c r="A78" s="78" t="s">
        <v>265</v>
      </c>
      <c r="B78" s="78">
        <v>34.0</v>
      </c>
      <c r="C78" s="78">
        <f>'Catchment Area'!C82</f>
        <v>4080</v>
      </c>
      <c r="D78">
        <f t="shared" si="1"/>
        <v>816</v>
      </c>
      <c r="E78">
        <f t="shared" si="4"/>
        <v>2179.2</v>
      </c>
      <c r="F78" t="str">
        <f t="shared" si="5"/>
        <v> </v>
      </c>
      <c r="G78" s="123">
        <f t="shared" si="2"/>
        <v>0.1416666667</v>
      </c>
      <c r="H78">
        <f t="shared" si="3"/>
        <v>0.2833333333</v>
      </c>
    </row>
    <row r="79">
      <c r="A79" s="78" t="s">
        <v>267</v>
      </c>
      <c r="B79" s="78">
        <v>52.4</v>
      </c>
      <c r="C79" s="78">
        <f>'Catchment Area'!C83</f>
        <v>6288</v>
      </c>
      <c r="D79">
        <f t="shared" si="1"/>
        <v>1257.6</v>
      </c>
      <c r="E79">
        <f t="shared" si="4"/>
        <v>1257.6</v>
      </c>
      <c r="F79">
        <f t="shared" si="5"/>
        <v>1</v>
      </c>
      <c r="G79" s="123">
        <f t="shared" si="2"/>
        <v>0.2183333333</v>
      </c>
      <c r="H79">
        <f t="shared" si="3"/>
        <v>0.4366666667</v>
      </c>
    </row>
    <row r="80">
      <c r="A80" s="78" t="s">
        <v>269</v>
      </c>
      <c r="B80" s="78">
        <v>10.6</v>
      </c>
      <c r="C80" s="78">
        <f>'Catchment Area'!C84</f>
        <v>1272</v>
      </c>
      <c r="D80">
        <f t="shared" si="1"/>
        <v>254.4</v>
      </c>
      <c r="E80">
        <f t="shared" si="4"/>
        <v>1512</v>
      </c>
      <c r="F80" t="str">
        <f t="shared" si="5"/>
        <v> </v>
      </c>
      <c r="G80" s="123">
        <f t="shared" si="2"/>
        <v>0.04416666667</v>
      </c>
      <c r="H80">
        <f t="shared" si="3"/>
        <v>0.08833333333</v>
      </c>
    </row>
    <row r="81">
      <c r="A81" s="78" t="s">
        <v>271</v>
      </c>
      <c r="B81" s="78">
        <v>2.4</v>
      </c>
      <c r="C81" s="78">
        <f>'Catchment Area'!C85</f>
        <v>288</v>
      </c>
      <c r="D81">
        <f t="shared" si="1"/>
        <v>57.6</v>
      </c>
      <c r="E81">
        <f t="shared" si="4"/>
        <v>1569.6</v>
      </c>
      <c r="F81" t="str">
        <f t="shared" si="5"/>
        <v> </v>
      </c>
      <c r="G81" s="123">
        <f t="shared" si="2"/>
        <v>0.01</v>
      </c>
      <c r="H81">
        <f t="shared" si="3"/>
        <v>0.02</v>
      </c>
    </row>
    <row r="82">
      <c r="A82" s="78" t="s">
        <v>273</v>
      </c>
      <c r="B82" s="78">
        <v>0.0</v>
      </c>
      <c r="C82" s="78">
        <f>'Catchment Area'!C86</f>
        <v>0</v>
      </c>
      <c r="D82">
        <f t="shared" si="1"/>
        <v>0</v>
      </c>
      <c r="E82">
        <f t="shared" si="4"/>
        <v>1569.6</v>
      </c>
      <c r="F82" t="str">
        <f t="shared" si="5"/>
        <v> </v>
      </c>
      <c r="G82" s="123">
        <f t="shared" si="2"/>
        <v>0</v>
      </c>
      <c r="H82">
        <f t="shared" si="3"/>
        <v>0</v>
      </c>
    </row>
    <row r="83">
      <c r="A83" s="78" t="s">
        <v>275</v>
      </c>
      <c r="B83" s="78">
        <v>2.8</v>
      </c>
      <c r="C83" s="78">
        <f>'Catchment Area'!C87</f>
        <v>336</v>
      </c>
      <c r="D83">
        <f t="shared" si="1"/>
        <v>67.2</v>
      </c>
      <c r="E83">
        <f t="shared" si="4"/>
        <v>1636.8</v>
      </c>
      <c r="F83" t="str">
        <f t="shared" si="5"/>
        <v> </v>
      </c>
      <c r="G83" s="123">
        <f t="shared" si="2"/>
        <v>0.01166666667</v>
      </c>
      <c r="H83">
        <f t="shared" si="3"/>
        <v>0.02333333333</v>
      </c>
    </row>
    <row r="84">
      <c r="A84" s="78" t="s">
        <v>277</v>
      </c>
      <c r="B84" s="78">
        <v>20.2</v>
      </c>
      <c r="C84" s="78">
        <f>'Catchment Area'!C88</f>
        <v>2424</v>
      </c>
      <c r="D84">
        <f t="shared" si="1"/>
        <v>484.8</v>
      </c>
      <c r="E84">
        <f t="shared" si="4"/>
        <v>2121.6</v>
      </c>
      <c r="F84" t="str">
        <f t="shared" si="5"/>
        <v> </v>
      </c>
      <c r="G84" s="123">
        <f t="shared" si="2"/>
        <v>0.08416666667</v>
      </c>
      <c r="H84">
        <f t="shared" si="3"/>
        <v>0.1683333333</v>
      </c>
    </row>
    <row r="85">
      <c r="A85" s="78" t="s">
        <v>279</v>
      </c>
      <c r="B85" s="78">
        <v>13.8</v>
      </c>
      <c r="C85" s="78">
        <f>'Catchment Area'!C89</f>
        <v>1656</v>
      </c>
      <c r="D85">
        <f t="shared" si="1"/>
        <v>331.2</v>
      </c>
      <c r="E85">
        <f t="shared" si="4"/>
        <v>2452.8</v>
      </c>
      <c r="F85" t="str">
        <f t="shared" si="5"/>
        <v> </v>
      </c>
      <c r="G85" s="123">
        <f t="shared" si="2"/>
        <v>0.0575</v>
      </c>
      <c r="H85">
        <f t="shared" si="3"/>
        <v>0.115</v>
      </c>
    </row>
    <row r="86">
      <c r="A86" s="78" t="s">
        <v>281</v>
      </c>
      <c r="B86" s="78">
        <v>22.8</v>
      </c>
      <c r="C86" s="78">
        <f>'Catchment Area'!C90</f>
        <v>2736</v>
      </c>
      <c r="D86">
        <f t="shared" si="1"/>
        <v>547.2</v>
      </c>
      <c r="E86">
        <f t="shared" si="4"/>
        <v>547.2</v>
      </c>
      <c r="F86">
        <f t="shared" si="5"/>
        <v>1</v>
      </c>
      <c r="G86" s="123">
        <f t="shared" si="2"/>
        <v>0.095</v>
      </c>
      <c r="H86">
        <f t="shared" si="3"/>
        <v>0.19</v>
      </c>
    </row>
    <row r="87">
      <c r="A87" s="78" t="s">
        <v>283</v>
      </c>
      <c r="B87" s="78">
        <v>5.4</v>
      </c>
      <c r="C87" s="78">
        <f>'Catchment Area'!C91</f>
        <v>648</v>
      </c>
      <c r="D87">
        <f t="shared" si="1"/>
        <v>129.6</v>
      </c>
      <c r="E87">
        <f t="shared" si="4"/>
        <v>676.8</v>
      </c>
      <c r="F87" t="str">
        <f t="shared" si="5"/>
        <v> </v>
      </c>
      <c r="G87" s="123">
        <f t="shared" si="2"/>
        <v>0.0225</v>
      </c>
      <c r="H87">
        <f t="shared" si="3"/>
        <v>0.045</v>
      </c>
    </row>
    <row r="88">
      <c r="A88" s="78" t="s">
        <v>285</v>
      </c>
      <c r="B88" s="78">
        <v>0.4</v>
      </c>
      <c r="C88" s="78">
        <f>'Catchment Area'!C92</f>
        <v>48</v>
      </c>
      <c r="D88">
        <f t="shared" si="1"/>
        <v>9.6</v>
      </c>
      <c r="E88">
        <f t="shared" si="4"/>
        <v>686.4</v>
      </c>
      <c r="F88" t="str">
        <f t="shared" si="5"/>
        <v> </v>
      </c>
      <c r="G88" s="123">
        <f t="shared" si="2"/>
        <v>0.001666666667</v>
      </c>
      <c r="H88">
        <f t="shared" si="3"/>
        <v>0.003333333333</v>
      </c>
    </row>
    <row r="89">
      <c r="A89" s="78" t="s">
        <v>287</v>
      </c>
      <c r="B89" s="78">
        <v>31.0</v>
      </c>
      <c r="C89" s="78">
        <f>'Catchment Area'!C93</f>
        <v>3720</v>
      </c>
      <c r="D89">
        <f t="shared" si="1"/>
        <v>744</v>
      </c>
      <c r="E89">
        <f t="shared" si="4"/>
        <v>1430.4</v>
      </c>
      <c r="F89" t="str">
        <f t="shared" si="5"/>
        <v> </v>
      </c>
      <c r="G89" s="123">
        <f t="shared" si="2"/>
        <v>0.1291666667</v>
      </c>
      <c r="H89">
        <f t="shared" si="3"/>
        <v>0.2583333333</v>
      </c>
    </row>
    <row r="90">
      <c r="A90" s="78" t="s">
        <v>289</v>
      </c>
      <c r="B90" s="78">
        <v>1.6</v>
      </c>
      <c r="C90" s="78">
        <f>'Catchment Area'!C94</f>
        <v>192</v>
      </c>
      <c r="D90">
        <f t="shared" si="1"/>
        <v>38.4</v>
      </c>
      <c r="E90">
        <f t="shared" si="4"/>
        <v>1468.8</v>
      </c>
      <c r="F90" t="str">
        <f t="shared" si="5"/>
        <v> </v>
      </c>
      <c r="G90" s="123">
        <f t="shared" si="2"/>
        <v>0.006666666667</v>
      </c>
      <c r="H90">
        <f t="shared" si="3"/>
        <v>0.01333333333</v>
      </c>
    </row>
    <row r="91">
      <c r="A91" s="78" t="s">
        <v>291</v>
      </c>
      <c r="B91" s="78">
        <v>1.6</v>
      </c>
      <c r="C91" s="78">
        <f>'Catchment Area'!C95</f>
        <v>192</v>
      </c>
      <c r="D91">
        <f t="shared" si="1"/>
        <v>38.4</v>
      </c>
      <c r="E91">
        <f t="shared" si="4"/>
        <v>1507.2</v>
      </c>
      <c r="F91" t="str">
        <f t="shared" si="5"/>
        <v> </v>
      </c>
      <c r="G91" s="123">
        <f t="shared" si="2"/>
        <v>0.006666666667</v>
      </c>
      <c r="H91">
        <f t="shared" si="3"/>
        <v>0.01333333333</v>
      </c>
    </row>
    <row r="92">
      <c r="A92" s="78" t="s">
        <v>293</v>
      </c>
      <c r="B92" s="78">
        <v>7.6</v>
      </c>
      <c r="C92" s="78">
        <f>'Catchment Area'!C96</f>
        <v>912</v>
      </c>
      <c r="D92">
        <f t="shared" si="1"/>
        <v>182.4</v>
      </c>
      <c r="E92">
        <f t="shared" si="4"/>
        <v>1689.6</v>
      </c>
      <c r="F92" t="str">
        <f t="shared" si="5"/>
        <v> </v>
      </c>
      <c r="G92" s="123">
        <f t="shared" si="2"/>
        <v>0.03166666667</v>
      </c>
      <c r="H92">
        <f t="shared" si="3"/>
        <v>0.06333333333</v>
      </c>
    </row>
    <row r="93">
      <c r="A93" s="78" t="s">
        <v>295</v>
      </c>
      <c r="B93" s="78">
        <v>2.6</v>
      </c>
      <c r="C93" s="78">
        <f>'Catchment Area'!C97</f>
        <v>312</v>
      </c>
      <c r="D93">
        <f t="shared" si="1"/>
        <v>62.4</v>
      </c>
      <c r="E93">
        <f t="shared" si="4"/>
        <v>1752</v>
      </c>
      <c r="F93" t="str">
        <f t="shared" si="5"/>
        <v> </v>
      </c>
      <c r="G93" s="123">
        <f t="shared" si="2"/>
        <v>0.01083333333</v>
      </c>
      <c r="H93">
        <f t="shared" si="3"/>
        <v>0.02166666667</v>
      </c>
    </row>
    <row r="94">
      <c r="A94" s="78" t="s">
        <v>297</v>
      </c>
      <c r="B94" s="78">
        <v>0.0</v>
      </c>
      <c r="C94" s="78">
        <f>'Catchment Area'!C98</f>
        <v>0</v>
      </c>
      <c r="D94">
        <f t="shared" si="1"/>
        <v>0</v>
      </c>
      <c r="E94">
        <f t="shared" si="4"/>
        <v>1752</v>
      </c>
      <c r="F94" t="str">
        <f t="shared" si="5"/>
        <v> </v>
      </c>
      <c r="G94" s="123">
        <f t="shared" si="2"/>
        <v>0</v>
      </c>
      <c r="H94">
        <f t="shared" si="3"/>
        <v>0</v>
      </c>
    </row>
    <row r="95">
      <c r="A95" s="78" t="s">
        <v>299</v>
      </c>
      <c r="B95" s="78">
        <v>4.0</v>
      </c>
      <c r="C95" s="78">
        <f>'Catchment Area'!C99</f>
        <v>480</v>
      </c>
      <c r="D95">
        <f t="shared" si="1"/>
        <v>96</v>
      </c>
      <c r="E95">
        <f t="shared" si="4"/>
        <v>1848</v>
      </c>
      <c r="F95" t="str">
        <f t="shared" si="5"/>
        <v> </v>
      </c>
      <c r="G95" s="123">
        <f t="shared" si="2"/>
        <v>0.01666666667</v>
      </c>
      <c r="H95">
        <f t="shared" si="3"/>
        <v>0.03333333333</v>
      </c>
    </row>
    <row r="96">
      <c r="A96" s="78" t="s">
        <v>301</v>
      </c>
      <c r="B96" s="78">
        <v>31.0</v>
      </c>
      <c r="C96" s="78">
        <f>'Catchment Area'!C100</f>
        <v>3720</v>
      </c>
      <c r="D96">
        <f t="shared" si="1"/>
        <v>744</v>
      </c>
      <c r="E96">
        <f t="shared" si="4"/>
        <v>2592</v>
      </c>
      <c r="F96" t="str">
        <f t="shared" si="5"/>
        <v> </v>
      </c>
      <c r="G96" s="123">
        <f t="shared" si="2"/>
        <v>0.1291666667</v>
      </c>
      <c r="H96">
        <f t="shared" si="3"/>
        <v>0.2583333333</v>
      </c>
    </row>
    <row r="97">
      <c r="A97" s="78" t="s">
        <v>303</v>
      </c>
      <c r="B97" s="78">
        <v>0.2</v>
      </c>
      <c r="C97" s="78">
        <f>'Catchment Area'!C101</f>
        <v>24</v>
      </c>
      <c r="D97">
        <f t="shared" si="1"/>
        <v>4.8</v>
      </c>
      <c r="E97">
        <f t="shared" si="4"/>
        <v>2596.8</v>
      </c>
      <c r="F97" t="str">
        <f t="shared" si="5"/>
        <v> </v>
      </c>
      <c r="G97" s="123">
        <f t="shared" si="2"/>
        <v>0.0008333333333</v>
      </c>
      <c r="H97">
        <f t="shared" si="3"/>
        <v>0.001666666667</v>
      </c>
    </row>
    <row r="98">
      <c r="A98" s="78" t="s">
        <v>305</v>
      </c>
      <c r="B98" s="78">
        <v>4.4</v>
      </c>
      <c r="C98" s="78">
        <f>'Catchment Area'!C102</f>
        <v>528</v>
      </c>
      <c r="D98">
        <f t="shared" si="1"/>
        <v>105.6</v>
      </c>
      <c r="E98">
        <f t="shared" si="4"/>
        <v>2702.4</v>
      </c>
      <c r="F98" t="str">
        <f t="shared" si="5"/>
        <v> </v>
      </c>
      <c r="G98" s="123">
        <f t="shared" si="2"/>
        <v>0.01833333333</v>
      </c>
      <c r="H98">
        <f t="shared" si="3"/>
        <v>0.03666666667</v>
      </c>
    </row>
    <row r="99">
      <c r="A99" s="78" t="s">
        <v>307</v>
      </c>
      <c r="B99" s="78">
        <v>23.6</v>
      </c>
      <c r="C99" s="78">
        <f>'Catchment Area'!C103</f>
        <v>2832</v>
      </c>
      <c r="D99">
        <f t="shared" si="1"/>
        <v>566.4</v>
      </c>
      <c r="E99">
        <f t="shared" si="4"/>
        <v>566.4</v>
      </c>
      <c r="F99">
        <f t="shared" si="5"/>
        <v>1</v>
      </c>
      <c r="G99" s="123">
        <f t="shared" si="2"/>
        <v>0.09833333333</v>
      </c>
      <c r="H99">
        <f t="shared" si="3"/>
        <v>0.1966666667</v>
      </c>
    </row>
    <row r="100">
      <c r="A100" s="78" t="s">
        <v>309</v>
      </c>
      <c r="B100" s="78">
        <v>41.6</v>
      </c>
      <c r="C100" s="78">
        <f>'Catchment Area'!C104</f>
        <v>4992</v>
      </c>
      <c r="D100">
        <f t="shared" si="1"/>
        <v>998.4</v>
      </c>
      <c r="E100">
        <f t="shared" si="4"/>
        <v>1564.8</v>
      </c>
      <c r="F100" t="str">
        <f t="shared" si="5"/>
        <v> </v>
      </c>
      <c r="G100" s="123">
        <f t="shared" si="2"/>
        <v>0.1733333333</v>
      </c>
      <c r="H100">
        <f t="shared" si="3"/>
        <v>0.3466666667</v>
      </c>
    </row>
    <row r="101">
      <c r="A101" s="78" t="s">
        <v>311</v>
      </c>
      <c r="B101" s="78">
        <v>3.0</v>
      </c>
      <c r="C101" s="78">
        <f>'Catchment Area'!C105</f>
        <v>360</v>
      </c>
      <c r="D101">
        <f t="shared" si="1"/>
        <v>72</v>
      </c>
      <c r="E101">
        <f t="shared" si="4"/>
        <v>1636.8</v>
      </c>
      <c r="F101" t="str">
        <f t="shared" si="5"/>
        <v> </v>
      </c>
      <c r="G101" s="123">
        <f t="shared" si="2"/>
        <v>0.0125</v>
      </c>
      <c r="H101">
        <f t="shared" si="3"/>
        <v>0.025</v>
      </c>
    </row>
    <row r="102">
      <c r="A102" s="78" t="s">
        <v>313</v>
      </c>
      <c r="B102" s="78">
        <v>0.0</v>
      </c>
      <c r="C102" s="78">
        <f>'Catchment Area'!C106</f>
        <v>0</v>
      </c>
      <c r="D102">
        <f t="shared" si="1"/>
        <v>0</v>
      </c>
      <c r="E102">
        <f t="shared" si="4"/>
        <v>1636.8</v>
      </c>
      <c r="F102" t="str">
        <f t="shared" si="5"/>
        <v> </v>
      </c>
      <c r="G102" s="123">
        <f t="shared" si="2"/>
        <v>0</v>
      </c>
      <c r="H102">
        <f t="shared" si="3"/>
        <v>0</v>
      </c>
    </row>
    <row r="103">
      <c r="A103" s="78" t="s">
        <v>315</v>
      </c>
      <c r="B103" s="78">
        <v>0.0</v>
      </c>
      <c r="C103" s="78">
        <f>'Catchment Area'!C107</f>
        <v>0</v>
      </c>
      <c r="D103">
        <f t="shared" si="1"/>
        <v>0</v>
      </c>
      <c r="E103">
        <f t="shared" si="4"/>
        <v>1636.8</v>
      </c>
      <c r="F103" t="str">
        <f t="shared" si="5"/>
        <v> </v>
      </c>
      <c r="G103" s="123">
        <f t="shared" si="2"/>
        <v>0</v>
      </c>
      <c r="H103">
        <f t="shared" si="3"/>
        <v>0</v>
      </c>
    </row>
    <row r="104">
      <c r="A104" s="78" t="s">
        <v>317</v>
      </c>
      <c r="B104" s="78">
        <v>5.6</v>
      </c>
      <c r="C104" s="78">
        <f>'Catchment Area'!C108</f>
        <v>672</v>
      </c>
      <c r="D104">
        <f t="shared" si="1"/>
        <v>134.4</v>
      </c>
      <c r="E104">
        <f t="shared" si="4"/>
        <v>1771.2</v>
      </c>
      <c r="F104" t="str">
        <f t="shared" si="5"/>
        <v> </v>
      </c>
      <c r="G104" s="123">
        <f t="shared" si="2"/>
        <v>0.02333333333</v>
      </c>
      <c r="H104">
        <f t="shared" si="3"/>
        <v>0.04666666667</v>
      </c>
    </row>
    <row r="105">
      <c r="A105" s="78" t="s">
        <v>319</v>
      </c>
      <c r="B105" s="78">
        <v>20.4</v>
      </c>
      <c r="C105" s="78">
        <f>'Catchment Area'!C109</f>
        <v>2448</v>
      </c>
      <c r="D105">
        <f t="shared" si="1"/>
        <v>489.6</v>
      </c>
      <c r="E105">
        <f t="shared" si="4"/>
        <v>2260.8</v>
      </c>
      <c r="F105" t="str">
        <f t="shared" si="5"/>
        <v> </v>
      </c>
      <c r="G105" s="123">
        <f t="shared" si="2"/>
        <v>0.085</v>
      </c>
      <c r="H105">
        <f t="shared" si="3"/>
        <v>0.17</v>
      </c>
    </row>
    <row r="106">
      <c r="A106" s="78" t="s">
        <v>321</v>
      </c>
      <c r="B106" s="78">
        <v>2.6</v>
      </c>
      <c r="C106" s="78">
        <f>'Catchment Area'!C110</f>
        <v>312</v>
      </c>
      <c r="D106">
        <f t="shared" si="1"/>
        <v>62.4</v>
      </c>
      <c r="E106">
        <f t="shared" si="4"/>
        <v>2323.2</v>
      </c>
      <c r="F106" t="str">
        <f t="shared" si="5"/>
        <v> </v>
      </c>
      <c r="G106" s="123">
        <f t="shared" si="2"/>
        <v>0.01083333333</v>
      </c>
      <c r="H106">
        <f t="shared" si="3"/>
        <v>0.02166666667</v>
      </c>
    </row>
    <row r="107">
      <c r="A107" s="78" t="s">
        <v>323</v>
      </c>
      <c r="B107" s="78">
        <v>15.9</v>
      </c>
      <c r="C107" s="78">
        <f>'Catchment Area'!C111</f>
        <v>1908</v>
      </c>
      <c r="D107">
        <f t="shared" si="1"/>
        <v>381.6</v>
      </c>
      <c r="E107">
        <f t="shared" si="4"/>
        <v>2704.8</v>
      </c>
      <c r="F107" t="str">
        <f t="shared" si="5"/>
        <v> </v>
      </c>
      <c r="G107" s="123">
        <f t="shared" si="2"/>
        <v>0.06625</v>
      </c>
      <c r="H107">
        <f t="shared" si="3"/>
        <v>0.1325</v>
      </c>
    </row>
    <row r="108">
      <c r="A108" s="78" t="s">
        <v>325</v>
      </c>
      <c r="B108" s="78">
        <v>9.4</v>
      </c>
      <c r="C108" s="78">
        <f>'Catchment Area'!C112</f>
        <v>1128</v>
      </c>
      <c r="D108">
        <f t="shared" si="1"/>
        <v>225.6</v>
      </c>
      <c r="E108">
        <f t="shared" si="4"/>
        <v>2930.4</v>
      </c>
      <c r="F108" t="str">
        <f t="shared" si="5"/>
        <v> </v>
      </c>
      <c r="G108" s="123">
        <f t="shared" si="2"/>
        <v>0.03916666667</v>
      </c>
      <c r="H108">
        <f t="shared" si="3"/>
        <v>0.07833333333</v>
      </c>
    </row>
    <row r="109">
      <c r="A109" s="78" t="s">
        <v>327</v>
      </c>
      <c r="B109" s="78">
        <v>13.6</v>
      </c>
      <c r="C109" s="78">
        <f>'Catchment Area'!C113</f>
        <v>1632</v>
      </c>
      <c r="D109">
        <f t="shared" si="1"/>
        <v>326.4</v>
      </c>
      <c r="E109">
        <f t="shared" si="4"/>
        <v>326.4</v>
      </c>
      <c r="F109">
        <f t="shared" si="5"/>
        <v>1</v>
      </c>
      <c r="G109" s="123">
        <f t="shared" si="2"/>
        <v>0.05666666667</v>
      </c>
      <c r="H109">
        <f t="shared" si="3"/>
        <v>0.1133333333</v>
      </c>
    </row>
    <row r="110">
      <c r="A110" s="78" t="s">
        <v>329</v>
      </c>
      <c r="B110" s="78">
        <v>5.6</v>
      </c>
      <c r="C110" s="78">
        <f>'Catchment Area'!C114</f>
        <v>672</v>
      </c>
      <c r="D110">
        <f t="shared" si="1"/>
        <v>134.4</v>
      </c>
      <c r="E110">
        <f t="shared" si="4"/>
        <v>460.8</v>
      </c>
      <c r="F110" t="str">
        <f t="shared" si="5"/>
        <v> </v>
      </c>
      <c r="G110" s="123">
        <f t="shared" si="2"/>
        <v>0.02333333333</v>
      </c>
      <c r="H110">
        <f t="shared" si="3"/>
        <v>0.04666666667</v>
      </c>
    </row>
    <row r="111">
      <c r="A111" s="78" t="s">
        <v>331</v>
      </c>
      <c r="B111" s="78">
        <v>0.0</v>
      </c>
      <c r="C111" s="78">
        <f>'Catchment Area'!C115</f>
        <v>0</v>
      </c>
      <c r="D111">
        <f t="shared" si="1"/>
        <v>0</v>
      </c>
      <c r="E111">
        <f t="shared" si="4"/>
        <v>460.8</v>
      </c>
      <c r="F111" t="str">
        <f t="shared" si="5"/>
        <v> </v>
      </c>
      <c r="G111" s="123">
        <f t="shared" si="2"/>
        <v>0</v>
      </c>
      <c r="H111">
        <f t="shared" si="3"/>
        <v>0</v>
      </c>
    </row>
    <row r="112">
      <c r="A112" s="78" t="s">
        <v>333</v>
      </c>
      <c r="B112" s="78">
        <v>16.6</v>
      </c>
      <c r="C112" s="78">
        <f>'Catchment Area'!C116</f>
        <v>1992</v>
      </c>
      <c r="D112">
        <f t="shared" si="1"/>
        <v>398.4</v>
      </c>
      <c r="E112">
        <f t="shared" si="4"/>
        <v>859.2</v>
      </c>
      <c r="F112" t="str">
        <f t="shared" si="5"/>
        <v> </v>
      </c>
      <c r="G112" s="123">
        <f t="shared" si="2"/>
        <v>0.06916666667</v>
      </c>
      <c r="H112">
        <f t="shared" si="3"/>
        <v>0.1383333333</v>
      </c>
    </row>
    <row r="113">
      <c r="A113" s="78" t="s">
        <v>335</v>
      </c>
      <c r="B113" s="78">
        <v>0.0</v>
      </c>
      <c r="C113" s="78">
        <f>'Catchment Area'!C117</f>
        <v>0</v>
      </c>
      <c r="D113">
        <f t="shared" si="1"/>
        <v>0</v>
      </c>
      <c r="E113">
        <f t="shared" si="4"/>
        <v>859.2</v>
      </c>
      <c r="F113" t="str">
        <f t="shared" si="5"/>
        <v> </v>
      </c>
      <c r="G113" s="123">
        <f t="shared" si="2"/>
        <v>0</v>
      </c>
      <c r="H113">
        <f t="shared" si="3"/>
        <v>0</v>
      </c>
    </row>
    <row r="114">
      <c r="A114" s="78" t="s">
        <v>337</v>
      </c>
      <c r="B114" s="78">
        <v>0.0</v>
      </c>
      <c r="C114" s="78">
        <f>'Catchment Area'!C118</f>
        <v>0</v>
      </c>
      <c r="D114">
        <f t="shared" si="1"/>
        <v>0</v>
      </c>
      <c r="E114">
        <f t="shared" si="4"/>
        <v>859.2</v>
      </c>
      <c r="F114" t="str">
        <f t="shared" si="5"/>
        <v> </v>
      </c>
      <c r="G114" s="123">
        <f t="shared" si="2"/>
        <v>0</v>
      </c>
      <c r="H114">
        <f t="shared" si="3"/>
        <v>0</v>
      </c>
    </row>
    <row r="115">
      <c r="A115" s="78" t="s">
        <v>339</v>
      </c>
      <c r="B115" s="78">
        <v>0.0</v>
      </c>
      <c r="C115" s="78">
        <f>'Catchment Area'!C119</f>
        <v>0</v>
      </c>
      <c r="D115">
        <f t="shared" si="1"/>
        <v>0</v>
      </c>
      <c r="E115">
        <f t="shared" si="4"/>
        <v>859.2</v>
      </c>
      <c r="F115" t="str">
        <f t="shared" si="5"/>
        <v> </v>
      </c>
      <c r="G115" s="123">
        <f t="shared" si="2"/>
        <v>0</v>
      </c>
      <c r="H115">
        <f t="shared" si="3"/>
        <v>0</v>
      </c>
    </row>
    <row r="116">
      <c r="A116" s="78" t="s">
        <v>341</v>
      </c>
      <c r="B116" s="78">
        <v>14.8</v>
      </c>
      <c r="C116" s="78">
        <f>'Catchment Area'!C120</f>
        <v>1776</v>
      </c>
      <c r="D116">
        <f t="shared" si="1"/>
        <v>355.2</v>
      </c>
      <c r="E116">
        <f t="shared" si="4"/>
        <v>1214.4</v>
      </c>
      <c r="F116" t="str">
        <f t="shared" si="5"/>
        <v> </v>
      </c>
      <c r="G116" s="123">
        <f t="shared" si="2"/>
        <v>0.06166666667</v>
      </c>
      <c r="H116">
        <f t="shared" si="3"/>
        <v>0.1233333333</v>
      </c>
    </row>
    <row r="117">
      <c r="A117" s="78" t="s">
        <v>343</v>
      </c>
      <c r="B117" s="78">
        <v>20.8</v>
      </c>
      <c r="C117" s="78">
        <f>'Catchment Area'!C121</f>
        <v>2496</v>
      </c>
      <c r="D117">
        <f t="shared" si="1"/>
        <v>499.2</v>
      </c>
      <c r="E117">
        <f t="shared" si="4"/>
        <v>1713.6</v>
      </c>
      <c r="F117" t="str">
        <f t="shared" si="5"/>
        <v> </v>
      </c>
      <c r="G117" s="123">
        <f t="shared" si="2"/>
        <v>0.08666666667</v>
      </c>
      <c r="H117">
        <f t="shared" si="3"/>
        <v>0.1733333333</v>
      </c>
    </row>
    <row r="118">
      <c r="A118" s="78" t="s">
        <v>345</v>
      </c>
      <c r="B118" s="78">
        <v>37.4</v>
      </c>
      <c r="C118" s="78">
        <f>'Catchment Area'!C122</f>
        <v>4488</v>
      </c>
      <c r="D118">
        <f t="shared" si="1"/>
        <v>897.6</v>
      </c>
      <c r="E118">
        <f t="shared" si="4"/>
        <v>2611.2</v>
      </c>
      <c r="F118" t="str">
        <f t="shared" si="5"/>
        <v> </v>
      </c>
      <c r="G118" s="123">
        <f t="shared" si="2"/>
        <v>0.1558333333</v>
      </c>
      <c r="H118">
        <f t="shared" si="3"/>
        <v>0.3116666667</v>
      </c>
    </row>
    <row r="119">
      <c r="A119" s="78" t="s">
        <v>347</v>
      </c>
      <c r="B119" s="78">
        <v>9.8</v>
      </c>
      <c r="C119" s="78">
        <f>'Catchment Area'!C123</f>
        <v>1176</v>
      </c>
      <c r="D119">
        <f t="shared" si="1"/>
        <v>235.2</v>
      </c>
      <c r="E119">
        <f t="shared" si="4"/>
        <v>2846.4</v>
      </c>
      <c r="F119" t="str">
        <f t="shared" si="5"/>
        <v> </v>
      </c>
      <c r="G119" s="123">
        <f t="shared" si="2"/>
        <v>0.04083333333</v>
      </c>
      <c r="H119">
        <f t="shared" si="3"/>
        <v>0.08166666667</v>
      </c>
    </row>
    <row r="120">
      <c r="A120" s="78" t="s">
        <v>349</v>
      </c>
      <c r="B120" s="78">
        <v>1.9</v>
      </c>
      <c r="C120" s="78">
        <f>'Catchment Area'!C124</f>
        <v>228</v>
      </c>
      <c r="D120">
        <f t="shared" si="1"/>
        <v>45.6</v>
      </c>
      <c r="E120">
        <f t="shared" si="4"/>
        <v>2892</v>
      </c>
      <c r="F120" t="str">
        <f t="shared" si="5"/>
        <v> </v>
      </c>
      <c r="G120" s="123">
        <f t="shared" si="2"/>
        <v>0.007916666667</v>
      </c>
      <c r="H120">
        <f t="shared" si="3"/>
        <v>0.01583333333</v>
      </c>
    </row>
    <row r="121">
      <c r="A121" s="78" t="s">
        <v>351</v>
      </c>
      <c r="B121" s="78">
        <v>21.0</v>
      </c>
      <c r="C121" s="78">
        <f>'Catchment Area'!C125</f>
        <v>2520</v>
      </c>
      <c r="D121">
        <f t="shared" si="1"/>
        <v>504</v>
      </c>
      <c r="E121">
        <f t="shared" si="4"/>
        <v>504</v>
      </c>
      <c r="F121">
        <f t="shared" si="5"/>
        <v>1</v>
      </c>
      <c r="G121" s="123">
        <f t="shared" si="2"/>
        <v>0.0875</v>
      </c>
      <c r="H121">
        <f t="shared" si="3"/>
        <v>0.175</v>
      </c>
    </row>
    <row r="122">
      <c r="A122" s="78" t="s">
        <v>353</v>
      </c>
      <c r="B122" s="78">
        <v>30.0</v>
      </c>
      <c r="C122" s="78">
        <f>'Catchment Area'!C126</f>
        <v>3600</v>
      </c>
      <c r="D122">
        <f t="shared" si="1"/>
        <v>720</v>
      </c>
      <c r="E122">
        <f t="shared" si="4"/>
        <v>1224</v>
      </c>
      <c r="F122" t="str">
        <f t="shared" si="5"/>
        <v> </v>
      </c>
      <c r="G122" s="123">
        <f t="shared" si="2"/>
        <v>0.125</v>
      </c>
      <c r="H122">
        <f t="shared" si="3"/>
        <v>0.25</v>
      </c>
    </row>
    <row r="123">
      <c r="A123" s="78" t="s">
        <v>355</v>
      </c>
      <c r="B123" s="78">
        <v>0.0</v>
      </c>
      <c r="C123" s="78">
        <f>'Catchment Area'!C127</f>
        <v>0</v>
      </c>
      <c r="D123">
        <f t="shared" si="1"/>
        <v>0</v>
      </c>
      <c r="E123">
        <f t="shared" si="4"/>
        <v>1224</v>
      </c>
      <c r="F123" t="str">
        <f t="shared" si="5"/>
        <v> </v>
      </c>
      <c r="G123" s="123">
        <f t="shared" si="2"/>
        <v>0</v>
      </c>
      <c r="H123">
        <f t="shared" si="3"/>
        <v>0</v>
      </c>
    </row>
    <row r="124">
      <c r="A124" s="78" t="s">
        <v>357</v>
      </c>
      <c r="B124" s="78">
        <v>4.4</v>
      </c>
      <c r="C124" s="78">
        <f>'Catchment Area'!C128</f>
        <v>528</v>
      </c>
      <c r="D124">
        <f t="shared" si="1"/>
        <v>105.6</v>
      </c>
      <c r="E124">
        <f t="shared" si="4"/>
        <v>1329.6</v>
      </c>
      <c r="F124" t="str">
        <f t="shared" si="5"/>
        <v> </v>
      </c>
      <c r="G124" s="123">
        <f t="shared" si="2"/>
        <v>0.01833333333</v>
      </c>
      <c r="H124">
        <f t="shared" si="3"/>
        <v>0.03666666667</v>
      </c>
    </row>
    <row r="125">
      <c r="A125" s="78" t="s">
        <v>359</v>
      </c>
      <c r="B125" s="78">
        <v>12.8</v>
      </c>
      <c r="C125" s="78">
        <f>'Catchment Area'!C129</f>
        <v>1536</v>
      </c>
      <c r="D125">
        <f t="shared" si="1"/>
        <v>307.2</v>
      </c>
      <c r="E125">
        <f t="shared" si="4"/>
        <v>1636.8</v>
      </c>
      <c r="F125" t="str">
        <f t="shared" si="5"/>
        <v> </v>
      </c>
      <c r="G125" s="123">
        <f t="shared" si="2"/>
        <v>0.05333333333</v>
      </c>
      <c r="H125">
        <f t="shared" si="3"/>
        <v>0.1066666667</v>
      </c>
    </row>
    <row r="126">
      <c r="A126" s="78" t="s">
        <v>361</v>
      </c>
      <c r="B126" s="78">
        <v>26.0</v>
      </c>
      <c r="C126" s="78">
        <f>'Catchment Area'!C130</f>
        <v>3120</v>
      </c>
      <c r="D126">
        <f t="shared" si="1"/>
        <v>624</v>
      </c>
      <c r="E126">
        <f t="shared" si="4"/>
        <v>2260.8</v>
      </c>
      <c r="F126" t="str">
        <f t="shared" si="5"/>
        <v> </v>
      </c>
      <c r="G126" s="123">
        <f t="shared" si="2"/>
        <v>0.1083333333</v>
      </c>
      <c r="H126">
        <f t="shared" si="3"/>
        <v>0.2166666667</v>
      </c>
    </row>
    <row r="127">
      <c r="A127" s="78" t="s">
        <v>363</v>
      </c>
      <c r="B127" s="78">
        <v>1.8</v>
      </c>
      <c r="C127" s="78">
        <f>'Catchment Area'!C131</f>
        <v>216</v>
      </c>
      <c r="D127">
        <f t="shared" si="1"/>
        <v>43.2</v>
      </c>
      <c r="E127">
        <f t="shared" si="4"/>
        <v>2304</v>
      </c>
      <c r="F127" t="str">
        <f t="shared" si="5"/>
        <v> </v>
      </c>
      <c r="G127" s="123">
        <f t="shared" si="2"/>
        <v>0.0075</v>
      </c>
      <c r="H127">
        <f t="shared" si="3"/>
        <v>0.015</v>
      </c>
    </row>
    <row r="128">
      <c r="A128" s="78" t="s">
        <v>365</v>
      </c>
      <c r="B128" s="78">
        <v>35.0</v>
      </c>
      <c r="C128" s="78">
        <f>'Catchment Area'!C132</f>
        <v>4200</v>
      </c>
      <c r="D128">
        <f t="shared" si="1"/>
        <v>840</v>
      </c>
      <c r="E128">
        <f t="shared" si="4"/>
        <v>840</v>
      </c>
      <c r="F128">
        <f t="shared" si="5"/>
        <v>1</v>
      </c>
      <c r="G128" s="123">
        <f t="shared" si="2"/>
        <v>0.1458333333</v>
      </c>
      <c r="H128">
        <f t="shared" si="3"/>
        <v>0.2916666667</v>
      </c>
    </row>
    <row r="129">
      <c r="A129" s="78" t="s">
        <v>367</v>
      </c>
      <c r="B129" s="78">
        <v>7.2</v>
      </c>
      <c r="C129" s="78">
        <f>'Catchment Area'!C133</f>
        <v>864</v>
      </c>
      <c r="D129">
        <f t="shared" si="1"/>
        <v>172.8</v>
      </c>
      <c r="E129">
        <f t="shared" si="4"/>
        <v>1012.8</v>
      </c>
      <c r="F129" t="str">
        <f t="shared" si="5"/>
        <v> </v>
      </c>
      <c r="G129" s="123">
        <f t="shared" si="2"/>
        <v>0.03</v>
      </c>
      <c r="H129">
        <f t="shared" si="3"/>
        <v>0.06</v>
      </c>
    </row>
    <row r="130">
      <c r="A130" s="78" t="s">
        <v>369</v>
      </c>
      <c r="B130" s="78">
        <v>0.8</v>
      </c>
      <c r="C130" s="78">
        <f>'Catchment Area'!C134</f>
        <v>96</v>
      </c>
      <c r="D130">
        <f t="shared" si="1"/>
        <v>19.2</v>
      </c>
      <c r="E130">
        <f t="shared" si="4"/>
        <v>1032</v>
      </c>
      <c r="F130" t="str">
        <f t="shared" si="5"/>
        <v> </v>
      </c>
      <c r="G130" s="123">
        <f t="shared" si="2"/>
        <v>0.003333333333</v>
      </c>
      <c r="H130">
        <f t="shared" si="3"/>
        <v>0.006666666667</v>
      </c>
    </row>
    <row r="131">
      <c r="A131" s="78" t="s">
        <v>371</v>
      </c>
      <c r="B131" s="78">
        <v>0.1</v>
      </c>
      <c r="C131" s="78">
        <f>'Catchment Area'!C135</f>
        <v>12</v>
      </c>
      <c r="D131">
        <f t="shared" si="1"/>
        <v>2.4</v>
      </c>
      <c r="E131">
        <f t="shared" si="4"/>
        <v>1034.4</v>
      </c>
      <c r="F131" t="str">
        <f t="shared" si="5"/>
        <v> </v>
      </c>
      <c r="G131" s="123">
        <f t="shared" si="2"/>
        <v>0.0004166666667</v>
      </c>
      <c r="H131">
        <f t="shared" si="3"/>
        <v>0.0008333333333</v>
      </c>
    </row>
    <row r="132">
      <c r="A132" s="78" t="s">
        <v>373</v>
      </c>
      <c r="B132" s="78">
        <v>0.0</v>
      </c>
      <c r="C132" s="78">
        <f>'Catchment Area'!C136</f>
        <v>0</v>
      </c>
      <c r="D132">
        <f t="shared" si="1"/>
        <v>0</v>
      </c>
      <c r="E132">
        <f t="shared" si="4"/>
        <v>1034.4</v>
      </c>
      <c r="F132" t="str">
        <f t="shared" si="5"/>
        <v> </v>
      </c>
      <c r="G132" s="123">
        <f t="shared" si="2"/>
        <v>0</v>
      </c>
      <c r="H132">
        <f t="shared" si="3"/>
        <v>0</v>
      </c>
    </row>
    <row r="133">
      <c r="A133" s="78" t="s">
        <v>375</v>
      </c>
      <c r="B133" s="78">
        <v>0.0</v>
      </c>
      <c r="C133" s="78">
        <f>'Catchment Area'!C137</f>
        <v>0</v>
      </c>
      <c r="D133">
        <f t="shared" si="1"/>
        <v>0</v>
      </c>
      <c r="E133">
        <f t="shared" si="4"/>
        <v>1034.4</v>
      </c>
      <c r="F133" t="str">
        <f t="shared" si="5"/>
        <v> </v>
      </c>
      <c r="G133" s="123">
        <f t="shared" si="2"/>
        <v>0</v>
      </c>
      <c r="H133">
        <f t="shared" si="3"/>
        <v>0</v>
      </c>
    </row>
    <row r="134">
      <c r="A134" s="78" t="s">
        <v>377</v>
      </c>
      <c r="B134" s="78">
        <v>2.0</v>
      </c>
      <c r="C134" s="78">
        <f>'Catchment Area'!C138</f>
        <v>240</v>
      </c>
      <c r="D134">
        <f t="shared" si="1"/>
        <v>48</v>
      </c>
      <c r="E134">
        <f t="shared" si="4"/>
        <v>1082.4</v>
      </c>
      <c r="F134" t="str">
        <f t="shared" si="5"/>
        <v> </v>
      </c>
      <c r="G134" s="123">
        <f t="shared" si="2"/>
        <v>0.008333333333</v>
      </c>
      <c r="H134">
        <f t="shared" si="3"/>
        <v>0.01666666667</v>
      </c>
    </row>
    <row r="135">
      <c r="A135" s="78" t="s">
        <v>379</v>
      </c>
      <c r="B135" s="78">
        <v>4.6</v>
      </c>
      <c r="C135" s="78">
        <f>'Catchment Area'!C139</f>
        <v>552</v>
      </c>
      <c r="D135">
        <f t="shared" si="1"/>
        <v>110.4</v>
      </c>
      <c r="E135">
        <f t="shared" si="4"/>
        <v>1192.8</v>
      </c>
      <c r="F135" t="str">
        <f t="shared" si="5"/>
        <v> </v>
      </c>
      <c r="G135" s="123">
        <f t="shared" si="2"/>
        <v>0.01916666667</v>
      </c>
      <c r="H135">
        <f t="shared" si="3"/>
        <v>0.03833333333</v>
      </c>
    </row>
    <row r="136">
      <c r="A136" s="78" t="s">
        <v>381</v>
      </c>
      <c r="B136" s="78">
        <v>3.8</v>
      </c>
      <c r="C136" s="78">
        <f>'Catchment Area'!C140</f>
        <v>456</v>
      </c>
      <c r="D136">
        <f t="shared" si="1"/>
        <v>91.2</v>
      </c>
      <c r="E136">
        <f t="shared" si="4"/>
        <v>1284</v>
      </c>
      <c r="F136" t="str">
        <f t="shared" si="5"/>
        <v> </v>
      </c>
      <c r="G136" s="123">
        <f t="shared" si="2"/>
        <v>0.01583333333</v>
      </c>
      <c r="H136">
        <f t="shared" si="3"/>
        <v>0.03166666667</v>
      </c>
    </row>
    <row r="137">
      <c r="A137" s="78" t="s">
        <v>383</v>
      </c>
      <c r="B137" s="78">
        <v>0.0</v>
      </c>
      <c r="C137" s="78">
        <f>'Catchment Area'!C141</f>
        <v>0</v>
      </c>
      <c r="D137">
        <f t="shared" si="1"/>
        <v>0</v>
      </c>
      <c r="E137">
        <f t="shared" si="4"/>
        <v>1284</v>
      </c>
      <c r="F137" t="str">
        <f t="shared" si="5"/>
        <v> </v>
      </c>
      <c r="G137" s="123">
        <f t="shared" si="2"/>
        <v>0</v>
      </c>
      <c r="H137">
        <f t="shared" si="3"/>
        <v>0</v>
      </c>
    </row>
    <row r="138">
      <c r="A138" s="78" t="s">
        <v>385</v>
      </c>
      <c r="B138" s="78">
        <v>0.0</v>
      </c>
      <c r="C138" s="78">
        <f>'Catchment Area'!C142</f>
        <v>0</v>
      </c>
      <c r="D138">
        <f t="shared" si="1"/>
        <v>0</v>
      </c>
      <c r="E138">
        <f t="shared" si="4"/>
        <v>1284</v>
      </c>
      <c r="F138" t="str">
        <f t="shared" si="5"/>
        <v> </v>
      </c>
      <c r="G138" s="123">
        <f t="shared" si="2"/>
        <v>0</v>
      </c>
      <c r="H138">
        <f t="shared" si="3"/>
        <v>0</v>
      </c>
    </row>
    <row r="139">
      <c r="A139" s="78" t="s">
        <v>387</v>
      </c>
      <c r="B139" s="78">
        <v>0.0</v>
      </c>
      <c r="C139" s="78">
        <f>'Catchment Area'!C143</f>
        <v>0</v>
      </c>
      <c r="D139">
        <f t="shared" si="1"/>
        <v>0</v>
      </c>
      <c r="E139">
        <f t="shared" si="4"/>
        <v>1284</v>
      </c>
      <c r="F139" t="str">
        <f t="shared" si="5"/>
        <v> </v>
      </c>
      <c r="G139" s="123">
        <f t="shared" si="2"/>
        <v>0</v>
      </c>
      <c r="H139">
        <f t="shared" si="3"/>
        <v>0</v>
      </c>
    </row>
    <row r="140">
      <c r="A140" s="78" t="s">
        <v>389</v>
      </c>
      <c r="B140" s="78">
        <v>0.0</v>
      </c>
      <c r="C140" s="78">
        <f>'Catchment Area'!C144</f>
        <v>0</v>
      </c>
      <c r="D140">
        <f t="shared" si="1"/>
        <v>0</v>
      </c>
      <c r="E140">
        <f t="shared" si="4"/>
        <v>1284</v>
      </c>
      <c r="F140" t="str">
        <f t="shared" si="5"/>
        <v> </v>
      </c>
      <c r="G140" s="123">
        <f t="shared" si="2"/>
        <v>0</v>
      </c>
      <c r="H140">
        <f t="shared" si="3"/>
        <v>0</v>
      </c>
    </row>
    <row r="141">
      <c r="A141" s="78" t="s">
        <v>391</v>
      </c>
      <c r="B141" s="78">
        <v>0.0</v>
      </c>
      <c r="C141" s="78">
        <f>'Catchment Area'!C145</f>
        <v>0</v>
      </c>
      <c r="D141">
        <f t="shared" si="1"/>
        <v>0</v>
      </c>
      <c r="E141">
        <f t="shared" si="4"/>
        <v>1284</v>
      </c>
      <c r="F141" t="str">
        <f t="shared" si="5"/>
        <v> </v>
      </c>
      <c r="G141" s="123">
        <f t="shared" si="2"/>
        <v>0</v>
      </c>
      <c r="H141">
        <f t="shared" si="3"/>
        <v>0</v>
      </c>
    </row>
    <row r="142">
      <c r="A142" s="78" t="s">
        <v>393</v>
      </c>
      <c r="B142" s="78">
        <v>0.2</v>
      </c>
      <c r="C142" s="78">
        <f>'Catchment Area'!C146</f>
        <v>24</v>
      </c>
      <c r="D142">
        <f t="shared" si="1"/>
        <v>4.8</v>
      </c>
      <c r="E142">
        <f t="shared" si="4"/>
        <v>1288.8</v>
      </c>
      <c r="F142" t="str">
        <f t="shared" si="5"/>
        <v> </v>
      </c>
      <c r="G142" s="123">
        <f t="shared" si="2"/>
        <v>0.0008333333333</v>
      </c>
      <c r="H142">
        <f t="shared" si="3"/>
        <v>0.001666666667</v>
      </c>
    </row>
    <row r="143">
      <c r="A143" s="78" t="s">
        <v>395</v>
      </c>
      <c r="B143" s="78">
        <v>0.0</v>
      </c>
      <c r="C143" s="78">
        <f>'Catchment Area'!C147</f>
        <v>0</v>
      </c>
      <c r="D143">
        <f t="shared" si="1"/>
        <v>0</v>
      </c>
      <c r="E143">
        <f t="shared" si="4"/>
        <v>1288.8</v>
      </c>
      <c r="F143" t="str">
        <f t="shared" si="5"/>
        <v> </v>
      </c>
      <c r="G143" s="123">
        <f t="shared" si="2"/>
        <v>0</v>
      </c>
      <c r="H143">
        <f t="shared" si="3"/>
        <v>0</v>
      </c>
    </row>
    <row r="144">
      <c r="A144" s="78" t="s">
        <v>397</v>
      </c>
      <c r="B144" s="78">
        <v>0.2</v>
      </c>
      <c r="C144" s="78">
        <f>'Catchment Area'!C148</f>
        <v>24</v>
      </c>
      <c r="D144">
        <f t="shared" si="1"/>
        <v>4.8</v>
      </c>
      <c r="E144">
        <f t="shared" si="4"/>
        <v>1293.6</v>
      </c>
      <c r="F144" t="str">
        <f t="shared" si="5"/>
        <v> </v>
      </c>
      <c r="G144" s="123">
        <f t="shared" si="2"/>
        <v>0.0008333333333</v>
      </c>
      <c r="H144">
        <f t="shared" si="3"/>
        <v>0.001666666667</v>
      </c>
    </row>
    <row r="145">
      <c r="A145" s="78" t="s">
        <v>399</v>
      </c>
      <c r="B145" s="78">
        <v>0.0</v>
      </c>
      <c r="C145" s="78">
        <f>'Catchment Area'!C149</f>
        <v>0</v>
      </c>
      <c r="D145">
        <f t="shared" si="1"/>
        <v>0</v>
      </c>
      <c r="E145">
        <f t="shared" si="4"/>
        <v>1293.6</v>
      </c>
      <c r="F145" t="str">
        <f t="shared" si="5"/>
        <v> </v>
      </c>
      <c r="G145" s="123">
        <f t="shared" si="2"/>
        <v>0</v>
      </c>
      <c r="H145">
        <f t="shared" si="3"/>
        <v>0</v>
      </c>
    </row>
    <row r="146">
      <c r="A146" s="78" t="s">
        <v>401</v>
      </c>
      <c r="B146" s="78">
        <v>0.0</v>
      </c>
      <c r="C146" s="78">
        <f>'Catchment Area'!C150</f>
        <v>0</v>
      </c>
      <c r="D146">
        <f t="shared" si="1"/>
        <v>0</v>
      </c>
      <c r="E146">
        <f t="shared" si="4"/>
        <v>1293.6</v>
      </c>
      <c r="F146" t="str">
        <f t="shared" si="5"/>
        <v> </v>
      </c>
      <c r="G146" s="123">
        <f t="shared" si="2"/>
        <v>0</v>
      </c>
      <c r="H146">
        <f t="shared" si="3"/>
        <v>0</v>
      </c>
    </row>
    <row r="147">
      <c r="A147" s="78" t="s">
        <v>403</v>
      </c>
      <c r="B147" s="78">
        <v>0.0</v>
      </c>
      <c r="C147" s="78">
        <f>'Catchment Area'!C151</f>
        <v>0</v>
      </c>
      <c r="D147">
        <f t="shared" si="1"/>
        <v>0</v>
      </c>
      <c r="E147">
        <f t="shared" si="4"/>
        <v>1293.6</v>
      </c>
      <c r="F147" t="str">
        <f t="shared" si="5"/>
        <v> </v>
      </c>
      <c r="G147" s="123">
        <f t="shared" si="2"/>
        <v>0</v>
      </c>
      <c r="H147">
        <f t="shared" si="3"/>
        <v>0</v>
      </c>
    </row>
    <row r="148">
      <c r="A148" s="78" t="s">
        <v>405</v>
      </c>
      <c r="B148" s="78">
        <v>2.8</v>
      </c>
      <c r="C148" s="78">
        <f>'Catchment Area'!C152</f>
        <v>336</v>
      </c>
      <c r="D148">
        <f t="shared" si="1"/>
        <v>67.2</v>
      </c>
      <c r="E148">
        <f t="shared" si="4"/>
        <v>1360.8</v>
      </c>
      <c r="F148" t="str">
        <f t="shared" si="5"/>
        <v> </v>
      </c>
      <c r="G148" s="123">
        <f t="shared" si="2"/>
        <v>0.01166666667</v>
      </c>
      <c r="H148">
        <f t="shared" si="3"/>
        <v>0.02333333333</v>
      </c>
    </row>
    <row r="149">
      <c r="A149" s="78" t="s">
        <v>407</v>
      </c>
      <c r="B149" s="78">
        <v>0.0</v>
      </c>
      <c r="C149" s="78">
        <f>'Catchment Area'!C153</f>
        <v>0</v>
      </c>
      <c r="D149">
        <f t="shared" si="1"/>
        <v>0</v>
      </c>
      <c r="E149">
        <f t="shared" si="4"/>
        <v>1360.8</v>
      </c>
      <c r="F149" t="str">
        <f t="shared" si="5"/>
        <v> </v>
      </c>
      <c r="G149" s="123">
        <f t="shared" si="2"/>
        <v>0</v>
      </c>
      <c r="H149">
        <f t="shared" si="3"/>
        <v>0</v>
      </c>
    </row>
    <row r="150">
      <c r="A150" s="78" t="s">
        <v>409</v>
      </c>
      <c r="B150" s="78">
        <v>0.0</v>
      </c>
      <c r="C150" s="78">
        <f>'Catchment Area'!C154</f>
        <v>0</v>
      </c>
      <c r="D150">
        <f t="shared" si="1"/>
        <v>0</v>
      </c>
      <c r="E150">
        <f t="shared" si="4"/>
        <v>1360.8</v>
      </c>
      <c r="F150" t="str">
        <f t="shared" si="5"/>
        <v> </v>
      </c>
      <c r="G150" s="123">
        <f t="shared" si="2"/>
        <v>0</v>
      </c>
      <c r="H150">
        <f t="shared" si="3"/>
        <v>0</v>
      </c>
    </row>
    <row r="151">
      <c r="A151" s="78" t="s">
        <v>411</v>
      </c>
      <c r="B151" s="78">
        <v>0.0</v>
      </c>
      <c r="C151" s="78">
        <f>'Catchment Area'!C155</f>
        <v>0</v>
      </c>
      <c r="D151">
        <f t="shared" si="1"/>
        <v>0</v>
      </c>
      <c r="E151">
        <f t="shared" si="4"/>
        <v>1360.8</v>
      </c>
      <c r="F151" t="str">
        <f t="shared" si="5"/>
        <v> </v>
      </c>
      <c r="G151" s="123">
        <f t="shared" si="2"/>
        <v>0</v>
      </c>
      <c r="H151">
        <f t="shared" si="3"/>
        <v>0</v>
      </c>
    </row>
    <row r="152">
      <c r="A152" s="78" t="s">
        <v>413</v>
      </c>
      <c r="B152" s="78">
        <v>0.0</v>
      </c>
      <c r="C152" s="78">
        <f>'Catchment Area'!C156</f>
        <v>0</v>
      </c>
      <c r="D152">
        <f t="shared" si="1"/>
        <v>0</v>
      </c>
      <c r="E152">
        <f t="shared" si="4"/>
        <v>1360.8</v>
      </c>
      <c r="F152" t="str">
        <f t="shared" si="5"/>
        <v> </v>
      </c>
      <c r="G152" s="123">
        <f t="shared" si="2"/>
        <v>0</v>
      </c>
      <c r="H152">
        <f t="shared" si="3"/>
        <v>0</v>
      </c>
    </row>
    <row r="153">
      <c r="A153" s="78" t="s">
        <v>415</v>
      </c>
      <c r="B153" s="78">
        <v>8.2</v>
      </c>
      <c r="C153" s="78">
        <f>'Catchment Area'!C157</f>
        <v>984</v>
      </c>
      <c r="D153">
        <f t="shared" si="1"/>
        <v>196.8</v>
      </c>
      <c r="E153">
        <f t="shared" si="4"/>
        <v>1557.6</v>
      </c>
      <c r="F153" t="str">
        <f t="shared" si="5"/>
        <v> </v>
      </c>
      <c r="G153" s="123">
        <f t="shared" si="2"/>
        <v>0.03416666667</v>
      </c>
      <c r="H153">
        <f t="shared" si="3"/>
        <v>0.06833333333</v>
      </c>
    </row>
    <row r="154">
      <c r="A154" s="78" t="s">
        <v>417</v>
      </c>
      <c r="B154" s="78">
        <v>29.6</v>
      </c>
      <c r="C154" s="78">
        <f>'Catchment Area'!C158</f>
        <v>3552</v>
      </c>
      <c r="D154">
        <f t="shared" si="1"/>
        <v>710.4</v>
      </c>
      <c r="E154">
        <f t="shared" si="4"/>
        <v>2268</v>
      </c>
      <c r="F154" t="str">
        <f t="shared" si="5"/>
        <v> </v>
      </c>
      <c r="G154" s="123">
        <f t="shared" si="2"/>
        <v>0.1233333333</v>
      </c>
      <c r="H154">
        <f t="shared" si="3"/>
        <v>0.2466666667</v>
      </c>
    </row>
    <row r="155">
      <c r="A155" s="78" t="s">
        <v>419</v>
      </c>
      <c r="B155" s="78">
        <v>0.8</v>
      </c>
      <c r="C155" s="78">
        <f>'Catchment Area'!C159</f>
        <v>96</v>
      </c>
      <c r="D155">
        <f t="shared" si="1"/>
        <v>19.2</v>
      </c>
      <c r="E155">
        <f t="shared" si="4"/>
        <v>2287.2</v>
      </c>
      <c r="F155" t="str">
        <f t="shared" si="5"/>
        <v> </v>
      </c>
      <c r="G155" s="123">
        <f t="shared" si="2"/>
        <v>0.003333333333</v>
      </c>
      <c r="H155">
        <f t="shared" si="3"/>
        <v>0.006666666667</v>
      </c>
    </row>
    <row r="156">
      <c r="A156" s="78" t="s">
        <v>421</v>
      </c>
      <c r="B156" s="78">
        <v>5.2</v>
      </c>
      <c r="C156" s="78">
        <f>'Catchment Area'!C160</f>
        <v>624</v>
      </c>
      <c r="D156">
        <f t="shared" si="1"/>
        <v>124.8</v>
      </c>
      <c r="E156">
        <f t="shared" si="4"/>
        <v>2412</v>
      </c>
      <c r="F156" t="str">
        <f t="shared" si="5"/>
        <v> </v>
      </c>
      <c r="G156" s="123">
        <f t="shared" si="2"/>
        <v>0.02166666667</v>
      </c>
      <c r="H156">
        <f t="shared" si="3"/>
        <v>0.04333333333</v>
      </c>
    </row>
    <row r="157">
      <c r="A157" s="78" t="s">
        <v>423</v>
      </c>
      <c r="B157" s="78">
        <v>23.4</v>
      </c>
      <c r="C157" s="78">
        <f>'Catchment Area'!C161</f>
        <v>2808</v>
      </c>
      <c r="D157">
        <f t="shared" si="1"/>
        <v>561.6</v>
      </c>
      <c r="E157">
        <f t="shared" si="4"/>
        <v>2973.6</v>
      </c>
      <c r="F157" t="str">
        <f t="shared" si="5"/>
        <v> </v>
      </c>
      <c r="G157" s="123">
        <f t="shared" si="2"/>
        <v>0.0975</v>
      </c>
      <c r="H157">
        <f t="shared" si="3"/>
        <v>0.195</v>
      </c>
    </row>
    <row r="158">
      <c r="A158" s="78" t="s">
        <v>425</v>
      </c>
      <c r="B158" s="78">
        <v>0.0</v>
      </c>
      <c r="C158" s="78">
        <f>'Catchment Area'!C162</f>
        <v>0</v>
      </c>
      <c r="D158">
        <f t="shared" si="1"/>
        <v>0</v>
      </c>
      <c r="E158">
        <f t="shared" si="4"/>
        <v>2973.6</v>
      </c>
      <c r="F158" t="str">
        <f t="shared" si="5"/>
        <v> </v>
      </c>
      <c r="G158" s="123">
        <f t="shared" si="2"/>
        <v>0</v>
      </c>
      <c r="H158">
        <f t="shared" si="3"/>
        <v>0</v>
      </c>
    </row>
    <row r="159">
      <c r="A159" s="78" t="s">
        <v>427</v>
      </c>
      <c r="B159" s="78">
        <v>4.4</v>
      </c>
      <c r="C159" s="78">
        <f>'Catchment Area'!C163</f>
        <v>528</v>
      </c>
      <c r="D159">
        <f t="shared" si="1"/>
        <v>105.6</v>
      </c>
      <c r="E159">
        <f t="shared" si="4"/>
        <v>105.6</v>
      </c>
      <c r="F159">
        <f t="shared" si="5"/>
        <v>1</v>
      </c>
      <c r="G159" s="123">
        <f t="shared" si="2"/>
        <v>0.01833333333</v>
      </c>
      <c r="H159">
        <f t="shared" si="3"/>
        <v>0.03666666667</v>
      </c>
    </row>
    <row r="160">
      <c r="A160" s="78" t="s">
        <v>429</v>
      </c>
      <c r="B160" s="78">
        <v>0.0</v>
      </c>
      <c r="C160" s="78">
        <f>'Catchment Area'!C164</f>
        <v>0</v>
      </c>
      <c r="D160">
        <f t="shared" si="1"/>
        <v>0</v>
      </c>
      <c r="E160">
        <f t="shared" si="4"/>
        <v>105.6</v>
      </c>
      <c r="F160" t="str">
        <f t="shared" si="5"/>
        <v> </v>
      </c>
      <c r="G160" s="123">
        <f t="shared" si="2"/>
        <v>0</v>
      </c>
      <c r="H160">
        <f t="shared" si="3"/>
        <v>0</v>
      </c>
    </row>
    <row r="161">
      <c r="A161" s="78" t="s">
        <v>431</v>
      </c>
      <c r="B161" s="78">
        <v>0.0</v>
      </c>
      <c r="C161" s="78">
        <f>'Catchment Area'!C165</f>
        <v>0</v>
      </c>
      <c r="D161">
        <f t="shared" si="1"/>
        <v>0</v>
      </c>
      <c r="E161">
        <f t="shared" si="4"/>
        <v>105.6</v>
      </c>
      <c r="F161" t="str">
        <f t="shared" si="5"/>
        <v> </v>
      </c>
      <c r="G161" s="123">
        <f t="shared" si="2"/>
        <v>0</v>
      </c>
      <c r="H161">
        <f t="shared" si="3"/>
        <v>0</v>
      </c>
    </row>
    <row r="162">
      <c r="A162" s="78" t="s">
        <v>433</v>
      </c>
      <c r="B162" s="78">
        <v>0.0</v>
      </c>
      <c r="C162" s="78">
        <f>'Catchment Area'!C166</f>
        <v>0</v>
      </c>
      <c r="D162">
        <f t="shared" si="1"/>
        <v>0</v>
      </c>
      <c r="E162">
        <f t="shared" si="4"/>
        <v>105.6</v>
      </c>
      <c r="F162" t="str">
        <f t="shared" si="5"/>
        <v> </v>
      </c>
      <c r="G162" s="123">
        <f t="shared" si="2"/>
        <v>0</v>
      </c>
      <c r="H162">
        <f t="shared" si="3"/>
        <v>0</v>
      </c>
    </row>
    <row r="163">
      <c r="A163" s="78" t="s">
        <v>435</v>
      </c>
      <c r="B163" s="78">
        <v>0.0</v>
      </c>
      <c r="C163" s="78">
        <f>'Catchment Area'!C167</f>
        <v>0</v>
      </c>
      <c r="D163">
        <f t="shared" si="1"/>
        <v>0</v>
      </c>
      <c r="E163">
        <f t="shared" si="4"/>
        <v>105.6</v>
      </c>
      <c r="F163" t="str">
        <f t="shared" si="5"/>
        <v> </v>
      </c>
      <c r="G163" s="123">
        <f t="shared" si="2"/>
        <v>0</v>
      </c>
      <c r="H163">
        <f t="shared" si="3"/>
        <v>0</v>
      </c>
    </row>
    <row r="164">
      <c r="A164" s="78" t="s">
        <v>437</v>
      </c>
      <c r="B164" s="78">
        <v>0.0</v>
      </c>
      <c r="C164" s="78">
        <f>'Catchment Area'!C168</f>
        <v>0</v>
      </c>
      <c r="D164">
        <f t="shared" si="1"/>
        <v>0</v>
      </c>
      <c r="E164">
        <f t="shared" si="4"/>
        <v>105.6</v>
      </c>
      <c r="F164" t="str">
        <f t="shared" si="5"/>
        <v> </v>
      </c>
      <c r="G164" s="123">
        <f t="shared" si="2"/>
        <v>0</v>
      </c>
      <c r="H164">
        <f t="shared" si="3"/>
        <v>0</v>
      </c>
    </row>
    <row r="165">
      <c r="A165" s="78" t="s">
        <v>439</v>
      </c>
      <c r="B165" s="78">
        <v>0.0</v>
      </c>
      <c r="C165" s="78">
        <f>'Catchment Area'!C169</f>
        <v>0</v>
      </c>
      <c r="D165">
        <f t="shared" si="1"/>
        <v>0</v>
      </c>
      <c r="E165">
        <f t="shared" si="4"/>
        <v>105.6</v>
      </c>
      <c r="F165" t="str">
        <f t="shared" si="5"/>
        <v> </v>
      </c>
      <c r="G165" s="123">
        <f t="shared" si="2"/>
        <v>0</v>
      </c>
      <c r="H165">
        <f t="shared" si="3"/>
        <v>0</v>
      </c>
    </row>
    <row r="166">
      <c r="A166" s="78" t="s">
        <v>441</v>
      </c>
      <c r="B166" s="78">
        <v>0.0</v>
      </c>
      <c r="C166" s="78">
        <f>'Catchment Area'!C170</f>
        <v>0</v>
      </c>
      <c r="D166">
        <f t="shared" si="1"/>
        <v>0</v>
      </c>
      <c r="E166">
        <f t="shared" si="4"/>
        <v>105.6</v>
      </c>
      <c r="F166" t="str">
        <f t="shared" si="5"/>
        <v> </v>
      </c>
      <c r="G166" s="123">
        <f t="shared" si="2"/>
        <v>0</v>
      </c>
      <c r="H166">
        <f t="shared" si="3"/>
        <v>0</v>
      </c>
    </row>
    <row r="167">
      <c r="A167" s="78" t="s">
        <v>443</v>
      </c>
      <c r="B167" s="78">
        <v>0.0</v>
      </c>
      <c r="C167" s="78">
        <f>'Catchment Area'!C171</f>
        <v>0</v>
      </c>
      <c r="D167">
        <f t="shared" si="1"/>
        <v>0</v>
      </c>
      <c r="E167">
        <f t="shared" si="4"/>
        <v>105.6</v>
      </c>
      <c r="F167" t="str">
        <f t="shared" si="5"/>
        <v> </v>
      </c>
      <c r="G167" s="123">
        <f t="shared" si="2"/>
        <v>0</v>
      </c>
      <c r="H167">
        <f t="shared" si="3"/>
        <v>0</v>
      </c>
    </row>
    <row r="168">
      <c r="A168" s="78" t="s">
        <v>445</v>
      </c>
      <c r="B168" s="78">
        <v>0.0</v>
      </c>
      <c r="C168" s="78">
        <f>'Catchment Area'!C172</f>
        <v>0</v>
      </c>
      <c r="D168">
        <f t="shared" si="1"/>
        <v>0</v>
      </c>
      <c r="E168">
        <f t="shared" si="4"/>
        <v>105.6</v>
      </c>
      <c r="F168" t="str">
        <f t="shared" si="5"/>
        <v> </v>
      </c>
      <c r="G168" s="123">
        <f t="shared" si="2"/>
        <v>0</v>
      </c>
      <c r="H168">
        <f t="shared" si="3"/>
        <v>0</v>
      </c>
    </row>
    <row r="169">
      <c r="A169" s="78" t="s">
        <v>447</v>
      </c>
      <c r="B169" s="78">
        <v>0.0</v>
      </c>
      <c r="C169" s="78">
        <f>'Catchment Area'!C173</f>
        <v>0</v>
      </c>
      <c r="D169">
        <f t="shared" si="1"/>
        <v>0</v>
      </c>
      <c r="E169">
        <f t="shared" si="4"/>
        <v>105.6</v>
      </c>
      <c r="F169" t="str">
        <f t="shared" si="5"/>
        <v> </v>
      </c>
      <c r="G169" s="123">
        <f t="shared" si="2"/>
        <v>0</v>
      </c>
      <c r="H169">
        <f t="shared" si="3"/>
        <v>0</v>
      </c>
    </row>
    <row r="170">
      <c r="A170" s="78" t="s">
        <v>449</v>
      </c>
      <c r="B170" s="78">
        <v>0.0</v>
      </c>
      <c r="C170" s="78">
        <f>'Catchment Area'!C174</f>
        <v>0</v>
      </c>
      <c r="D170">
        <f t="shared" si="1"/>
        <v>0</v>
      </c>
      <c r="E170">
        <f t="shared" si="4"/>
        <v>105.6</v>
      </c>
      <c r="F170" t="str">
        <f t="shared" si="5"/>
        <v> </v>
      </c>
      <c r="G170" s="123">
        <f t="shared" si="2"/>
        <v>0</v>
      </c>
      <c r="H170">
        <f t="shared" si="3"/>
        <v>0</v>
      </c>
    </row>
    <row r="171">
      <c r="A171" s="78" t="s">
        <v>451</v>
      </c>
      <c r="B171" s="78">
        <v>0.2</v>
      </c>
      <c r="C171" s="78">
        <f>'Catchment Area'!C175</f>
        <v>24</v>
      </c>
      <c r="D171">
        <f t="shared" si="1"/>
        <v>4.8</v>
      </c>
      <c r="E171">
        <f t="shared" si="4"/>
        <v>110.4</v>
      </c>
      <c r="F171" t="str">
        <f t="shared" si="5"/>
        <v> </v>
      </c>
      <c r="G171" s="123">
        <f t="shared" si="2"/>
        <v>0.0008333333333</v>
      </c>
      <c r="H171">
        <f t="shared" si="3"/>
        <v>0.001666666667</v>
      </c>
    </row>
    <row r="172">
      <c r="A172" s="78" t="s">
        <v>453</v>
      </c>
      <c r="B172" s="78">
        <v>0.0</v>
      </c>
      <c r="C172" s="78">
        <f>'Catchment Area'!C176</f>
        <v>0</v>
      </c>
      <c r="D172">
        <f t="shared" si="1"/>
        <v>0</v>
      </c>
      <c r="E172">
        <f t="shared" si="4"/>
        <v>110.4</v>
      </c>
      <c r="F172" t="str">
        <f t="shared" si="5"/>
        <v> </v>
      </c>
      <c r="G172" s="123">
        <f t="shared" si="2"/>
        <v>0</v>
      </c>
      <c r="H172">
        <f t="shared" si="3"/>
        <v>0</v>
      </c>
    </row>
    <row r="173">
      <c r="A173" s="78" t="s">
        <v>455</v>
      </c>
      <c r="B173" s="78">
        <v>0.0</v>
      </c>
      <c r="C173" s="78">
        <f>'Catchment Area'!C177</f>
        <v>0</v>
      </c>
      <c r="D173">
        <f t="shared" si="1"/>
        <v>0</v>
      </c>
      <c r="E173">
        <f t="shared" si="4"/>
        <v>110.4</v>
      </c>
      <c r="F173" t="str">
        <f t="shared" si="5"/>
        <v> </v>
      </c>
      <c r="G173" s="123">
        <f t="shared" si="2"/>
        <v>0</v>
      </c>
      <c r="H173">
        <f t="shared" si="3"/>
        <v>0</v>
      </c>
    </row>
    <row r="174">
      <c r="A174" s="78" t="s">
        <v>457</v>
      </c>
      <c r="B174" s="78">
        <v>0.0</v>
      </c>
      <c r="C174" s="78">
        <f>'Catchment Area'!C178</f>
        <v>0</v>
      </c>
      <c r="D174">
        <f t="shared" si="1"/>
        <v>0</v>
      </c>
      <c r="E174">
        <f t="shared" si="4"/>
        <v>110.4</v>
      </c>
      <c r="F174" t="str">
        <f t="shared" si="5"/>
        <v> </v>
      </c>
      <c r="G174" s="123">
        <f t="shared" si="2"/>
        <v>0</v>
      </c>
      <c r="H174">
        <f t="shared" si="3"/>
        <v>0</v>
      </c>
    </row>
    <row r="175">
      <c r="A175" s="78" t="s">
        <v>459</v>
      </c>
      <c r="B175" s="78">
        <v>0.0</v>
      </c>
      <c r="C175" s="78">
        <f>'Catchment Area'!C179</f>
        <v>0</v>
      </c>
      <c r="D175">
        <f t="shared" si="1"/>
        <v>0</v>
      </c>
      <c r="E175">
        <f t="shared" si="4"/>
        <v>110.4</v>
      </c>
      <c r="F175" t="str">
        <f t="shared" si="5"/>
        <v> </v>
      </c>
      <c r="G175" s="123">
        <f t="shared" si="2"/>
        <v>0</v>
      </c>
      <c r="H175">
        <f t="shared" si="3"/>
        <v>0</v>
      </c>
    </row>
    <row r="176">
      <c r="A176" s="78" t="s">
        <v>461</v>
      </c>
      <c r="B176" s="78">
        <v>0.0</v>
      </c>
      <c r="C176" s="78">
        <f>'Catchment Area'!C180</f>
        <v>0</v>
      </c>
      <c r="D176">
        <f t="shared" si="1"/>
        <v>0</v>
      </c>
      <c r="E176">
        <f t="shared" si="4"/>
        <v>110.4</v>
      </c>
      <c r="F176" t="str">
        <f t="shared" si="5"/>
        <v> </v>
      </c>
      <c r="G176" s="123">
        <f t="shared" si="2"/>
        <v>0</v>
      </c>
      <c r="H176">
        <f t="shared" si="3"/>
        <v>0</v>
      </c>
    </row>
    <row r="177">
      <c r="A177" s="78" t="s">
        <v>463</v>
      </c>
      <c r="B177" s="78">
        <v>3.6</v>
      </c>
      <c r="C177" s="78">
        <f>'Catchment Area'!C181</f>
        <v>432</v>
      </c>
      <c r="D177">
        <f t="shared" si="1"/>
        <v>86.4</v>
      </c>
      <c r="E177">
        <f t="shared" si="4"/>
        <v>196.8</v>
      </c>
      <c r="F177" t="str">
        <f t="shared" si="5"/>
        <v> </v>
      </c>
      <c r="G177" s="123">
        <f t="shared" si="2"/>
        <v>0.015</v>
      </c>
      <c r="H177">
        <f t="shared" si="3"/>
        <v>0.03</v>
      </c>
    </row>
    <row r="178">
      <c r="A178" s="78" t="s">
        <v>465</v>
      </c>
      <c r="B178" s="78">
        <v>0.0</v>
      </c>
      <c r="C178" s="78">
        <f>'Catchment Area'!C182</f>
        <v>0</v>
      </c>
      <c r="D178">
        <f t="shared" si="1"/>
        <v>0</v>
      </c>
      <c r="E178">
        <f t="shared" si="4"/>
        <v>196.8</v>
      </c>
      <c r="F178" t="str">
        <f t="shared" si="5"/>
        <v> </v>
      </c>
      <c r="G178" s="123">
        <f t="shared" si="2"/>
        <v>0</v>
      </c>
      <c r="H178">
        <f t="shared" si="3"/>
        <v>0</v>
      </c>
    </row>
    <row r="179">
      <c r="A179" s="78" t="s">
        <v>467</v>
      </c>
      <c r="B179" s="78">
        <v>0.0</v>
      </c>
      <c r="C179" s="78">
        <f>'Catchment Area'!C183</f>
        <v>0</v>
      </c>
      <c r="D179">
        <f t="shared" si="1"/>
        <v>0</v>
      </c>
      <c r="E179">
        <f t="shared" si="4"/>
        <v>196.8</v>
      </c>
      <c r="F179" t="str">
        <f t="shared" si="5"/>
        <v> </v>
      </c>
      <c r="G179" s="123">
        <f t="shared" si="2"/>
        <v>0</v>
      </c>
      <c r="H179">
        <f t="shared" si="3"/>
        <v>0</v>
      </c>
    </row>
    <row r="180">
      <c r="A180" s="78" t="s">
        <v>469</v>
      </c>
      <c r="B180" s="78">
        <v>0.0</v>
      </c>
      <c r="C180" s="78">
        <f>'Catchment Area'!C184</f>
        <v>0</v>
      </c>
      <c r="D180">
        <f t="shared" si="1"/>
        <v>0</v>
      </c>
      <c r="E180">
        <f t="shared" si="4"/>
        <v>196.8</v>
      </c>
      <c r="F180" t="str">
        <f t="shared" si="5"/>
        <v> </v>
      </c>
      <c r="G180" s="123">
        <f t="shared" si="2"/>
        <v>0</v>
      </c>
      <c r="H180">
        <f t="shared" si="3"/>
        <v>0</v>
      </c>
    </row>
    <row r="181">
      <c r="A181" s="78" t="s">
        <v>471</v>
      </c>
      <c r="B181" s="78">
        <v>1.6</v>
      </c>
      <c r="C181" s="78">
        <f>'Catchment Area'!C185</f>
        <v>192</v>
      </c>
      <c r="D181">
        <f t="shared" si="1"/>
        <v>38.4</v>
      </c>
      <c r="E181">
        <f t="shared" si="4"/>
        <v>235.2</v>
      </c>
      <c r="F181" t="str">
        <f t="shared" si="5"/>
        <v> </v>
      </c>
      <c r="G181" s="123">
        <f t="shared" si="2"/>
        <v>0.006666666667</v>
      </c>
      <c r="H181">
        <f t="shared" si="3"/>
        <v>0.01333333333</v>
      </c>
    </row>
    <row r="182">
      <c r="A182" s="78" t="s">
        <v>473</v>
      </c>
      <c r="B182" s="78">
        <v>20.8</v>
      </c>
      <c r="C182" s="78">
        <f>'Catchment Area'!C186</f>
        <v>2496</v>
      </c>
      <c r="D182">
        <f t="shared" si="1"/>
        <v>499.2</v>
      </c>
      <c r="E182">
        <f t="shared" si="4"/>
        <v>734.4</v>
      </c>
      <c r="F182" t="str">
        <f t="shared" si="5"/>
        <v> </v>
      </c>
      <c r="G182" s="123">
        <f t="shared" si="2"/>
        <v>0.08666666667</v>
      </c>
      <c r="H182">
        <f t="shared" si="3"/>
        <v>0.1733333333</v>
      </c>
    </row>
    <row r="183">
      <c r="A183" s="78" t="s">
        <v>475</v>
      </c>
      <c r="B183" s="78">
        <v>3.2</v>
      </c>
      <c r="C183" s="78">
        <f>'Catchment Area'!C187</f>
        <v>384</v>
      </c>
      <c r="D183">
        <f t="shared" si="1"/>
        <v>76.8</v>
      </c>
      <c r="E183">
        <f t="shared" si="4"/>
        <v>811.2</v>
      </c>
      <c r="F183" t="str">
        <f t="shared" si="5"/>
        <v> </v>
      </c>
      <c r="G183" s="123">
        <f t="shared" si="2"/>
        <v>0.01333333333</v>
      </c>
      <c r="H183">
        <f t="shared" si="3"/>
        <v>0.02666666667</v>
      </c>
    </row>
    <row r="184">
      <c r="A184" s="78" t="s">
        <v>477</v>
      </c>
      <c r="B184" s="78">
        <v>1.2</v>
      </c>
      <c r="C184" s="78">
        <f>'Catchment Area'!C188</f>
        <v>144</v>
      </c>
      <c r="D184">
        <f t="shared" si="1"/>
        <v>28.8</v>
      </c>
      <c r="E184">
        <f t="shared" si="4"/>
        <v>840</v>
      </c>
      <c r="F184" t="str">
        <f t="shared" si="5"/>
        <v> </v>
      </c>
      <c r="G184" s="123">
        <f t="shared" si="2"/>
        <v>0.005</v>
      </c>
      <c r="H184">
        <f t="shared" si="3"/>
        <v>0.01</v>
      </c>
    </row>
    <row r="185">
      <c r="A185" s="78" t="s">
        <v>479</v>
      </c>
      <c r="B185" s="78">
        <v>0.0</v>
      </c>
      <c r="C185" s="78">
        <f>'Catchment Area'!C189</f>
        <v>0</v>
      </c>
      <c r="D185">
        <f t="shared" si="1"/>
        <v>0</v>
      </c>
      <c r="E185">
        <f t="shared" si="4"/>
        <v>840</v>
      </c>
      <c r="F185" t="str">
        <f t="shared" si="5"/>
        <v> </v>
      </c>
      <c r="G185" s="123">
        <f t="shared" si="2"/>
        <v>0</v>
      </c>
      <c r="H185">
        <f t="shared" si="3"/>
        <v>0</v>
      </c>
    </row>
    <row r="186">
      <c r="A186" s="78" t="s">
        <v>481</v>
      </c>
      <c r="B186" s="78">
        <v>15.4</v>
      </c>
      <c r="C186" s="78">
        <f>'Catchment Area'!C190</f>
        <v>1848</v>
      </c>
      <c r="D186">
        <f t="shared" si="1"/>
        <v>369.6</v>
      </c>
      <c r="E186">
        <f t="shared" si="4"/>
        <v>1209.6</v>
      </c>
      <c r="F186" t="str">
        <f t="shared" si="5"/>
        <v> </v>
      </c>
      <c r="G186" s="123">
        <f t="shared" si="2"/>
        <v>0.06416666667</v>
      </c>
      <c r="H186">
        <f t="shared" si="3"/>
        <v>0.1283333333</v>
      </c>
    </row>
    <row r="187">
      <c r="A187" s="78" t="s">
        <v>483</v>
      </c>
      <c r="B187" s="78">
        <v>1.2</v>
      </c>
      <c r="C187" s="78">
        <f>'Catchment Area'!C191</f>
        <v>144</v>
      </c>
      <c r="D187">
        <f t="shared" si="1"/>
        <v>28.8</v>
      </c>
      <c r="E187">
        <f t="shared" si="4"/>
        <v>1238.4</v>
      </c>
      <c r="F187" t="str">
        <f t="shared" si="5"/>
        <v> </v>
      </c>
      <c r="G187" s="123">
        <f t="shared" si="2"/>
        <v>0.005</v>
      </c>
      <c r="H187">
        <f t="shared" si="3"/>
        <v>0.01</v>
      </c>
    </row>
    <row r="188">
      <c r="A188" s="78" t="s">
        <v>485</v>
      </c>
      <c r="B188" s="78">
        <v>0.0</v>
      </c>
      <c r="C188" s="78">
        <f>'Catchment Area'!C192</f>
        <v>0</v>
      </c>
      <c r="D188">
        <f t="shared" si="1"/>
        <v>0</v>
      </c>
      <c r="E188">
        <f t="shared" si="4"/>
        <v>1238.4</v>
      </c>
      <c r="F188" t="str">
        <f t="shared" si="5"/>
        <v> </v>
      </c>
      <c r="G188" s="123">
        <f t="shared" si="2"/>
        <v>0</v>
      </c>
      <c r="H188">
        <f t="shared" si="3"/>
        <v>0</v>
      </c>
    </row>
    <row r="189">
      <c r="A189" s="78" t="s">
        <v>487</v>
      </c>
      <c r="B189" s="78">
        <v>5.8</v>
      </c>
      <c r="C189" s="78">
        <f>'Catchment Area'!C193</f>
        <v>696</v>
      </c>
      <c r="D189">
        <f t="shared" si="1"/>
        <v>139.2</v>
      </c>
      <c r="E189">
        <f t="shared" si="4"/>
        <v>1377.6</v>
      </c>
      <c r="F189" t="str">
        <f t="shared" si="5"/>
        <v> </v>
      </c>
      <c r="G189" s="123">
        <f t="shared" si="2"/>
        <v>0.02416666667</v>
      </c>
      <c r="H189">
        <f t="shared" si="3"/>
        <v>0.04833333333</v>
      </c>
    </row>
    <row r="190">
      <c r="A190" s="78" t="s">
        <v>489</v>
      </c>
      <c r="B190" s="78">
        <v>20.4</v>
      </c>
      <c r="C190" s="78">
        <f>'Catchment Area'!C194</f>
        <v>2448</v>
      </c>
      <c r="D190">
        <f t="shared" si="1"/>
        <v>489.6</v>
      </c>
      <c r="E190">
        <f t="shared" si="4"/>
        <v>1867.2</v>
      </c>
      <c r="F190" t="str">
        <f t="shared" si="5"/>
        <v> </v>
      </c>
      <c r="G190" s="123">
        <f t="shared" si="2"/>
        <v>0.085</v>
      </c>
      <c r="H190">
        <f t="shared" si="3"/>
        <v>0.17</v>
      </c>
    </row>
    <row r="191">
      <c r="A191" s="78" t="s">
        <v>491</v>
      </c>
      <c r="B191" s="78">
        <v>20.4</v>
      </c>
      <c r="C191" s="78">
        <f>'Catchment Area'!C195</f>
        <v>2448</v>
      </c>
      <c r="D191">
        <f t="shared" si="1"/>
        <v>489.6</v>
      </c>
      <c r="E191">
        <f t="shared" si="4"/>
        <v>2356.8</v>
      </c>
      <c r="F191" t="str">
        <f t="shared" si="5"/>
        <v> </v>
      </c>
      <c r="G191" s="123">
        <f t="shared" si="2"/>
        <v>0.085</v>
      </c>
      <c r="H191">
        <f t="shared" si="3"/>
        <v>0.17</v>
      </c>
    </row>
    <row r="192">
      <c r="A192" s="78" t="s">
        <v>493</v>
      </c>
      <c r="B192" s="78">
        <v>0.6</v>
      </c>
      <c r="C192" s="78">
        <f>'Catchment Area'!C196</f>
        <v>72</v>
      </c>
      <c r="D192">
        <f t="shared" si="1"/>
        <v>14.4</v>
      </c>
      <c r="E192">
        <f t="shared" si="4"/>
        <v>2371.2</v>
      </c>
      <c r="F192" t="str">
        <f t="shared" si="5"/>
        <v> </v>
      </c>
      <c r="G192" s="123">
        <f t="shared" si="2"/>
        <v>0.0025</v>
      </c>
      <c r="H192">
        <f t="shared" si="3"/>
        <v>0.005</v>
      </c>
    </row>
    <row r="193">
      <c r="A193" s="78" t="s">
        <v>495</v>
      </c>
      <c r="B193" s="78">
        <v>0.0</v>
      </c>
      <c r="C193" s="78">
        <f>'Catchment Area'!C197</f>
        <v>0</v>
      </c>
      <c r="D193">
        <f t="shared" si="1"/>
        <v>0</v>
      </c>
      <c r="E193">
        <f t="shared" si="4"/>
        <v>2371.2</v>
      </c>
      <c r="F193" t="str">
        <f t="shared" si="5"/>
        <v> </v>
      </c>
      <c r="G193" s="123">
        <f t="shared" si="2"/>
        <v>0</v>
      </c>
      <c r="H193">
        <f t="shared" si="3"/>
        <v>0</v>
      </c>
    </row>
    <row r="194">
      <c r="A194" s="78" t="s">
        <v>497</v>
      </c>
      <c r="B194" s="78">
        <v>0.0</v>
      </c>
      <c r="C194" s="78">
        <f>'Catchment Area'!C198</f>
        <v>0</v>
      </c>
      <c r="D194">
        <f t="shared" si="1"/>
        <v>0</v>
      </c>
      <c r="E194">
        <f t="shared" si="4"/>
        <v>2371.2</v>
      </c>
      <c r="F194" t="str">
        <f t="shared" si="5"/>
        <v> </v>
      </c>
      <c r="G194" s="123">
        <f t="shared" si="2"/>
        <v>0</v>
      </c>
      <c r="H194">
        <f t="shared" si="3"/>
        <v>0</v>
      </c>
    </row>
    <row r="195">
      <c r="A195" s="78" t="s">
        <v>499</v>
      </c>
      <c r="B195" s="78">
        <v>1.8</v>
      </c>
      <c r="C195" s="78">
        <f>'Catchment Area'!C199</f>
        <v>216</v>
      </c>
      <c r="D195">
        <f t="shared" si="1"/>
        <v>43.2</v>
      </c>
      <c r="E195">
        <f t="shared" si="4"/>
        <v>2414.4</v>
      </c>
      <c r="F195" t="str">
        <f t="shared" si="5"/>
        <v> </v>
      </c>
      <c r="G195" s="123">
        <f t="shared" si="2"/>
        <v>0.0075</v>
      </c>
      <c r="H195">
        <f t="shared" si="3"/>
        <v>0.015</v>
      </c>
    </row>
    <row r="196">
      <c r="A196" s="78" t="s">
        <v>501</v>
      </c>
      <c r="B196" s="78">
        <v>6.2</v>
      </c>
      <c r="C196" s="78">
        <f>'Catchment Area'!C200</f>
        <v>744</v>
      </c>
      <c r="D196">
        <f t="shared" si="1"/>
        <v>148.8</v>
      </c>
      <c r="E196">
        <f t="shared" si="4"/>
        <v>2563.2</v>
      </c>
      <c r="F196" t="str">
        <f t="shared" si="5"/>
        <v> </v>
      </c>
      <c r="G196" s="123">
        <f t="shared" si="2"/>
        <v>0.02583333333</v>
      </c>
      <c r="H196">
        <f t="shared" si="3"/>
        <v>0.05166666667</v>
      </c>
    </row>
    <row r="197">
      <c r="A197" s="78" t="s">
        <v>503</v>
      </c>
      <c r="B197" s="78">
        <v>9.4</v>
      </c>
      <c r="C197" s="78">
        <f>'Catchment Area'!C201</f>
        <v>1128</v>
      </c>
      <c r="D197">
        <f t="shared" si="1"/>
        <v>225.6</v>
      </c>
      <c r="E197">
        <f t="shared" si="4"/>
        <v>2788.8</v>
      </c>
      <c r="F197" t="str">
        <f t="shared" si="5"/>
        <v> </v>
      </c>
      <c r="G197" s="123">
        <f t="shared" si="2"/>
        <v>0.03916666667</v>
      </c>
      <c r="H197">
        <f t="shared" si="3"/>
        <v>0.07833333333</v>
      </c>
    </row>
    <row r="198">
      <c r="A198" s="78" t="s">
        <v>505</v>
      </c>
      <c r="B198" s="78">
        <v>26.6</v>
      </c>
      <c r="C198" s="78">
        <f>'Catchment Area'!C202</f>
        <v>3192</v>
      </c>
      <c r="D198">
        <f t="shared" si="1"/>
        <v>638.4</v>
      </c>
      <c r="E198">
        <f t="shared" si="4"/>
        <v>638.4</v>
      </c>
      <c r="F198">
        <f t="shared" si="5"/>
        <v>1</v>
      </c>
      <c r="G198" s="123">
        <f t="shared" si="2"/>
        <v>0.1108333333</v>
      </c>
      <c r="H198">
        <f t="shared" si="3"/>
        <v>0.2216666667</v>
      </c>
    </row>
    <row r="199">
      <c r="A199" s="78" t="s">
        <v>507</v>
      </c>
      <c r="B199" s="78">
        <v>13.6</v>
      </c>
      <c r="C199" s="78">
        <f>'Catchment Area'!C203</f>
        <v>1632</v>
      </c>
      <c r="D199">
        <f t="shared" si="1"/>
        <v>326.4</v>
      </c>
      <c r="E199">
        <f t="shared" si="4"/>
        <v>964.8</v>
      </c>
      <c r="F199" t="str">
        <f t="shared" si="5"/>
        <v> </v>
      </c>
      <c r="G199" s="123">
        <f t="shared" si="2"/>
        <v>0.05666666667</v>
      </c>
      <c r="H199">
        <f t="shared" si="3"/>
        <v>0.1133333333</v>
      </c>
    </row>
    <row r="200">
      <c r="A200" s="78" t="s">
        <v>509</v>
      </c>
      <c r="B200" s="78">
        <v>0.0</v>
      </c>
      <c r="C200" s="78">
        <f>'Catchment Area'!C204</f>
        <v>0</v>
      </c>
      <c r="D200">
        <f t="shared" si="1"/>
        <v>0</v>
      </c>
      <c r="E200">
        <f t="shared" si="4"/>
        <v>964.8</v>
      </c>
      <c r="F200" t="str">
        <f t="shared" si="5"/>
        <v> </v>
      </c>
      <c r="G200" s="123">
        <f t="shared" si="2"/>
        <v>0</v>
      </c>
      <c r="H200">
        <f t="shared" si="3"/>
        <v>0</v>
      </c>
    </row>
    <row r="201">
      <c r="A201" s="78" t="s">
        <v>511</v>
      </c>
      <c r="B201" s="78">
        <v>0.0</v>
      </c>
      <c r="C201" s="78">
        <f>'Catchment Area'!C205</f>
        <v>0</v>
      </c>
      <c r="D201">
        <f t="shared" si="1"/>
        <v>0</v>
      </c>
      <c r="E201">
        <f t="shared" si="4"/>
        <v>964.8</v>
      </c>
      <c r="F201" t="str">
        <f t="shared" si="5"/>
        <v> </v>
      </c>
      <c r="G201" s="123">
        <f t="shared" si="2"/>
        <v>0</v>
      </c>
      <c r="H201">
        <f t="shared" si="3"/>
        <v>0</v>
      </c>
    </row>
    <row r="202">
      <c r="A202" s="78" t="s">
        <v>513</v>
      </c>
      <c r="B202" s="78">
        <v>0.0</v>
      </c>
      <c r="C202" s="78">
        <f>'Catchment Area'!C206</f>
        <v>0</v>
      </c>
      <c r="D202">
        <f t="shared" si="1"/>
        <v>0</v>
      </c>
      <c r="E202">
        <f t="shared" si="4"/>
        <v>964.8</v>
      </c>
      <c r="F202" t="str">
        <f t="shared" si="5"/>
        <v> </v>
      </c>
      <c r="G202" s="123">
        <f t="shared" si="2"/>
        <v>0</v>
      </c>
      <c r="H202">
        <f t="shared" si="3"/>
        <v>0</v>
      </c>
    </row>
    <row r="203">
      <c r="A203" s="78" t="s">
        <v>515</v>
      </c>
      <c r="B203" s="78">
        <v>0.0</v>
      </c>
      <c r="C203" s="78">
        <f>'Catchment Area'!C207</f>
        <v>0</v>
      </c>
      <c r="D203">
        <f t="shared" si="1"/>
        <v>0</v>
      </c>
      <c r="E203">
        <f t="shared" si="4"/>
        <v>964.8</v>
      </c>
      <c r="F203" t="str">
        <f t="shared" si="5"/>
        <v> </v>
      </c>
      <c r="G203" s="123">
        <f t="shared" si="2"/>
        <v>0</v>
      </c>
      <c r="H203">
        <f t="shared" si="3"/>
        <v>0</v>
      </c>
    </row>
    <row r="204">
      <c r="A204" s="78" t="s">
        <v>517</v>
      </c>
      <c r="B204" s="78">
        <v>0.0</v>
      </c>
      <c r="C204" s="78">
        <f>'Catchment Area'!C208</f>
        <v>0</v>
      </c>
      <c r="D204">
        <f t="shared" si="1"/>
        <v>0</v>
      </c>
      <c r="E204">
        <f t="shared" si="4"/>
        <v>964.8</v>
      </c>
      <c r="F204" t="str">
        <f t="shared" si="5"/>
        <v> </v>
      </c>
      <c r="G204" s="123">
        <f t="shared" si="2"/>
        <v>0</v>
      </c>
      <c r="H204">
        <f t="shared" si="3"/>
        <v>0</v>
      </c>
    </row>
    <row r="205">
      <c r="A205" s="78" t="s">
        <v>519</v>
      </c>
      <c r="B205" s="78">
        <v>0.0</v>
      </c>
      <c r="C205" s="78">
        <f>'Catchment Area'!C209</f>
        <v>0</v>
      </c>
      <c r="D205">
        <f t="shared" si="1"/>
        <v>0</v>
      </c>
      <c r="E205">
        <f t="shared" si="4"/>
        <v>964.8</v>
      </c>
      <c r="F205" t="str">
        <f t="shared" si="5"/>
        <v> </v>
      </c>
      <c r="G205" s="123">
        <f t="shared" si="2"/>
        <v>0</v>
      </c>
      <c r="H205">
        <f t="shared" si="3"/>
        <v>0</v>
      </c>
    </row>
    <row r="206">
      <c r="A206" s="78" t="s">
        <v>521</v>
      </c>
      <c r="B206" s="78">
        <v>0.0</v>
      </c>
      <c r="C206" s="78">
        <f>'Catchment Area'!C210</f>
        <v>0</v>
      </c>
      <c r="D206">
        <f t="shared" si="1"/>
        <v>0</v>
      </c>
      <c r="E206">
        <f t="shared" si="4"/>
        <v>964.8</v>
      </c>
      <c r="F206" t="str">
        <f t="shared" si="5"/>
        <v> </v>
      </c>
      <c r="G206" s="123">
        <f t="shared" si="2"/>
        <v>0</v>
      </c>
      <c r="H206">
        <f t="shared" si="3"/>
        <v>0</v>
      </c>
    </row>
    <row r="207">
      <c r="A207" s="78" t="s">
        <v>523</v>
      </c>
      <c r="B207" s="78">
        <v>0.0</v>
      </c>
      <c r="C207" s="78">
        <f>'Catchment Area'!C211</f>
        <v>0</v>
      </c>
      <c r="D207">
        <f t="shared" si="1"/>
        <v>0</v>
      </c>
      <c r="E207">
        <f t="shared" si="4"/>
        <v>964.8</v>
      </c>
      <c r="F207" t="str">
        <f t="shared" si="5"/>
        <v> </v>
      </c>
      <c r="G207" s="123">
        <f t="shared" si="2"/>
        <v>0</v>
      </c>
      <c r="H207">
        <f t="shared" si="3"/>
        <v>0</v>
      </c>
    </row>
    <row r="208">
      <c r="A208" s="78" t="s">
        <v>525</v>
      </c>
      <c r="B208" s="78">
        <v>0.0</v>
      </c>
      <c r="C208" s="78">
        <f>'Catchment Area'!C212</f>
        <v>0</v>
      </c>
      <c r="D208">
        <f t="shared" si="1"/>
        <v>0</v>
      </c>
      <c r="E208">
        <f t="shared" si="4"/>
        <v>964.8</v>
      </c>
      <c r="F208" t="str">
        <f t="shared" si="5"/>
        <v> </v>
      </c>
      <c r="G208" s="123">
        <f t="shared" si="2"/>
        <v>0</v>
      </c>
      <c r="H208">
        <f t="shared" si="3"/>
        <v>0</v>
      </c>
    </row>
    <row r="209">
      <c r="A209" s="78" t="s">
        <v>527</v>
      </c>
      <c r="B209" s="78">
        <v>0.0</v>
      </c>
      <c r="C209" s="78">
        <f>'Catchment Area'!C213</f>
        <v>0</v>
      </c>
      <c r="D209">
        <f t="shared" si="1"/>
        <v>0</v>
      </c>
      <c r="E209">
        <f t="shared" si="4"/>
        <v>964.8</v>
      </c>
      <c r="F209" t="str">
        <f t="shared" si="5"/>
        <v> </v>
      </c>
      <c r="G209" s="123">
        <f t="shared" si="2"/>
        <v>0</v>
      </c>
      <c r="H209">
        <f t="shared" si="3"/>
        <v>0</v>
      </c>
    </row>
    <row r="210">
      <c r="A210" s="78" t="s">
        <v>529</v>
      </c>
      <c r="B210" s="78">
        <v>0.0</v>
      </c>
      <c r="C210" s="78">
        <f>'Catchment Area'!C214</f>
        <v>0</v>
      </c>
      <c r="D210">
        <f t="shared" si="1"/>
        <v>0</v>
      </c>
      <c r="E210">
        <f t="shared" si="4"/>
        <v>964.8</v>
      </c>
      <c r="F210" t="str">
        <f t="shared" si="5"/>
        <v> </v>
      </c>
      <c r="G210" s="123">
        <f t="shared" si="2"/>
        <v>0</v>
      </c>
      <c r="H210">
        <f t="shared" si="3"/>
        <v>0</v>
      </c>
    </row>
    <row r="211">
      <c r="A211" s="78" t="s">
        <v>531</v>
      </c>
      <c r="B211" s="78">
        <v>37.0</v>
      </c>
      <c r="C211" s="78">
        <f>'Catchment Area'!C215</f>
        <v>4440</v>
      </c>
      <c r="D211">
        <f t="shared" si="1"/>
        <v>888</v>
      </c>
      <c r="E211">
        <f t="shared" si="4"/>
        <v>1852.8</v>
      </c>
      <c r="F211" t="str">
        <f t="shared" si="5"/>
        <v> </v>
      </c>
      <c r="G211" s="123">
        <f t="shared" si="2"/>
        <v>0.1541666667</v>
      </c>
      <c r="H211">
        <f t="shared" si="3"/>
        <v>0.3083333333</v>
      </c>
    </row>
    <row r="212">
      <c r="A212" s="78" t="s">
        <v>533</v>
      </c>
      <c r="B212" s="78">
        <v>1.8</v>
      </c>
      <c r="C212" s="78">
        <f>'Catchment Area'!C216</f>
        <v>216</v>
      </c>
      <c r="D212">
        <f t="shared" si="1"/>
        <v>43.2</v>
      </c>
      <c r="E212">
        <f t="shared" si="4"/>
        <v>1896</v>
      </c>
      <c r="F212" t="str">
        <f t="shared" si="5"/>
        <v> </v>
      </c>
      <c r="G212" s="123">
        <f t="shared" si="2"/>
        <v>0.0075</v>
      </c>
      <c r="H212">
        <f t="shared" si="3"/>
        <v>0.015</v>
      </c>
    </row>
    <row r="213">
      <c r="A213" s="78" t="s">
        <v>535</v>
      </c>
      <c r="B213" s="78">
        <v>0.0</v>
      </c>
      <c r="C213" s="78">
        <f>'Catchment Area'!C217</f>
        <v>0</v>
      </c>
      <c r="D213">
        <f t="shared" si="1"/>
        <v>0</v>
      </c>
      <c r="E213">
        <f t="shared" si="4"/>
        <v>1896</v>
      </c>
      <c r="F213" t="str">
        <f t="shared" si="5"/>
        <v> </v>
      </c>
      <c r="G213" s="123">
        <f t="shared" si="2"/>
        <v>0</v>
      </c>
      <c r="H213">
        <f t="shared" si="3"/>
        <v>0</v>
      </c>
    </row>
    <row r="214">
      <c r="A214" s="78" t="s">
        <v>537</v>
      </c>
      <c r="B214" s="78">
        <v>0.0</v>
      </c>
      <c r="C214" s="78">
        <f>'Catchment Area'!C218</f>
        <v>0</v>
      </c>
      <c r="D214">
        <f t="shared" si="1"/>
        <v>0</v>
      </c>
      <c r="E214">
        <f t="shared" si="4"/>
        <v>1896</v>
      </c>
      <c r="F214" t="str">
        <f t="shared" si="5"/>
        <v> </v>
      </c>
      <c r="G214" s="123">
        <f t="shared" si="2"/>
        <v>0</v>
      </c>
      <c r="H214">
        <f t="shared" si="3"/>
        <v>0</v>
      </c>
    </row>
    <row r="215">
      <c r="A215" s="78" t="s">
        <v>539</v>
      </c>
      <c r="B215" s="78">
        <v>8.0</v>
      </c>
      <c r="C215" s="78">
        <f>'Catchment Area'!C219</f>
        <v>960</v>
      </c>
      <c r="D215">
        <f t="shared" si="1"/>
        <v>192</v>
      </c>
      <c r="E215">
        <f t="shared" si="4"/>
        <v>2088</v>
      </c>
      <c r="F215" t="str">
        <f t="shared" si="5"/>
        <v> </v>
      </c>
      <c r="G215" s="123">
        <f t="shared" si="2"/>
        <v>0.03333333333</v>
      </c>
      <c r="H215">
        <f t="shared" si="3"/>
        <v>0.06666666667</v>
      </c>
    </row>
    <row r="216">
      <c r="A216" s="78" t="s">
        <v>541</v>
      </c>
      <c r="B216" s="78">
        <v>18.2</v>
      </c>
      <c r="C216" s="78">
        <f>'Catchment Area'!C220</f>
        <v>2184</v>
      </c>
      <c r="D216">
        <f t="shared" si="1"/>
        <v>436.8</v>
      </c>
      <c r="E216">
        <f t="shared" si="4"/>
        <v>2524.8</v>
      </c>
      <c r="F216" t="str">
        <f t="shared" si="5"/>
        <v> </v>
      </c>
      <c r="G216" s="123">
        <f t="shared" si="2"/>
        <v>0.07583333333</v>
      </c>
      <c r="H216">
        <f t="shared" si="3"/>
        <v>0.1516666667</v>
      </c>
    </row>
    <row r="217">
      <c r="A217" s="78" t="s">
        <v>543</v>
      </c>
      <c r="B217" s="78">
        <v>0.6</v>
      </c>
      <c r="C217" s="78">
        <f>'Catchment Area'!C221</f>
        <v>72</v>
      </c>
      <c r="D217">
        <f t="shared" si="1"/>
        <v>14.4</v>
      </c>
      <c r="E217">
        <f t="shared" si="4"/>
        <v>2539.2</v>
      </c>
      <c r="F217" t="str">
        <f t="shared" si="5"/>
        <v> </v>
      </c>
      <c r="G217" s="123">
        <f t="shared" si="2"/>
        <v>0.0025</v>
      </c>
      <c r="H217">
        <f t="shared" si="3"/>
        <v>0.005</v>
      </c>
    </row>
    <row r="218">
      <c r="A218" s="78" t="s">
        <v>545</v>
      </c>
      <c r="B218" s="78">
        <v>0.0</v>
      </c>
      <c r="C218" s="78">
        <f>'Catchment Area'!C222</f>
        <v>0</v>
      </c>
      <c r="D218">
        <f t="shared" si="1"/>
        <v>0</v>
      </c>
      <c r="E218">
        <f t="shared" si="4"/>
        <v>2539.2</v>
      </c>
      <c r="F218" t="str">
        <f t="shared" si="5"/>
        <v> </v>
      </c>
      <c r="G218" s="123">
        <f t="shared" si="2"/>
        <v>0</v>
      </c>
      <c r="H218">
        <f t="shared" si="3"/>
        <v>0</v>
      </c>
    </row>
    <row r="219">
      <c r="A219" s="78" t="s">
        <v>547</v>
      </c>
      <c r="B219" s="78">
        <v>0.0</v>
      </c>
      <c r="C219" s="78">
        <f>'Catchment Area'!C223</f>
        <v>0</v>
      </c>
      <c r="D219">
        <f t="shared" si="1"/>
        <v>0</v>
      </c>
      <c r="E219">
        <f t="shared" si="4"/>
        <v>2539.2</v>
      </c>
      <c r="F219" t="str">
        <f t="shared" si="5"/>
        <v> </v>
      </c>
      <c r="G219" s="123">
        <f t="shared" si="2"/>
        <v>0</v>
      </c>
      <c r="H219">
        <f t="shared" si="3"/>
        <v>0</v>
      </c>
    </row>
    <row r="220">
      <c r="A220" s="78" t="s">
        <v>549</v>
      </c>
      <c r="B220" s="78">
        <v>0.0</v>
      </c>
      <c r="C220" s="78">
        <f>'Catchment Area'!C224</f>
        <v>0</v>
      </c>
      <c r="D220">
        <f t="shared" si="1"/>
        <v>0</v>
      </c>
      <c r="E220">
        <f t="shared" si="4"/>
        <v>2539.2</v>
      </c>
      <c r="F220" t="str">
        <f t="shared" si="5"/>
        <v> </v>
      </c>
      <c r="G220" s="123">
        <f t="shared" si="2"/>
        <v>0</v>
      </c>
      <c r="H220">
        <f t="shared" si="3"/>
        <v>0</v>
      </c>
    </row>
    <row r="221">
      <c r="A221" s="78" t="s">
        <v>551</v>
      </c>
      <c r="B221" s="78">
        <v>0.0</v>
      </c>
      <c r="C221" s="78">
        <f>'Catchment Area'!C225</f>
        <v>0</v>
      </c>
      <c r="D221">
        <f t="shared" si="1"/>
        <v>0</v>
      </c>
      <c r="E221">
        <f t="shared" si="4"/>
        <v>2539.2</v>
      </c>
      <c r="F221" t="str">
        <f t="shared" si="5"/>
        <v> </v>
      </c>
      <c r="G221" s="123">
        <f t="shared" si="2"/>
        <v>0</v>
      </c>
      <c r="H221">
        <f t="shared" si="3"/>
        <v>0</v>
      </c>
    </row>
    <row r="222">
      <c r="A222" s="78" t="s">
        <v>553</v>
      </c>
      <c r="B222" s="78">
        <v>0.0</v>
      </c>
      <c r="C222" s="78">
        <f>'Catchment Area'!C226</f>
        <v>0</v>
      </c>
      <c r="D222">
        <f t="shared" si="1"/>
        <v>0</v>
      </c>
      <c r="E222">
        <f t="shared" si="4"/>
        <v>2539.2</v>
      </c>
      <c r="F222" t="str">
        <f t="shared" si="5"/>
        <v> </v>
      </c>
      <c r="G222" s="123">
        <f t="shared" si="2"/>
        <v>0</v>
      </c>
      <c r="H222">
        <f t="shared" si="3"/>
        <v>0</v>
      </c>
    </row>
    <row r="223">
      <c r="A223" s="78" t="s">
        <v>555</v>
      </c>
      <c r="B223" s="78">
        <v>0.0</v>
      </c>
      <c r="C223" s="78">
        <f>'Catchment Area'!C227</f>
        <v>0</v>
      </c>
      <c r="D223">
        <f t="shared" si="1"/>
        <v>0</v>
      </c>
      <c r="E223">
        <f t="shared" si="4"/>
        <v>2539.2</v>
      </c>
      <c r="F223" t="str">
        <f t="shared" si="5"/>
        <v> </v>
      </c>
      <c r="G223" s="123">
        <f t="shared" si="2"/>
        <v>0</v>
      </c>
      <c r="H223">
        <f t="shared" si="3"/>
        <v>0</v>
      </c>
    </row>
    <row r="224">
      <c r="A224" s="78" t="s">
        <v>557</v>
      </c>
      <c r="B224" s="78">
        <v>0.0</v>
      </c>
      <c r="C224" s="78">
        <f>'Catchment Area'!C228</f>
        <v>0</v>
      </c>
      <c r="D224">
        <f t="shared" si="1"/>
        <v>0</v>
      </c>
      <c r="E224">
        <f t="shared" si="4"/>
        <v>2539.2</v>
      </c>
      <c r="F224" t="str">
        <f t="shared" si="5"/>
        <v> </v>
      </c>
      <c r="G224" s="123">
        <f t="shared" si="2"/>
        <v>0</v>
      </c>
      <c r="H224">
        <f t="shared" si="3"/>
        <v>0</v>
      </c>
    </row>
    <row r="225">
      <c r="A225" s="78" t="s">
        <v>559</v>
      </c>
      <c r="B225" s="78">
        <v>0.0</v>
      </c>
      <c r="C225" s="78">
        <f>'Catchment Area'!C229</f>
        <v>0</v>
      </c>
      <c r="D225">
        <f t="shared" si="1"/>
        <v>0</v>
      </c>
      <c r="E225">
        <f t="shared" si="4"/>
        <v>2539.2</v>
      </c>
      <c r="F225" t="str">
        <f t="shared" si="5"/>
        <v> </v>
      </c>
      <c r="G225" s="123">
        <f t="shared" si="2"/>
        <v>0</v>
      </c>
      <c r="H225">
        <f t="shared" si="3"/>
        <v>0</v>
      </c>
    </row>
    <row r="226">
      <c r="A226" s="78" t="s">
        <v>561</v>
      </c>
      <c r="B226" s="78">
        <v>0.0</v>
      </c>
      <c r="C226" s="78">
        <f>'Catchment Area'!C230</f>
        <v>0</v>
      </c>
      <c r="D226">
        <f t="shared" si="1"/>
        <v>0</v>
      </c>
      <c r="E226">
        <f t="shared" si="4"/>
        <v>2539.2</v>
      </c>
      <c r="F226" t="str">
        <f t="shared" si="5"/>
        <v> </v>
      </c>
      <c r="G226" s="123">
        <f t="shared" si="2"/>
        <v>0</v>
      </c>
      <c r="H226">
        <f t="shared" si="3"/>
        <v>0</v>
      </c>
    </row>
    <row r="227">
      <c r="A227" s="78" t="s">
        <v>563</v>
      </c>
      <c r="B227" s="78">
        <v>0.0</v>
      </c>
      <c r="C227" s="78">
        <f>'Catchment Area'!C231</f>
        <v>0</v>
      </c>
      <c r="D227">
        <f t="shared" si="1"/>
        <v>0</v>
      </c>
      <c r="E227">
        <f t="shared" si="4"/>
        <v>2539.2</v>
      </c>
      <c r="F227" t="str">
        <f t="shared" si="5"/>
        <v> </v>
      </c>
      <c r="G227" s="123">
        <f t="shared" si="2"/>
        <v>0</v>
      </c>
      <c r="H227">
        <f t="shared" si="3"/>
        <v>0</v>
      </c>
    </row>
    <row r="228">
      <c r="A228" s="78" t="s">
        <v>565</v>
      </c>
      <c r="B228" s="78">
        <v>0.0</v>
      </c>
      <c r="C228" s="78">
        <f>'Catchment Area'!C232</f>
        <v>0</v>
      </c>
      <c r="D228">
        <f t="shared" si="1"/>
        <v>0</v>
      </c>
      <c r="E228">
        <f t="shared" si="4"/>
        <v>2539.2</v>
      </c>
      <c r="F228" t="str">
        <f t="shared" si="5"/>
        <v> </v>
      </c>
      <c r="G228" s="123">
        <f t="shared" si="2"/>
        <v>0</v>
      </c>
      <c r="H228">
        <f t="shared" si="3"/>
        <v>0</v>
      </c>
    </row>
    <row r="229">
      <c r="A229" s="78" t="s">
        <v>567</v>
      </c>
      <c r="B229" s="78">
        <v>0.0</v>
      </c>
      <c r="C229" s="78">
        <f>'Catchment Area'!C233</f>
        <v>0</v>
      </c>
      <c r="D229">
        <f t="shared" si="1"/>
        <v>0</v>
      </c>
      <c r="E229">
        <f t="shared" si="4"/>
        <v>2539.2</v>
      </c>
      <c r="F229" t="str">
        <f t="shared" si="5"/>
        <v> </v>
      </c>
      <c r="G229" s="123">
        <f t="shared" si="2"/>
        <v>0</v>
      </c>
      <c r="H229">
        <f t="shared" si="3"/>
        <v>0</v>
      </c>
    </row>
    <row r="230">
      <c r="A230" s="78" t="s">
        <v>569</v>
      </c>
      <c r="B230" s="78">
        <v>0.0</v>
      </c>
      <c r="C230" s="78">
        <f>'Catchment Area'!C234</f>
        <v>0</v>
      </c>
      <c r="D230">
        <f t="shared" si="1"/>
        <v>0</v>
      </c>
      <c r="E230">
        <f t="shared" si="4"/>
        <v>2539.2</v>
      </c>
      <c r="F230" t="str">
        <f t="shared" si="5"/>
        <v> </v>
      </c>
      <c r="G230" s="123">
        <f t="shared" si="2"/>
        <v>0</v>
      </c>
      <c r="H230">
        <f t="shared" si="3"/>
        <v>0</v>
      </c>
    </row>
    <row r="231">
      <c r="A231" s="78" t="s">
        <v>571</v>
      </c>
      <c r="B231" s="78">
        <v>0.0</v>
      </c>
      <c r="C231" s="78">
        <f>'Catchment Area'!C235</f>
        <v>0</v>
      </c>
      <c r="D231">
        <f t="shared" si="1"/>
        <v>0</v>
      </c>
      <c r="E231">
        <f t="shared" si="4"/>
        <v>2539.2</v>
      </c>
      <c r="F231" t="str">
        <f t="shared" si="5"/>
        <v> </v>
      </c>
      <c r="G231" s="123">
        <f t="shared" si="2"/>
        <v>0</v>
      </c>
      <c r="H231">
        <f t="shared" si="3"/>
        <v>0</v>
      </c>
    </row>
    <row r="232">
      <c r="A232" s="78" t="s">
        <v>573</v>
      </c>
      <c r="B232" s="78">
        <v>0.0</v>
      </c>
      <c r="C232" s="78">
        <f>'Catchment Area'!C236</f>
        <v>0</v>
      </c>
      <c r="D232">
        <f t="shared" si="1"/>
        <v>0</v>
      </c>
      <c r="E232">
        <f t="shared" si="4"/>
        <v>2539.2</v>
      </c>
      <c r="F232" t="str">
        <f t="shared" si="5"/>
        <v> </v>
      </c>
      <c r="G232" s="123">
        <f t="shared" si="2"/>
        <v>0</v>
      </c>
      <c r="H232">
        <f t="shared" si="3"/>
        <v>0</v>
      </c>
    </row>
    <row r="233">
      <c r="A233" s="78" t="s">
        <v>575</v>
      </c>
      <c r="B233" s="78">
        <v>0.0</v>
      </c>
      <c r="C233" s="78">
        <f>'Catchment Area'!C237</f>
        <v>0</v>
      </c>
      <c r="D233">
        <f t="shared" si="1"/>
        <v>0</v>
      </c>
      <c r="E233">
        <f t="shared" si="4"/>
        <v>2539.2</v>
      </c>
      <c r="F233" t="str">
        <f t="shared" si="5"/>
        <v> </v>
      </c>
      <c r="G233" s="123">
        <f t="shared" si="2"/>
        <v>0</v>
      </c>
      <c r="H233">
        <f t="shared" si="3"/>
        <v>0</v>
      </c>
    </row>
    <row r="234">
      <c r="A234" s="78" t="s">
        <v>577</v>
      </c>
      <c r="B234" s="78">
        <v>0.0</v>
      </c>
      <c r="C234" s="78">
        <f>'Catchment Area'!C238</f>
        <v>0</v>
      </c>
      <c r="D234">
        <f t="shared" si="1"/>
        <v>0</v>
      </c>
      <c r="E234">
        <f t="shared" si="4"/>
        <v>2539.2</v>
      </c>
      <c r="F234" t="str">
        <f t="shared" si="5"/>
        <v> </v>
      </c>
      <c r="G234" s="123">
        <f t="shared" si="2"/>
        <v>0</v>
      </c>
      <c r="H234">
        <f t="shared" si="3"/>
        <v>0</v>
      </c>
    </row>
    <row r="235">
      <c r="A235" s="78" t="s">
        <v>579</v>
      </c>
      <c r="B235" s="78">
        <v>0.0</v>
      </c>
      <c r="C235" s="78">
        <f>'Catchment Area'!C239</f>
        <v>0</v>
      </c>
      <c r="D235">
        <f t="shared" si="1"/>
        <v>0</v>
      </c>
      <c r="E235">
        <f t="shared" si="4"/>
        <v>2539.2</v>
      </c>
      <c r="F235" t="str">
        <f t="shared" si="5"/>
        <v> </v>
      </c>
      <c r="G235" s="123">
        <f t="shared" si="2"/>
        <v>0</v>
      </c>
      <c r="H235">
        <f t="shared" si="3"/>
        <v>0</v>
      </c>
    </row>
    <row r="236">
      <c r="A236" s="78" t="s">
        <v>581</v>
      </c>
      <c r="B236" s="78">
        <v>0.0</v>
      </c>
      <c r="C236" s="78">
        <f>'Catchment Area'!C240</f>
        <v>0</v>
      </c>
      <c r="D236">
        <f t="shared" si="1"/>
        <v>0</v>
      </c>
      <c r="E236">
        <f t="shared" si="4"/>
        <v>2539.2</v>
      </c>
      <c r="F236" t="str">
        <f t="shared" si="5"/>
        <v> </v>
      </c>
      <c r="G236" s="123">
        <f t="shared" si="2"/>
        <v>0</v>
      </c>
      <c r="H236">
        <f t="shared" si="3"/>
        <v>0</v>
      </c>
    </row>
    <row r="237">
      <c r="A237" s="78" t="s">
        <v>583</v>
      </c>
      <c r="B237" s="78">
        <v>0.0</v>
      </c>
      <c r="C237" s="78">
        <f>'Catchment Area'!C241</f>
        <v>0</v>
      </c>
      <c r="D237">
        <f t="shared" si="1"/>
        <v>0</v>
      </c>
      <c r="E237">
        <f t="shared" si="4"/>
        <v>2539.2</v>
      </c>
      <c r="F237" t="str">
        <f t="shared" si="5"/>
        <v> </v>
      </c>
      <c r="G237" s="123">
        <f t="shared" si="2"/>
        <v>0</v>
      </c>
      <c r="H237">
        <f t="shared" si="3"/>
        <v>0</v>
      </c>
    </row>
    <row r="238">
      <c r="A238" s="78" t="s">
        <v>585</v>
      </c>
      <c r="B238" s="78">
        <v>0.0</v>
      </c>
      <c r="C238" s="78">
        <f>'Catchment Area'!C242</f>
        <v>0</v>
      </c>
      <c r="D238">
        <f t="shared" si="1"/>
        <v>0</v>
      </c>
      <c r="E238">
        <f t="shared" si="4"/>
        <v>2539.2</v>
      </c>
      <c r="F238" t="str">
        <f t="shared" si="5"/>
        <v> </v>
      </c>
      <c r="G238" s="123">
        <f t="shared" si="2"/>
        <v>0</v>
      </c>
      <c r="H238">
        <f t="shared" si="3"/>
        <v>0</v>
      </c>
    </row>
    <row r="239">
      <c r="A239" s="78" t="s">
        <v>587</v>
      </c>
      <c r="B239" s="78">
        <v>0.0</v>
      </c>
      <c r="C239" s="78">
        <f>'Catchment Area'!C243</f>
        <v>0</v>
      </c>
      <c r="D239">
        <f t="shared" si="1"/>
        <v>0</v>
      </c>
      <c r="E239">
        <f t="shared" si="4"/>
        <v>2539.2</v>
      </c>
      <c r="F239" t="str">
        <f t="shared" si="5"/>
        <v> </v>
      </c>
      <c r="G239" s="123">
        <f t="shared" si="2"/>
        <v>0</v>
      </c>
      <c r="H239">
        <f t="shared" si="3"/>
        <v>0</v>
      </c>
    </row>
    <row r="240">
      <c r="A240" s="78" t="s">
        <v>589</v>
      </c>
      <c r="B240" s="78">
        <v>0.0</v>
      </c>
      <c r="C240" s="78">
        <f>'Catchment Area'!C244</f>
        <v>0</v>
      </c>
      <c r="D240">
        <f t="shared" si="1"/>
        <v>0</v>
      </c>
      <c r="E240">
        <f t="shared" si="4"/>
        <v>2539.2</v>
      </c>
      <c r="F240" t="str">
        <f t="shared" si="5"/>
        <v> </v>
      </c>
      <c r="G240" s="123">
        <f t="shared" si="2"/>
        <v>0</v>
      </c>
      <c r="H240">
        <f t="shared" si="3"/>
        <v>0</v>
      </c>
    </row>
    <row r="241">
      <c r="A241" s="78" t="s">
        <v>591</v>
      </c>
      <c r="B241" s="78">
        <v>0.0</v>
      </c>
      <c r="C241" s="78">
        <f>'Catchment Area'!C245</f>
        <v>0</v>
      </c>
      <c r="D241">
        <f t="shared" si="1"/>
        <v>0</v>
      </c>
      <c r="E241">
        <f t="shared" si="4"/>
        <v>2539.2</v>
      </c>
      <c r="F241" t="str">
        <f t="shared" si="5"/>
        <v> </v>
      </c>
      <c r="G241" s="123">
        <f t="shared" si="2"/>
        <v>0</v>
      </c>
      <c r="H241">
        <f t="shared" si="3"/>
        <v>0</v>
      </c>
    </row>
    <row r="242">
      <c r="A242" s="78" t="s">
        <v>593</v>
      </c>
      <c r="B242" s="78">
        <v>0.0</v>
      </c>
      <c r="C242" s="78">
        <f>'Catchment Area'!C246</f>
        <v>0</v>
      </c>
      <c r="D242">
        <f t="shared" si="1"/>
        <v>0</v>
      </c>
      <c r="E242">
        <f t="shared" si="4"/>
        <v>2539.2</v>
      </c>
      <c r="F242" t="str">
        <f t="shared" si="5"/>
        <v> </v>
      </c>
      <c r="G242" s="123">
        <f t="shared" si="2"/>
        <v>0</v>
      </c>
      <c r="H242">
        <f t="shared" si="3"/>
        <v>0</v>
      </c>
    </row>
    <row r="243">
      <c r="A243" s="78" t="s">
        <v>595</v>
      </c>
      <c r="B243" s="78">
        <v>0.0</v>
      </c>
      <c r="C243" s="78">
        <f>'Catchment Area'!C247</f>
        <v>0</v>
      </c>
      <c r="D243">
        <f t="shared" si="1"/>
        <v>0</v>
      </c>
      <c r="E243">
        <f t="shared" si="4"/>
        <v>2539.2</v>
      </c>
      <c r="F243" t="str">
        <f t="shared" si="5"/>
        <v> </v>
      </c>
      <c r="G243" s="123">
        <f t="shared" si="2"/>
        <v>0</v>
      </c>
      <c r="H243">
        <f t="shared" si="3"/>
        <v>0</v>
      </c>
    </row>
    <row r="244">
      <c r="A244" s="78" t="s">
        <v>597</v>
      </c>
      <c r="B244" s="78">
        <v>0.0</v>
      </c>
      <c r="C244" s="78">
        <f>'Catchment Area'!C248</f>
        <v>0</v>
      </c>
      <c r="D244">
        <f t="shared" si="1"/>
        <v>0</v>
      </c>
      <c r="E244">
        <f t="shared" si="4"/>
        <v>2539.2</v>
      </c>
      <c r="F244" t="str">
        <f t="shared" si="5"/>
        <v> </v>
      </c>
      <c r="G244" s="123">
        <f t="shared" si="2"/>
        <v>0</v>
      </c>
      <c r="H244">
        <f t="shared" si="3"/>
        <v>0</v>
      </c>
    </row>
    <row r="245">
      <c r="A245" s="78" t="s">
        <v>599</v>
      </c>
      <c r="B245" s="78">
        <v>0.0</v>
      </c>
      <c r="C245" s="78">
        <f>'Catchment Area'!C249</f>
        <v>0</v>
      </c>
      <c r="D245">
        <f t="shared" si="1"/>
        <v>0</v>
      </c>
      <c r="E245">
        <f t="shared" si="4"/>
        <v>2539.2</v>
      </c>
      <c r="F245" t="str">
        <f t="shared" si="5"/>
        <v> </v>
      </c>
      <c r="G245" s="123">
        <f t="shared" si="2"/>
        <v>0</v>
      </c>
      <c r="H245">
        <f t="shared" si="3"/>
        <v>0</v>
      </c>
    </row>
    <row r="246">
      <c r="A246" s="78" t="s">
        <v>601</v>
      </c>
      <c r="B246" s="78">
        <v>0.0</v>
      </c>
      <c r="C246" s="78">
        <f>'Catchment Area'!C250</f>
        <v>0</v>
      </c>
      <c r="D246">
        <f t="shared" si="1"/>
        <v>0</v>
      </c>
      <c r="E246">
        <f t="shared" si="4"/>
        <v>2539.2</v>
      </c>
      <c r="F246" t="str">
        <f t="shared" si="5"/>
        <v> </v>
      </c>
      <c r="G246" s="123">
        <f t="shared" si="2"/>
        <v>0</v>
      </c>
      <c r="H246">
        <f t="shared" si="3"/>
        <v>0</v>
      </c>
    </row>
    <row r="247">
      <c r="A247" s="78" t="s">
        <v>603</v>
      </c>
      <c r="B247" s="78">
        <v>0.0</v>
      </c>
      <c r="C247" s="78">
        <f>'Catchment Area'!C251</f>
        <v>0</v>
      </c>
      <c r="D247">
        <f t="shared" si="1"/>
        <v>0</v>
      </c>
      <c r="E247">
        <f t="shared" si="4"/>
        <v>2539.2</v>
      </c>
      <c r="F247" t="str">
        <f t="shared" si="5"/>
        <v> </v>
      </c>
      <c r="G247" s="123">
        <f t="shared" si="2"/>
        <v>0</v>
      </c>
      <c r="H247">
        <f t="shared" si="3"/>
        <v>0</v>
      </c>
    </row>
    <row r="248">
      <c r="A248" s="78" t="s">
        <v>605</v>
      </c>
      <c r="B248" s="78">
        <v>0.0</v>
      </c>
      <c r="C248" s="78">
        <f>'Catchment Area'!C252</f>
        <v>0</v>
      </c>
      <c r="D248">
        <f t="shared" si="1"/>
        <v>0</v>
      </c>
      <c r="E248">
        <f t="shared" si="4"/>
        <v>2539.2</v>
      </c>
      <c r="F248" t="str">
        <f t="shared" si="5"/>
        <v> </v>
      </c>
      <c r="G248" s="123">
        <f t="shared" si="2"/>
        <v>0</v>
      </c>
      <c r="H248">
        <f t="shared" si="3"/>
        <v>0</v>
      </c>
    </row>
    <row r="249">
      <c r="A249" s="78" t="s">
        <v>607</v>
      </c>
      <c r="B249" s="78">
        <v>0.0</v>
      </c>
      <c r="C249" s="78">
        <f>'Catchment Area'!C253</f>
        <v>0</v>
      </c>
      <c r="D249">
        <f t="shared" si="1"/>
        <v>0</v>
      </c>
      <c r="E249">
        <f t="shared" si="4"/>
        <v>2539.2</v>
      </c>
      <c r="F249" t="str">
        <f t="shared" si="5"/>
        <v> </v>
      </c>
      <c r="G249" s="123">
        <f t="shared" si="2"/>
        <v>0</v>
      </c>
      <c r="H249">
        <f t="shared" si="3"/>
        <v>0</v>
      </c>
    </row>
    <row r="250">
      <c r="A250" s="78" t="s">
        <v>609</v>
      </c>
      <c r="B250" s="78">
        <v>0.0</v>
      </c>
      <c r="C250" s="78">
        <f>'Catchment Area'!C254</f>
        <v>0</v>
      </c>
      <c r="D250">
        <f t="shared" si="1"/>
        <v>0</v>
      </c>
      <c r="E250">
        <f t="shared" si="4"/>
        <v>2539.2</v>
      </c>
      <c r="F250" t="str">
        <f t="shared" si="5"/>
        <v> </v>
      </c>
      <c r="G250" s="123">
        <f t="shared" si="2"/>
        <v>0</v>
      </c>
      <c r="H250">
        <f t="shared" si="3"/>
        <v>0</v>
      </c>
    </row>
    <row r="251">
      <c r="A251" s="78" t="s">
        <v>611</v>
      </c>
      <c r="B251" s="78">
        <v>0.0</v>
      </c>
      <c r="C251" s="78">
        <f>'Catchment Area'!C255</f>
        <v>0</v>
      </c>
      <c r="D251">
        <f t="shared" si="1"/>
        <v>0</v>
      </c>
      <c r="E251">
        <f t="shared" si="4"/>
        <v>2539.2</v>
      </c>
      <c r="F251" t="str">
        <f t="shared" si="5"/>
        <v> </v>
      </c>
      <c r="G251" s="123">
        <f t="shared" si="2"/>
        <v>0</v>
      </c>
      <c r="H251">
        <f t="shared" si="3"/>
        <v>0</v>
      </c>
    </row>
    <row r="252">
      <c r="A252" s="78" t="s">
        <v>613</v>
      </c>
      <c r="B252" s="78">
        <v>0.4</v>
      </c>
      <c r="C252" s="78">
        <f>'Catchment Area'!C256</f>
        <v>48</v>
      </c>
      <c r="D252">
        <f t="shared" si="1"/>
        <v>9.6</v>
      </c>
      <c r="E252">
        <f t="shared" si="4"/>
        <v>2548.8</v>
      </c>
      <c r="F252" t="str">
        <f t="shared" si="5"/>
        <v> </v>
      </c>
      <c r="G252" s="123">
        <f t="shared" si="2"/>
        <v>0.001666666667</v>
      </c>
      <c r="H252">
        <f t="shared" si="3"/>
        <v>0.003333333333</v>
      </c>
    </row>
    <row r="253">
      <c r="A253" s="78" t="s">
        <v>615</v>
      </c>
      <c r="B253" s="78">
        <v>7.8</v>
      </c>
      <c r="C253" s="78">
        <f>'Catchment Area'!C257</f>
        <v>936</v>
      </c>
      <c r="D253">
        <f t="shared" si="1"/>
        <v>187.2</v>
      </c>
      <c r="E253">
        <f t="shared" si="4"/>
        <v>2736</v>
      </c>
      <c r="F253" t="str">
        <f t="shared" si="5"/>
        <v> </v>
      </c>
      <c r="G253" s="123">
        <f t="shared" si="2"/>
        <v>0.0325</v>
      </c>
      <c r="H253">
        <f t="shared" si="3"/>
        <v>0.065</v>
      </c>
    </row>
    <row r="254">
      <c r="A254" s="78" t="s">
        <v>617</v>
      </c>
      <c r="B254" s="78">
        <v>3.6</v>
      </c>
      <c r="C254" s="78">
        <f>'Catchment Area'!C258</f>
        <v>432</v>
      </c>
      <c r="D254">
        <f t="shared" si="1"/>
        <v>86.4</v>
      </c>
      <c r="E254">
        <f t="shared" si="4"/>
        <v>2822.4</v>
      </c>
      <c r="F254" t="str">
        <f t="shared" si="5"/>
        <v> </v>
      </c>
      <c r="G254" s="123">
        <f t="shared" si="2"/>
        <v>0.015</v>
      </c>
      <c r="H254">
        <f t="shared" si="3"/>
        <v>0.03</v>
      </c>
    </row>
    <row r="255">
      <c r="A255" s="78" t="s">
        <v>619</v>
      </c>
      <c r="B255" s="78">
        <v>10.6</v>
      </c>
      <c r="C255" s="78">
        <f>'Catchment Area'!C259</f>
        <v>1272</v>
      </c>
      <c r="D255">
        <f t="shared" si="1"/>
        <v>254.4</v>
      </c>
      <c r="E255">
        <f t="shared" si="4"/>
        <v>254.4</v>
      </c>
      <c r="F255">
        <f t="shared" si="5"/>
        <v>1</v>
      </c>
      <c r="G255" s="123">
        <f t="shared" si="2"/>
        <v>0.04416666667</v>
      </c>
      <c r="H255">
        <f t="shared" si="3"/>
        <v>0.08833333333</v>
      </c>
    </row>
    <row r="256">
      <c r="A256" s="78" t="s">
        <v>621</v>
      </c>
      <c r="B256" s="78">
        <v>3.2</v>
      </c>
      <c r="C256" s="78">
        <f>'Catchment Area'!C260</f>
        <v>384</v>
      </c>
      <c r="D256">
        <f t="shared" si="1"/>
        <v>76.8</v>
      </c>
      <c r="E256">
        <f t="shared" si="4"/>
        <v>331.2</v>
      </c>
      <c r="F256" t="str">
        <f t="shared" si="5"/>
        <v> </v>
      </c>
      <c r="G256" s="123">
        <f t="shared" si="2"/>
        <v>0.01333333333</v>
      </c>
      <c r="H256">
        <f t="shared" si="3"/>
        <v>0.02666666667</v>
      </c>
    </row>
    <row r="257">
      <c r="A257" s="78" t="s">
        <v>623</v>
      </c>
      <c r="B257" s="78">
        <v>6.2</v>
      </c>
      <c r="C257" s="78">
        <f>'Catchment Area'!C261</f>
        <v>744</v>
      </c>
      <c r="D257">
        <f t="shared" si="1"/>
        <v>148.8</v>
      </c>
      <c r="E257">
        <f t="shared" si="4"/>
        <v>480</v>
      </c>
      <c r="F257" t="str">
        <f t="shared" si="5"/>
        <v> </v>
      </c>
      <c r="G257" s="123">
        <f t="shared" si="2"/>
        <v>0.02583333333</v>
      </c>
      <c r="H257">
        <f t="shared" si="3"/>
        <v>0.05166666667</v>
      </c>
    </row>
    <row r="258">
      <c r="A258" s="78" t="s">
        <v>625</v>
      </c>
      <c r="B258" s="78">
        <v>0.0</v>
      </c>
      <c r="C258" s="78">
        <f>'Catchment Area'!C262</f>
        <v>0</v>
      </c>
      <c r="D258">
        <f t="shared" si="1"/>
        <v>0</v>
      </c>
      <c r="E258">
        <f t="shared" si="4"/>
        <v>480</v>
      </c>
      <c r="F258" t="str">
        <f t="shared" si="5"/>
        <v> </v>
      </c>
      <c r="G258" s="123">
        <f t="shared" si="2"/>
        <v>0</v>
      </c>
      <c r="H258">
        <f t="shared" si="3"/>
        <v>0</v>
      </c>
    </row>
    <row r="259">
      <c r="A259" s="78" t="s">
        <v>627</v>
      </c>
      <c r="B259" s="78">
        <v>0.0</v>
      </c>
      <c r="C259" s="78">
        <f>'Catchment Area'!C263</f>
        <v>0</v>
      </c>
      <c r="D259">
        <f t="shared" si="1"/>
        <v>0</v>
      </c>
      <c r="E259">
        <f t="shared" si="4"/>
        <v>480</v>
      </c>
      <c r="F259" t="str">
        <f t="shared" si="5"/>
        <v> </v>
      </c>
      <c r="G259" s="123">
        <f t="shared" si="2"/>
        <v>0</v>
      </c>
      <c r="H259">
        <f t="shared" si="3"/>
        <v>0</v>
      </c>
    </row>
    <row r="260">
      <c r="A260" s="78" t="s">
        <v>629</v>
      </c>
      <c r="B260" s="78">
        <v>0.0</v>
      </c>
      <c r="C260" s="78">
        <f>'Catchment Area'!C264</f>
        <v>0</v>
      </c>
      <c r="D260">
        <f t="shared" si="1"/>
        <v>0</v>
      </c>
      <c r="E260">
        <f t="shared" si="4"/>
        <v>480</v>
      </c>
      <c r="F260" t="str">
        <f t="shared" si="5"/>
        <v> </v>
      </c>
      <c r="G260" s="123">
        <f t="shared" si="2"/>
        <v>0</v>
      </c>
      <c r="H260">
        <f t="shared" si="3"/>
        <v>0</v>
      </c>
    </row>
    <row r="261">
      <c r="A261" s="78" t="s">
        <v>631</v>
      </c>
      <c r="B261" s="78">
        <v>0.0</v>
      </c>
      <c r="C261" s="78">
        <f>'Catchment Area'!C265</f>
        <v>0</v>
      </c>
      <c r="D261">
        <f t="shared" si="1"/>
        <v>0</v>
      </c>
      <c r="E261">
        <f t="shared" si="4"/>
        <v>480</v>
      </c>
      <c r="F261" t="str">
        <f t="shared" si="5"/>
        <v> </v>
      </c>
      <c r="G261" s="123">
        <f t="shared" si="2"/>
        <v>0</v>
      </c>
      <c r="H261">
        <f t="shared" si="3"/>
        <v>0</v>
      </c>
    </row>
    <row r="262">
      <c r="A262" s="78" t="s">
        <v>633</v>
      </c>
      <c r="B262" s="78">
        <v>0.0</v>
      </c>
      <c r="C262" s="78">
        <f>'Catchment Area'!C266</f>
        <v>0</v>
      </c>
      <c r="D262">
        <f t="shared" si="1"/>
        <v>0</v>
      </c>
      <c r="E262">
        <f t="shared" si="4"/>
        <v>480</v>
      </c>
      <c r="F262" t="str">
        <f t="shared" si="5"/>
        <v> </v>
      </c>
      <c r="G262" s="123">
        <f t="shared" si="2"/>
        <v>0</v>
      </c>
      <c r="H262">
        <f t="shared" si="3"/>
        <v>0</v>
      </c>
    </row>
    <row r="263">
      <c r="A263" s="78" t="s">
        <v>635</v>
      </c>
      <c r="B263" s="78">
        <v>0.0</v>
      </c>
      <c r="C263" s="78">
        <f>'Catchment Area'!C267</f>
        <v>0</v>
      </c>
      <c r="D263">
        <f t="shared" si="1"/>
        <v>0</v>
      </c>
      <c r="E263">
        <f t="shared" si="4"/>
        <v>480</v>
      </c>
      <c r="F263" t="str">
        <f t="shared" si="5"/>
        <v> </v>
      </c>
      <c r="G263" s="123">
        <f t="shared" si="2"/>
        <v>0</v>
      </c>
      <c r="H263">
        <f t="shared" si="3"/>
        <v>0</v>
      </c>
    </row>
    <row r="264">
      <c r="A264" s="78" t="s">
        <v>637</v>
      </c>
      <c r="B264" s="78">
        <v>0.0</v>
      </c>
      <c r="C264" s="78">
        <f>'Catchment Area'!C268</f>
        <v>0</v>
      </c>
      <c r="D264">
        <f t="shared" si="1"/>
        <v>0</v>
      </c>
      <c r="E264">
        <f t="shared" si="4"/>
        <v>480</v>
      </c>
      <c r="F264" t="str">
        <f t="shared" si="5"/>
        <v> </v>
      </c>
      <c r="G264" s="123">
        <f t="shared" si="2"/>
        <v>0</v>
      </c>
      <c r="H264">
        <f t="shared" si="3"/>
        <v>0</v>
      </c>
    </row>
    <row r="265">
      <c r="A265" s="78" t="s">
        <v>639</v>
      </c>
      <c r="B265" s="78">
        <v>0.0</v>
      </c>
      <c r="C265" s="78">
        <f>'Catchment Area'!C269</f>
        <v>0</v>
      </c>
      <c r="D265">
        <f t="shared" si="1"/>
        <v>0</v>
      </c>
      <c r="E265">
        <f t="shared" si="4"/>
        <v>480</v>
      </c>
      <c r="F265" t="str">
        <f t="shared" si="5"/>
        <v> </v>
      </c>
      <c r="G265" s="123">
        <f t="shared" si="2"/>
        <v>0</v>
      </c>
      <c r="H265">
        <f t="shared" si="3"/>
        <v>0</v>
      </c>
    </row>
    <row r="266">
      <c r="A266" s="78" t="s">
        <v>641</v>
      </c>
      <c r="B266" s="78">
        <v>0.0</v>
      </c>
      <c r="C266" s="78">
        <f>'Catchment Area'!C270</f>
        <v>0</v>
      </c>
      <c r="D266">
        <f t="shared" si="1"/>
        <v>0</v>
      </c>
      <c r="E266">
        <f t="shared" si="4"/>
        <v>480</v>
      </c>
      <c r="F266" t="str">
        <f t="shared" si="5"/>
        <v> </v>
      </c>
      <c r="G266" s="123">
        <f t="shared" si="2"/>
        <v>0</v>
      </c>
      <c r="H266">
        <f t="shared" si="3"/>
        <v>0</v>
      </c>
    </row>
    <row r="267">
      <c r="A267" s="78" t="s">
        <v>643</v>
      </c>
      <c r="B267" s="78">
        <v>0.0</v>
      </c>
      <c r="C267" s="78">
        <f>'Catchment Area'!C271</f>
        <v>0</v>
      </c>
      <c r="D267">
        <f t="shared" si="1"/>
        <v>0</v>
      </c>
      <c r="E267">
        <f t="shared" si="4"/>
        <v>480</v>
      </c>
      <c r="F267" t="str">
        <f t="shared" si="5"/>
        <v> </v>
      </c>
      <c r="G267" s="123">
        <f t="shared" si="2"/>
        <v>0</v>
      </c>
      <c r="H267">
        <f t="shared" si="3"/>
        <v>0</v>
      </c>
    </row>
    <row r="268">
      <c r="A268" s="78" t="s">
        <v>645</v>
      </c>
      <c r="B268" s="78">
        <v>0.0</v>
      </c>
      <c r="C268" s="78">
        <f>'Catchment Area'!C272</f>
        <v>0</v>
      </c>
      <c r="D268">
        <f t="shared" si="1"/>
        <v>0</v>
      </c>
      <c r="E268">
        <f t="shared" si="4"/>
        <v>480</v>
      </c>
      <c r="F268" t="str">
        <f t="shared" si="5"/>
        <v> </v>
      </c>
      <c r="G268" s="123">
        <f t="shared" si="2"/>
        <v>0</v>
      </c>
      <c r="H268">
        <f t="shared" si="3"/>
        <v>0</v>
      </c>
    </row>
    <row r="269">
      <c r="A269" s="78" t="s">
        <v>647</v>
      </c>
      <c r="B269" s="78">
        <v>0.0</v>
      </c>
      <c r="C269" s="78">
        <f>'Catchment Area'!C273</f>
        <v>0</v>
      </c>
      <c r="D269">
        <f t="shared" si="1"/>
        <v>0</v>
      </c>
      <c r="E269">
        <f t="shared" si="4"/>
        <v>480</v>
      </c>
      <c r="F269" t="str">
        <f t="shared" si="5"/>
        <v> </v>
      </c>
      <c r="G269" s="123">
        <f t="shared" si="2"/>
        <v>0</v>
      </c>
      <c r="H269">
        <f t="shared" si="3"/>
        <v>0</v>
      </c>
    </row>
    <row r="270">
      <c r="A270" s="78" t="s">
        <v>649</v>
      </c>
      <c r="B270" s="78">
        <v>0.0</v>
      </c>
      <c r="C270" s="78">
        <f>'Catchment Area'!C274</f>
        <v>0</v>
      </c>
      <c r="D270">
        <f t="shared" si="1"/>
        <v>0</v>
      </c>
      <c r="E270">
        <f t="shared" si="4"/>
        <v>480</v>
      </c>
      <c r="F270" t="str">
        <f t="shared" si="5"/>
        <v> </v>
      </c>
      <c r="G270" s="123">
        <f t="shared" si="2"/>
        <v>0</v>
      </c>
      <c r="H270">
        <f t="shared" si="3"/>
        <v>0</v>
      </c>
    </row>
    <row r="271">
      <c r="A271" s="78" t="s">
        <v>651</v>
      </c>
      <c r="B271" s="78">
        <v>0.0</v>
      </c>
      <c r="C271" s="78">
        <f>'Catchment Area'!C275</f>
        <v>0</v>
      </c>
      <c r="D271">
        <f t="shared" si="1"/>
        <v>0</v>
      </c>
      <c r="E271">
        <f t="shared" si="4"/>
        <v>480</v>
      </c>
      <c r="F271" t="str">
        <f t="shared" si="5"/>
        <v> </v>
      </c>
      <c r="G271" s="123">
        <f t="shared" si="2"/>
        <v>0</v>
      </c>
      <c r="H271">
        <f t="shared" si="3"/>
        <v>0</v>
      </c>
    </row>
    <row r="272">
      <c r="A272" s="78" t="s">
        <v>653</v>
      </c>
      <c r="B272" s="78">
        <v>0.0</v>
      </c>
      <c r="C272" s="78">
        <f>'Catchment Area'!C276</f>
        <v>0</v>
      </c>
      <c r="D272">
        <f t="shared" si="1"/>
        <v>0</v>
      </c>
      <c r="E272">
        <f t="shared" si="4"/>
        <v>480</v>
      </c>
      <c r="F272" t="str">
        <f t="shared" si="5"/>
        <v> </v>
      </c>
      <c r="G272" s="123">
        <f t="shared" si="2"/>
        <v>0</v>
      </c>
      <c r="H272">
        <f t="shared" si="3"/>
        <v>0</v>
      </c>
    </row>
    <row r="273">
      <c r="A273" s="78" t="s">
        <v>655</v>
      </c>
      <c r="B273" s="78">
        <v>26.4</v>
      </c>
      <c r="C273" s="78">
        <f>'Catchment Area'!C277</f>
        <v>3168</v>
      </c>
      <c r="D273">
        <f t="shared" si="1"/>
        <v>633.6</v>
      </c>
      <c r="E273">
        <f t="shared" si="4"/>
        <v>1113.6</v>
      </c>
      <c r="F273" t="str">
        <f t="shared" si="5"/>
        <v> </v>
      </c>
      <c r="G273" s="123">
        <f t="shared" si="2"/>
        <v>0.11</v>
      </c>
      <c r="H273">
        <f t="shared" si="3"/>
        <v>0.22</v>
      </c>
    </row>
    <row r="274">
      <c r="A274" s="78" t="s">
        <v>657</v>
      </c>
      <c r="B274" s="78">
        <v>0.4</v>
      </c>
      <c r="C274" s="78">
        <f>'Catchment Area'!C278</f>
        <v>48</v>
      </c>
      <c r="D274">
        <f t="shared" si="1"/>
        <v>9.6</v>
      </c>
      <c r="E274">
        <f t="shared" si="4"/>
        <v>1123.2</v>
      </c>
      <c r="F274" t="str">
        <f t="shared" si="5"/>
        <v> </v>
      </c>
      <c r="G274" s="123">
        <f t="shared" si="2"/>
        <v>0.001666666667</v>
      </c>
      <c r="H274">
        <f t="shared" si="3"/>
        <v>0.003333333333</v>
      </c>
    </row>
    <row r="275">
      <c r="A275" s="78" t="s">
        <v>659</v>
      </c>
      <c r="B275" s="78">
        <v>0.0</v>
      </c>
      <c r="C275" s="78">
        <f>'Catchment Area'!C279</f>
        <v>0</v>
      </c>
      <c r="D275">
        <f t="shared" si="1"/>
        <v>0</v>
      </c>
      <c r="E275">
        <f t="shared" si="4"/>
        <v>1123.2</v>
      </c>
      <c r="F275" t="str">
        <f t="shared" si="5"/>
        <v> </v>
      </c>
      <c r="G275" s="123">
        <f t="shared" si="2"/>
        <v>0</v>
      </c>
      <c r="H275">
        <f t="shared" si="3"/>
        <v>0</v>
      </c>
    </row>
    <row r="276">
      <c r="A276" s="78" t="s">
        <v>661</v>
      </c>
      <c r="B276" s="78">
        <v>2.0</v>
      </c>
      <c r="C276" s="78">
        <f>'Catchment Area'!C280</f>
        <v>240</v>
      </c>
      <c r="D276">
        <f t="shared" si="1"/>
        <v>48</v>
      </c>
      <c r="E276">
        <f t="shared" si="4"/>
        <v>1171.2</v>
      </c>
      <c r="F276" t="str">
        <f t="shared" si="5"/>
        <v> </v>
      </c>
      <c r="G276" s="123">
        <f t="shared" si="2"/>
        <v>0.008333333333</v>
      </c>
      <c r="H276">
        <f t="shared" si="3"/>
        <v>0.01666666667</v>
      </c>
    </row>
    <row r="277">
      <c r="A277" s="78" t="s">
        <v>663</v>
      </c>
      <c r="B277" s="78">
        <v>12.4</v>
      </c>
      <c r="C277" s="78">
        <f>'Catchment Area'!C281</f>
        <v>1488</v>
      </c>
      <c r="D277">
        <f t="shared" si="1"/>
        <v>297.6</v>
      </c>
      <c r="E277">
        <f t="shared" si="4"/>
        <v>1468.8</v>
      </c>
      <c r="F277" t="str">
        <f t="shared" si="5"/>
        <v> </v>
      </c>
      <c r="G277" s="123">
        <f t="shared" si="2"/>
        <v>0.05166666667</v>
      </c>
      <c r="H277">
        <f t="shared" si="3"/>
        <v>0.1033333333</v>
      </c>
    </row>
    <row r="278">
      <c r="A278" s="78" t="s">
        <v>665</v>
      </c>
      <c r="B278" s="78">
        <v>29.4</v>
      </c>
      <c r="C278" s="78">
        <f>'Catchment Area'!C282</f>
        <v>3528</v>
      </c>
      <c r="D278">
        <f t="shared" si="1"/>
        <v>705.6</v>
      </c>
      <c r="E278">
        <f t="shared" si="4"/>
        <v>2174.4</v>
      </c>
      <c r="F278" t="str">
        <f t="shared" si="5"/>
        <v> </v>
      </c>
      <c r="G278" s="123">
        <f t="shared" si="2"/>
        <v>0.1225</v>
      </c>
      <c r="H278">
        <f t="shared" si="3"/>
        <v>0.245</v>
      </c>
    </row>
    <row r="279">
      <c r="A279" s="78" t="s">
        <v>667</v>
      </c>
      <c r="B279" s="78">
        <v>1.6</v>
      </c>
      <c r="C279" s="78">
        <f>'Catchment Area'!C283</f>
        <v>192</v>
      </c>
      <c r="D279">
        <f t="shared" si="1"/>
        <v>38.4</v>
      </c>
      <c r="E279">
        <f t="shared" si="4"/>
        <v>2212.8</v>
      </c>
      <c r="F279" t="str">
        <f t="shared" si="5"/>
        <v> </v>
      </c>
      <c r="G279" s="123">
        <f t="shared" si="2"/>
        <v>0.006666666667</v>
      </c>
      <c r="H279">
        <f t="shared" si="3"/>
        <v>0.01333333333</v>
      </c>
    </row>
    <row r="280">
      <c r="A280" s="78" t="s">
        <v>669</v>
      </c>
      <c r="B280" s="78">
        <v>0.6</v>
      </c>
      <c r="C280" s="78">
        <f>'Catchment Area'!C284</f>
        <v>72</v>
      </c>
      <c r="D280">
        <f t="shared" si="1"/>
        <v>14.4</v>
      </c>
      <c r="E280">
        <f t="shared" si="4"/>
        <v>2227.2</v>
      </c>
      <c r="F280" t="str">
        <f t="shared" si="5"/>
        <v> </v>
      </c>
      <c r="G280" s="123">
        <f t="shared" si="2"/>
        <v>0.0025</v>
      </c>
      <c r="H280">
        <f t="shared" si="3"/>
        <v>0.005</v>
      </c>
    </row>
    <row r="281">
      <c r="A281" s="78" t="s">
        <v>671</v>
      </c>
      <c r="B281" s="78">
        <v>8.2</v>
      </c>
      <c r="C281" s="78">
        <f>'Catchment Area'!C285</f>
        <v>984</v>
      </c>
      <c r="D281">
        <f t="shared" si="1"/>
        <v>196.8</v>
      </c>
      <c r="E281">
        <f t="shared" si="4"/>
        <v>2424</v>
      </c>
      <c r="F281" t="str">
        <f t="shared" si="5"/>
        <v> </v>
      </c>
      <c r="G281" s="123">
        <f t="shared" si="2"/>
        <v>0.03416666667</v>
      </c>
      <c r="H281">
        <f t="shared" si="3"/>
        <v>0.06833333333</v>
      </c>
    </row>
    <row r="282">
      <c r="A282" s="78" t="s">
        <v>673</v>
      </c>
      <c r="B282" s="78">
        <v>0.0</v>
      </c>
      <c r="C282" s="78">
        <f>'Catchment Area'!C286</f>
        <v>0</v>
      </c>
      <c r="D282">
        <f t="shared" si="1"/>
        <v>0</v>
      </c>
      <c r="E282">
        <f t="shared" si="4"/>
        <v>2424</v>
      </c>
      <c r="F282" t="str">
        <f t="shared" si="5"/>
        <v> </v>
      </c>
      <c r="G282" s="123">
        <f t="shared" si="2"/>
        <v>0</v>
      </c>
      <c r="H282">
        <f t="shared" si="3"/>
        <v>0</v>
      </c>
    </row>
    <row r="283">
      <c r="A283" s="78" t="s">
        <v>675</v>
      </c>
      <c r="B283" s="78">
        <v>12.4</v>
      </c>
      <c r="C283" s="78">
        <f>'Catchment Area'!C287</f>
        <v>1488</v>
      </c>
      <c r="D283">
        <f t="shared" si="1"/>
        <v>297.6</v>
      </c>
      <c r="E283">
        <f t="shared" si="4"/>
        <v>2721.6</v>
      </c>
      <c r="F283" t="str">
        <f t="shared" si="5"/>
        <v> </v>
      </c>
      <c r="G283" s="123">
        <f t="shared" si="2"/>
        <v>0.05166666667</v>
      </c>
      <c r="H283">
        <f t="shared" si="3"/>
        <v>0.1033333333</v>
      </c>
    </row>
    <row r="284">
      <c r="A284" s="78" t="s">
        <v>677</v>
      </c>
      <c r="B284" s="78">
        <v>5.6</v>
      </c>
      <c r="C284" s="78">
        <f>'Catchment Area'!C288</f>
        <v>672</v>
      </c>
      <c r="D284">
        <f t="shared" si="1"/>
        <v>134.4</v>
      </c>
      <c r="E284">
        <f t="shared" si="4"/>
        <v>2856</v>
      </c>
      <c r="F284" t="str">
        <f t="shared" si="5"/>
        <v> </v>
      </c>
      <c r="G284" s="123">
        <f t="shared" si="2"/>
        <v>0.02333333333</v>
      </c>
      <c r="H284">
        <f t="shared" si="3"/>
        <v>0.04666666667</v>
      </c>
    </row>
    <row r="285">
      <c r="A285" s="78" t="s">
        <v>679</v>
      </c>
      <c r="B285" s="78">
        <v>0.0</v>
      </c>
      <c r="C285" s="78">
        <f>'Catchment Area'!C289</f>
        <v>0</v>
      </c>
      <c r="D285">
        <f t="shared" si="1"/>
        <v>0</v>
      </c>
      <c r="E285">
        <f t="shared" si="4"/>
        <v>2856</v>
      </c>
      <c r="F285" t="str">
        <f t="shared" si="5"/>
        <v> </v>
      </c>
      <c r="G285" s="123">
        <f t="shared" si="2"/>
        <v>0</v>
      </c>
      <c r="H285">
        <f t="shared" si="3"/>
        <v>0</v>
      </c>
    </row>
    <row r="286">
      <c r="A286" s="78" t="s">
        <v>681</v>
      </c>
      <c r="B286" s="78">
        <v>0.0</v>
      </c>
      <c r="C286" s="78">
        <f>'Catchment Area'!C290</f>
        <v>0</v>
      </c>
      <c r="D286">
        <f t="shared" si="1"/>
        <v>0</v>
      </c>
      <c r="E286">
        <f t="shared" si="4"/>
        <v>2856</v>
      </c>
      <c r="F286" t="str">
        <f t="shared" si="5"/>
        <v> </v>
      </c>
      <c r="G286" s="123">
        <f t="shared" si="2"/>
        <v>0</v>
      </c>
      <c r="H286">
        <f t="shared" si="3"/>
        <v>0</v>
      </c>
    </row>
    <row r="287">
      <c r="A287" s="78" t="s">
        <v>683</v>
      </c>
      <c r="B287" s="78">
        <v>0.0</v>
      </c>
      <c r="C287" s="78">
        <f>'Catchment Area'!C291</f>
        <v>0</v>
      </c>
      <c r="D287">
        <f t="shared" si="1"/>
        <v>0</v>
      </c>
      <c r="E287">
        <f t="shared" si="4"/>
        <v>2856</v>
      </c>
      <c r="F287" t="str">
        <f t="shared" si="5"/>
        <v> </v>
      </c>
      <c r="G287" s="123">
        <f t="shared" si="2"/>
        <v>0</v>
      </c>
      <c r="H287">
        <f t="shared" si="3"/>
        <v>0</v>
      </c>
    </row>
    <row r="288">
      <c r="A288" s="78" t="s">
        <v>685</v>
      </c>
      <c r="B288" s="78">
        <v>57.8</v>
      </c>
      <c r="C288" s="78">
        <f>'Catchment Area'!C292</f>
        <v>6936</v>
      </c>
      <c r="D288">
        <f t="shared" si="1"/>
        <v>1387.2</v>
      </c>
      <c r="E288">
        <f t="shared" si="4"/>
        <v>1387.2</v>
      </c>
      <c r="F288">
        <f t="shared" si="5"/>
        <v>1</v>
      </c>
      <c r="G288" s="123">
        <f t="shared" si="2"/>
        <v>0.2408333333</v>
      </c>
      <c r="H288">
        <f t="shared" si="3"/>
        <v>0.4816666667</v>
      </c>
    </row>
    <row r="289">
      <c r="A289" s="78" t="s">
        <v>687</v>
      </c>
      <c r="B289" s="78">
        <v>6.0</v>
      </c>
      <c r="C289" s="78">
        <f>'Catchment Area'!C293</f>
        <v>720</v>
      </c>
      <c r="D289">
        <f t="shared" si="1"/>
        <v>144</v>
      </c>
      <c r="E289">
        <f t="shared" si="4"/>
        <v>1531.2</v>
      </c>
      <c r="F289" t="str">
        <f t="shared" si="5"/>
        <v> </v>
      </c>
      <c r="G289" s="123">
        <f t="shared" si="2"/>
        <v>0.025</v>
      </c>
      <c r="H289">
        <f t="shared" si="3"/>
        <v>0.05</v>
      </c>
    </row>
    <row r="290">
      <c r="A290" s="78" t="s">
        <v>689</v>
      </c>
      <c r="B290" s="78">
        <v>9.2</v>
      </c>
      <c r="C290" s="78">
        <f>'Catchment Area'!C294</f>
        <v>1104</v>
      </c>
      <c r="D290">
        <f t="shared" si="1"/>
        <v>220.8</v>
      </c>
      <c r="E290">
        <f t="shared" si="4"/>
        <v>1752</v>
      </c>
      <c r="F290" t="str">
        <f t="shared" si="5"/>
        <v> </v>
      </c>
      <c r="G290" s="123">
        <f t="shared" si="2"/>
        <v>0.03833333333</v>
      </c>
      <c r="H290">
        <f t="shared" si="3"/>
        <v>0.07666666667</v>
      </c>
    </row>
    <row r="291">
      <c r="A291" s="78" t="s">
        <v>691</v>
      </c>
      <c r="B291" s="78">
        <v>0.4</v>
      </c>
      <c r="C291" s="78">
        <f>'Catchment Area'!C295</f>
        <v>48</v>
      </c>
      <c r="D291">
        <f t="shared" si="1"/>
        <v>9.6</v>
      </c>
      <c r="E291">
        <f t="shared" si="4"/>
        <v>1761.6</v>
      </c>
      <c r="F291" t="str">
        <f t="shared" si="5"/>
        <v> </v>
      </c>
      <c r="G291" s="123">
        <f t="shared" si="2"/>
        <v>0.001666666667</v>
      </c>
      <c r="H291">
        <f t="shared" si="3"/>
        <v>0.003333333333</v>
      </c>
    </row>
    <row r="292">
      <c r="A292" s="78" t="s">
        <v>693</v>
      </c>
      <c r="B292" s="78">
        <v>0.0</v>
      </c>
      <c r="C292" s="78">
        <f>'Catchment Area'!C296</f>
        <v>0</v>
      </c>
      <c r="D292">
        <f t="shared" si="1"/>
        <v>0</v>
      </c>
      <c r="E292">
        <f t="shared" si="4"/>
        <v>1761.6</v>
      </c>
      <c r="F292" t="str">
        <f t="shared" si="5"/>
        <v> </v>
      </c>
      <c r="G292" s="123">
        <f t="shared" si="2"/>
        <v>0</v>
      </c>
      <c r="H292">
        <f t="shared" si="3"/>
        <v>0</v>
      </c>
    </row>
    <row r="293">
      <c r="A293" s="78" t="s">
        <v>695</v>
      </c>
      <c r="B293" s="78">
        <v>1.4</v>
      </c>
      <c r="C293" s="78">
        <f>'Catchment Area'!C297</f>
        <v>168</v>
      </c>
      <c r="D293">
        <f t="shared" si="1"/>
        <v>33.6</v>
      </c>
      <c r="E293">
        <f t="shared" si="4"/>
        <v>1795.2</v>
      </c>
      <c r="F293" t="str">
        <f t="shared" si="5"/>
        <v> </v>
      </c>
      <c r="G293" s="123">
        <f t="shared" si="2"/>
        <v>0.005833333333</v>
      </c>
      <c r="H293">
        <f t="shared" si="3"/>
        <v>0.01166666667</v>
      </c>
    </row>
    <row r="294">
      <c r="A294" s="78" t="s">
        <v>697</v>
      </c>
      <c r="B294" s="78">
        <v>1.8</v>
      </c>
      <c r="C294" s="78">
        <f>'Catchment Area'!C298</f>
        <v>216</v>
      </c>
      <c r="D294">
        <f t="shared" si="1"/>
        <v>43.2</v>
      </c>
      <c r="E294">
        <f t="shared" si="4"/>
        <v>1838.4</v>
      </c>
      <c r="F294" t="str">
        <f t="shared" si="5"/>
        <v> </v>
      </c>
      <c r="G294" s="123">
        <f t="shared" si="2"/>
        <v>0.0075</v>
      </c>
      <c r="H294">
        <f t="shared" si="3"/>
        <v>0.015</v>
      </c>
    </row>
    <row r="295">
      <c r="A295" s="78" t="s">
        <v>699</v>
      </c>
      <c r="B295" s="78">
        <v>17.8</v>
      </c>
      <c r="C295" s="78">
        <f>'Catchment Area'!C299</f>
        <v>2136</v>
      </c>
      <c r="D295">
        <f t="shared" si="1"/>
        <v>427.2</v>
      </c>
      <c r="E295">
        <f t="shared" si="4"/>
        <v>2265.6</v>
      </c>
      <c r="F295" t="str">
        <f t="shared" si="5"/>
        <v> </v>
      </c>
      <c r="G295" s="123">
        <f t="shared" si="2"/>
        <v>0.07416666667</v>
      </c>
      <c r="H295">
        <f t="shared" si="3"/>
        <v>0.1483333333</v>
      </c>
    </row>
    <row r="296">
      <c r="A296" s="78" t="s">
        <v>701</v>
      </c>
      <c r="B296" s="78">
        <v>15.4</v>
      </c>
      <c r="C296" s="78">
        <f>'Catchment Area'!C300</f>
        <v>1848</v>
      </c>
      <c r="D296">
        <f t="shared" si="1"/>
        <v>369.6</v>
      </c>
      <c r="E296">
        <f t="shared" si="4"/>
        <v>2635.2</v>
      </c>
      <c r="F296" t="str">
        <f t="shared" si="5"/>
        <v> </v>
      </c>
      <c r="G296" s="123">
        <f t="shared" si="2"/>
        <v>0.06416666667</v>
      </c>
      <c r="H296">
        <f t="shared" si="3"/>
        <v>0.1283333333</v>
      </c>
    </row>
    <row r="297">
      <c r="A297" s="78" t="s">
        <v>703</v>
      </c>
      <c r="B297" s="78">
        <v>33.0</v>
      </c>
      <c r="C297" s="78">
        <f>'Catchment Area'!C301</f>
        <v>3960</v>
      </c>
      <c r="D297">
        <f t="shared" si="1"/>
        <v>792</v>
      </c>
      <c r="E297">
        <f t="shared" si="4"/>
        <v>792</v>
      </c>
      <c r="F297">
        <f t="shared" si="5"/>
        <v>1</v>
      </c>
      <c r="G297" s="123">
        <f t="shared" si="2"/>
        <v>0.1375</v>
      </c>
      <c r="H297">
        <f t="shared" si="3"/>
        <v>0.275</v>
      </c>
    </row>
    <row r="298">
      <c r="A298" s="78" t="s">
        <v>705</v>
      </c>
      <c r="B298" s="78">
        <v>31.4</v>
      </c>
      <c r="C298" s="78">
        <f>'Catchment Area'!C302</f>
        <v>3768</v>
      </c>
      <c r="D298">
        <f t="shared" si="1"/>
        <v>753.6</v>
      </c>
      <c r="E298">
        <f t="shared" si="4"/>
        <v>1545.6</v>
      </c>
      <c r="F298" t="str">
        <f t="shared" si="5"/>
        <v> </v>
      </c>
      <c r="G298" s="123">
        <f t="shared" si="2"/>
        <v>0.1308333333</v>
      </c>
      <c r="H298">
        <f t="shared" si="3"/>
        <v>0.2616666667</v>
      </c>
    </row>
    <row r="299">
      <c r="A299" s="78" t="s">
        <v>707</v>
      </c>
      <c r="B299" s="78">
        <v>28.4</v>
      </c>
      <c r="C299" s="78">
        <f>'Catchment Area'!C303</f>
        <v>3408</v>
      </c>
      <c r="D299">
        <f t="shared" si="1"/>
        <v>681.6</v>
      </c>
      <c r="E299">
        <f t="shared" si="4"/>
        <v>2227.2</v>
      </c>
      <c r="F299" t="str">
        <f t="shared" si="5"/>
        <v> </v>
      </c>
      <c r="G299" s="123">
        <f t="shared" si="2"/>
        <v>0.1183333333</v>
      </c>
      <c r="H299">
        <f t="shared" si="3"/>
        <v>0.2366666667</v>
      </c>
    </row>
    <row r="300">
      <c r="A300" s="78" t="s">
        <v>709</v>
      </c>
      <c r="B300" s="78">
        <v>6.4</v>
      </c>
      <c r="C300" s="78">
        <f>'Catchment Area'!C304</f>
        <v>768</v>
      </c>
      <c r="D300">
        <f t="shared" si="1"/>
        <v>153.6</v>
      </c>
      <c r="E300">
        <f t="shared" si="4"/>
        <v>2380.8</v>
      </c>
      <c r="F300" t="str">
        <f t="shared" si="5"/>
        <v> </v>
      </c>
      <c r="G300" s="123">
        <f t="shared" si="2"/>
        <v>0.02666666667</v>
      </c>
      <c r="H300">
        <f t="shared" si="3"/>
        <v>0.05333333333</v>
      </c>
    </row>
    <row r="301">
      <c r="A301" s="78" t="s">
        <v>711</v>
      </c>
      <c r="B301" s="78">
        <v>17.2</v>
      </c>
      <c r="C301" s="78">
        <f>'Catchment Area'!C305</f>
        <v>2064</v>
      </c>
      <c r="D301">
        <f t="shared" si="1"/>
        <v>412.8</v>
      </c>
      <c r="E301">
        <f t="shared" si="4"/>
        <v>2793.6</v>
      </c>
      <c r="F301" t="str">
        <f t="shared" si="5"/>
        <v> </v>
      </c>
      <c r="G301" s="123">
        <f t="shared" si="2"/>
        <v>0.07166666667</v>
      </c>
      <c r="H301">
        <f t="shared" si="3"/>
        <v>0.1433333333</v>
      </c>
    </row>
    <row r="302">
      <c r="A302" s="78" t="s">
        <v>713</v>
      </c>
      <c r="B302" s="78">
        <v>27.0</v>
      </c>
      <c r="C302" s="78">
        <f>'Catchment Area'!C306</f>
        <v>3240</v>
      </c>
      <c r="D302">
        <f t="shared" si="1"/>
        <v>648</v>
      </c>
      <c r="E302">
        <f t="shared" si="4"/>
        <v>648</v>
      </c>
      <c r="F302">
        <f t="shared" si="5"/>
        <v>1</v>
      </c>
      <c r="G302" s="123">
        <f t="shared" si="2"/>
        <v>0.1125</v>
      </c>
      <c r="H302">
        <f t="shared" si="3"/>
        <v>0.225</v>
      </c>
    </row>
    <row r="303">
      <c r="A303" s="78" t="s">
        <v>715</v>
      </c>
      <c r="B303" s="78">
        <v>16.8</v>
      </c>
      <c r="C303" s="78">
        <f>'Catchment Area'!C307</f>
        <v>2016</v>
      </c>
      <c r="D303">
        <f t="shared" si="1"/>
        <v>403.2</v>
      </c>
      <c r="E303">
        <f t="shared" si="4"/>
        <v>1051.2</v>
      </c>
      <c r="F303" t="str">
        <f t="shared" si="5"/>
        <v> </v>
      </c>
      <c r="G303" s="123">
        <f t="shared" si="2"/>
        <v>0.07</v>
      </c>
      <c r="H303">
        <f t="shared" si="3"/>
        <v>0.14</v>
      </c>
    </row>
    <row r="304">
      <c r="A304" s="78" t="s">
        <v>717</v>
      </c>
      <c r="B304" s="78">
        <v>46.2</v>
      </c>
      <c r="C304" s="78">
        <f>'Catchment Area'!C308</f>
        <v>5544</v>
      </c>
      <c r="D304">
        <f t="shared" si="1"/>
        <v>1108.8</v>
      </c>
      <c r="E304">
        <f t="shared" si="4"/>
        <v>2160</v>
      </c>
      <c r="F304" t="str">
        <f t="shared" si="5"/>
        <v> </v>
      </c>
      <c r="G304" s="123">
        <f t="shared" si="2"/>
        <v>0.1925</v>
      </c>
      <c r="H304">
        <f t="shared" si="3"/>
        <v>0.385</v>
      </c>
    </row>
    <row r="305">
      <c r="A305" s="78" t="s">
        <v>719</v>
      </c>
      <c r="B305" s="78">
        <v>10.8</v>
      </c>
      <c r="C305" s="78">
        <f>'Catchment Area'!C309</f>
        <v>1296</v>
      </c>
      <c r="D305">
        <f t="shared" si="1"/>
        <v>259.2</v>
      </c>
      <c r="E305">
        <f t="shared" si="4"/>
        <v>2419.2</v>
      </c>
      <c r="F305" t="str">
        <f t="shared" si="5"/>
        <v> </v>
      </c>
      <c r="G305" s="123">
        <f t="shared" si="2"/>
        <v>0.045</v>
      </c>
      <c r="H305">
        <f t="shared" si="3"/>
        <v>0.09</v>
      </c>
    </row>
    <row r="306">
      <c r="A306" s="78" t="s">
        <v>721</v>
      </c>
      <c r="B306" s="78">
        <v>40.2</v>
      </c>
      <c r="C306" s="78">
        <f>'Catchment Area'!C310</f>
        <v>4824</v>
      </c>
      <c r="D306">
        <f t="shared" si="1"/>
        <v>964.8</v>
      </c>
      <c r="E306">
        <f t="shared" si="4"/>
        <v>964.8</v>
      </c>
      <c r="F306">
        <f t="shared" si="5"/>
        <v>1</v>
      </c>
      <c r="G306" s="123">
        <f t="shared" si="2"/>
        <v>0.1675</v>
      </c>
      <c r="H306">
        <f t="shared" si="3"/>
        <v>0.335</v>
      </c>
    </row>
    <row r="307">
      <c r="A307" s="78" t="s">
        <v>723</v>
      </c>
      <c r="B307" s="78">
        <v>21.4</v>
      </c>
      <c r="C307" s="78">
        <f>'Catchment Area'!C311</f>
        <v>2568</v>
      </c>
      <c r="D307">
        <f t="shared" si="1"/>
        <v>513.6</v>
      </c>
      <c r="E307">
        <f t="shared" si="4"/>
        <v>1478.4</v>
      </c>
      <c r="F307" t="str">
        <f t="shared" si="5"/>
        <v> </v>
      </c>
      <c r="G307" s="123">
        <f t="shared" si="2"/>
        <v>0.08916666667</v>
      </c>
      <c r="H307">
        <f t="shared" si="3"/>
        <v>0.1783333333</v>
      </c>
    </row>
    <row r="308">
      <c r="A308" s="78" t="s">
        <v>725</v>
      </c>
      <c r="B308" s="78">
        <v>9.4</v>
      </c>
      <c r="C308" s="78">
        <f>'Catchment Area'!C312</f>
        <v>1128</v>
      </c>
      <c r="D308">
        <f t="shared" si="1"/>
        <v>225.6</v>
      </c>
      <c r="E308">
        <f t="shared" si="4"/>
        <v>1704</v>
      </c>
      <c r="F308" t="str">
        <f t="shared" si="5"/>
        <v> </v>
      </c>
      <c r="G308" s="123">
        <f t="shared" si="2"/>
        <v>0.03916666667</v>
      </c>
      <c r="H308">
        <f t="shared" si="3"/>
        <v>0.07833333333</v>
      </c>
    </row>
    <row r="309">
      <c r="A309" s="78" t="s">
        <v>727</v>
      </c>
      <c r="B309" s="78">
        <v>1.6</v>
      </c>
      <c r="C309" s="78">
        <f>'Catchment Area'!C313</f>
        <v>192</v>
      </c>
      <c r="D309">
        <f t="shared" si="1"/>
        <v>38.4</v>
      </c>
      <c r="E309">
        <f t="shared" si="4"/>
        <v>1742.4</v>
      </c>
      <c r="F309" t="str">
        <f t="shared" si="5"/>
        <v> </v>
      </c>
      <c r="G309" s="123">
        <f t="shared" si="2"/>
        <v>0.006666666667</v>
      </c>
      <c r="H309">
        <f t="shared" si="3"/>
        <v>0.01333333333</v>
      </c>
    </row>
    <row r="310">
      <c r="A310" s="78" t="s">
        <v>729</v>
      </c>
      <c r="B310" s="78">
        <v>21.8</v>
      </c>
      <c r="C310" s="78">
        <f>'Catchment Area'!C314</f>
        <v>2616</v>
      </c>
      <c r="D310">
        <f t="shared" si="1"/>
        <v>523.2</v>
      </c>
      <c r="E310">
        <f t="shared" si="4"/>
        <v>2265.6</v>
      </c>
      <c r="F310" t="str">
        <f t="shared" si="5"/>
        <v> </v>
      </c>
      <c r="G310" s="123">
        <f t="shared" si="2"/>
        <v>0.09083333333</v>
      </c>
      <c r="H310">
        <f t="shared" si="3"/>
        <v>0.1816666667</v>
      </c>
    </row>
    <row r="311">
      <c r="A311" s="78" t="s">
        <v>731</v>
      </c>
      <c r="B311" s="78">
        <v>2.4</v>
      </c>
      <c r="C311" s="78">
        <f>'Catchment Area'!C315</f>
        <v>288</v>
      </c>
      <c r="D311">
        <f t="shared" si="1"/>
        <v>57.6</v>
      </c>
      <c r="E311">
        <f t="shared" si="4"/>
        <v>2323.2</v>
      </c>
      <c r="F311" t="str">
        <f t="shared" si="5"/>
        <v> </v>
      </c>
      <c r="G311" s="123">
        <f t="shared" si="2"/>
        <v>0.01</v>
      </c>
      <c r="H311">
        <f t="shared" si="3"/>
        <v>0.02</v>
      </c>
    </row>
    <row r="312">
      <c r="A312" s="78" t="s">
        <v>733</v>
      </c>
      <c r="B312" s="78">
        <v>33.6</v>
      </c>
      <c r="C312" s="78">
        <f>'Catchment Area'!C316</f>
        <v>4032</v>
      </c>
      <c r="D312">
        <f t="shared" si="1"/>
        <v>806.4</v>
      </c>
      <c r="E312">
        <f t="shared" si="4"/>
        <v>806.4</v>
      </c>
      <c r="F312">
        <f t="shared" si="5"/>
        <v>1</v>
      </c>
      <c r="G312" s="123">
        <f t="shared" si="2"/>
        <v>0.14</v>
      </c>
      <c r="H312">
        <f t="shared" si="3"/>
        <v>0.28</v>
      </c>
    </row>
    <row r="313">
      <c r="A313" s="78" t="s">
        <v>735</v>
      </c>
      <c r="B313" s="78">
        <v>24.4</v>
      </c>
      <c r="C313" s="78">
        <f>'Catchment Area'!C317</f>
        <v>2928</v>
      </c>
      <c r="D313">
        <f t="shared" si="1"/>
        <v>585.6</v>
      </c>
      <c r="E313">
        <f t="shared" si="4"/>
        <v>1392</v>
      </c>
      <c r="F313" t="str">
        <f t="shared" si="5"/>
        <v> </v>
      </c>
      <c r="G313" s="123">
        <f t="shared" si="2"/>
        <v>0.1016666667</v>
      </c>
      <c r="H313">
        <f t="shared" si="3"/>
        <v>0.2033333333</v>
      </c>
    </row>
    <row r="314">
      <c r="A314" s="78" t="s">
        <v>737</v>
      </c>
      <c r="B314" s="78">
        <v>7.0</v>
      </c>
      <c r="C314" s="78">
        <f>'Catchment Area'!C318</f>
        <v>840</v>
      </c>
      <c r="D314">
        <f t="shared" si="1"/>
        <v>168</v>
      </c>
      <c r="E314">
        <f t="shared" si="4"/>
        <v>1560</v>
      </c>
      <c r="F314" t="str">
        <f t="shared" si="5"/>
        <v> </v>
      </c>
      <c r="G314" s="123">
        <f t="shared" si="2"/>
        <v>0.02916666667</v>
      </c>
      <c r="H314">
        <f t="shared" si="3"/>
        <v>0.05833333333</v>
      </c>
    </row>
    <row r="315">
      <c r="A315" s="78" t="s">
        <v>739</v>
      </c>
      <c r="B315" s="78">
        <v>9.0</v>
      </c>
      <c r="C315" s="78">
        <f>'Catchment Area'!C319</f>
        <v>1080</v>
      </c>
      <c r="D315">
        <f t="shared" si="1"/>
        <v>216</v>
      </c>
      <c r="E315">
        <f t="shared" si="4"/>
        <v>1776</v>
      </c>
      <c r="F315" t="str">
        <f t="shared" si="5"/>
        <v> </v>
      </c>
      <c r="G315" s="123">
        <f t="shared" si="2"/>
        <v>0.0375</v>
      </c>
      <c r="H315">
        <f t="shared" si="3"/>
        <v>0.075</v>
      </c>
    </row>
    <row r="316">
      <c r="A316" s="78" t="s">
        <v>741</v>
      </c>
      <c r="B316" s="78">
        <v>15.0</v>
      </c>
      <c r="C316" s="78">
        <f>'Catchment Area'!C320</f>
        <v>1800</v>
      </c>
      <c r="D316">
        <f t="shared" si="1"/>
        <v>360</v>
      </c>
      <c r="E316">
        <f t="shared" si="4"/>
        <v>2136</v>
      </c>
      <c r="F316" t="str">
        <f t="shared" si="5"/>
        <v> </v>
      </c>
      <c r="G316" s="123">
        <f t="shared" si="2"/>
        <v>0.0625</v>
      </c>
      <c r="H316">
        <f t="shared" si="3"/>
        <v>0.125</v>
      </c>
    </row>
    <row r="317">
      <c r="A317" s="78" t="s">
        <v>743</v>
      </c>
      <c r="B317" s="78">
        <v>6.4</v>
      </c>
      <c r="C317" s="78">
        <f>'Catchment Area'!C321</f>
        <v>768</v>
      </c>
      <c r="D317">
        <f t="shared" si="1"/>
        <v>153.6</v>
      </c>
      <c r="E317">
        <f t="shared" si="4"/>
        <v>2289.6</v>
      </c>
      <c r="F317" t="str">
        <f t="shared" si="5"/>
        <v> </v>
      </c>
      <c r="G317" s="123">
        <f t="shared" si="2"/>
        <v>0.02666666667</v>
      </c>
      <c r="H317">
        <f t="shared" si="3"/>
        <v>0.05333333333</v>
      </c>
    </row>
    <row r="318">
      <c r="A318" s="78" t="s">
        <v>745</v>
      </c>
      <c r="B318" s="78">
        <v>37.6</v>
      </c>
      <c r="C318" s="78">
        <f>'Catchment Area'!C322</f>
        <v>4512</v>
      </c>
      <c r="D318">
        <f t="shared" si="1"/>
        <v>902.4</v>
      </c>
      <c r="E318">
        <f t="shared" si="4"/>
        <v>902.4</v>
      </c>
      <c r="F318">
        <f t="shared" si="5"/>
        <v>1</v>
      </c>
      <c r="G318" s="123">
        <f t="shared" si="2"/>
        <v>0.1566666667</v>
      </c>
      <c r="H318">
        <f t="shared" si="3"/>
        <v>0.3133333333</v>
      </c>
    </row>
    <row r="319">
      <c r="A319" s="78" t="s">
        <v>747</v>
      </c>
      <c r="B319" s="78">
        <v>35.2</v>
      </c>
      <c r="C319" s="78">
        <f>'Catchment Area'!C323</f>
        <v>4224</v>
      </c>
      <c r="D319">
        <f t="shared" si="1"/>
        <v>844.8</v>
      </c>
      <c r="E319">
        <f t="shared" si="4"/>
        <v>1747.2</v>
      </c>
      <c r="F319" t="str">
        <f t="shared" si="5"/>
        <v> </v>
      </c>
      <c r="G319" s="123">
        <f t="shared" si="2"/>
        <v>0.1466666667</v>
      </c>
      <c r="H319">
        <f t="shared" si="3"/>
        <v>0.2933333333</v>
      </c>
    </row>
    <row r="320">
      <c r="A320" s="78" t="s">
        <v>749</v>
      </c>
      <c r="B320" s="78">
        <v>9.0</v>
      </c>
      <c r="C320" s="78">
        <f>'Catchment Area'!C324</f>
        <v>1080</v>
      </c>
      <c r="D320">
        <f t="shared" si="1"/>
        <v>216</v>
      </c>
      <c r="E320">
        <f t="shared" si="4"/>
        <v>1963.2</v>
      </c>
      <c r="F320" t="str">
        <f t="shared" si="5"/>
        <v> </v>
      </c>
      <c r="G320" s="123">
        <f t="shared" si="2"/>
        <v>0.0375</v>
      </c>
      <c r="H320">
        <f t="shared" si="3"/>
        <v>0.075</v>
      </c>
    </row>
    <row r="321">
      <c r="A321" s="78" t="s">
        <v>751</v>
      </c>
      <c r="B321" s="78">
        <v>4.4</v>
      </c>
      <c r="C321" s="78">
        <f>'Catchment Area'!C325</f>
        <v>528</v>
      </c>
      <c r="D321">
        <f t="shared" si="1"/>
        <v>105.6</v>
      </c>
      <c r="E321">
        <f t="shared" si="4"/>
        <v>2068.8</v>
      </c>
      <c r="F321" t="str">
        <f t="shared" si="5"/>
        <v> </v>
      </c>
      <c r="G321" s="123">
        <f t="shared" si="2"/>
        <v>0.01833333333</v>
      </c>
      <c r="H321">
        <f t="shared" si="3"/>
        <v>0.03666666667</v>
      </c>
    </row>
    <row r="322">
      <c r="A322" s="78" t="s">
        <v>753</v>
      </c>
      <c r="B322" s="78">
        <v>20.2</v>
      </c>
      <c r="C322" s="78">
        <f>'Catchment Area'!C326</f>
        <v>2424</v>
      </c>
      <c r="D322">
        <f t="shared" si="1"/>
        <v>484.8</v>
      </c>
      <c r="E322">
        <f t="shared" si="4"/>
        <v>2553.6</v>
      </c>
      <c r="F322" t="str">
        <f t="shared" si="5"/>
        <v> </v>
      </c>
      <c r="G322" s="123">
        <f t="shared" si="2"/>
        <v>0.08416666667</v>
      </c>
      <c r="H322">
        <f t="shared" si="3"/>
        <v>0.1683333333</v>
      </c>
    </row>
    <row r="323">
      <c r="A323" s="78" t="s">
        <v>755</v>
      </c>
      <c r="B323" s="78">
        <v>1.4</v>
      </c>
      <c r="C323" s="78">
        <f>'Catchment Area'!C327</f>
        <v>168</v>
      </c>
      <c r="D323">
        <f t="shared" si="1"/>
        <v>33.6</v>
      </c>
      <c r="E323">
        <f t="shared" si="4"/>
        <v>2587.2</v>
      </c>
      <c r="F323" t="str">
        <f t="shared" si="5"/>
        <v> </v>
      </c>
      <c r="G323" s="123">
        <f t="shared" si="2"/>
        <v>0.005833333333</v>
      </c>
      <c r="H323">
        <f t="shared" si="3"/>
        <v>0.01166666667</v>
      </c>
    </row>
    <row r="324">
      <c r="A324" s="78" t="s">
        <v>757</v>
      </c>
      <c r="B324" s="78">
        <v>34.0</v>
      </c>
      <c r="C324" s="78">
        <f>'Catchment Area'!C328</f>
        <v>4080</v>
      </c>
      <c r="D324">
        <f t="shared" si="1"/>
        <v>816</v>
      </c>
      <c r="E324">
        <f t="shared" si="4"/>
        <v>816</v>
      </c>
      <c r="F324">
        <f t="shared" si="5"/>
        <v>1</v>
      </c>
      <c r="G324" s="123">
        <f t="shared" si="2"/>
        <v>0.1416666667</v>
      </c>
      <c r="H324">
        <f t="shared" si="3"/>
        <v>0.2833333333</v>
      </c>
    </row>
    <row r="325">
      <c r="A325" s="78" t="s">
        <v>759</v>
      </c>
      <c r="B325" s="78">
        <v>0.0</v>
      </c>
      <c r="C325" s="78">
        <f>'Catchment Area'!C329</f>
        <v>0</v>
      </c>
      <c r="D325">
        <f t="shared" si="1"/>
        <v>0</v>
      </c>
      <c r="E325">
        <f t="shared" si="4"/>
        <v>816</v>
      </c>
      <c r="F325" t="str">
        <f t="shared" si="5"/>
        <v> </v>
      </c>
      <c r="G325" s="123">
        <f t="shared" si="2"/>
        <v>0</v>
      </c>
      <c r="H325">
        <f t="shared" si="3"/>
        <v>0</v>
      </c>
    </row>
    <row r="326">
      <c r="A326" s="78" t="s">
        <v>761</v>
      </c>
      <c r="B326" s="78">
        <v>0.0</v>
      </c>
      <c r="C326" s="78">
        <f>'Catchment Area'!C330</f>
        <v>0</v>
      </c>
      <c r="D326">
        <f t="shared" si="1"/>
        <v>0</v>
      </c>
      <c r="E326">
        <f t="shared" si="4"/>
        <v>816</v>
      </c>
      <c r="F326" t="str">
        <f t="shared" si="5"/>
        <v> </v>
      </c>
      <c r="G326" s="123">
        <f t="shared" si="2"/>
        <v>0</v>
      </c>
      <c r="H326">
        <f t="shared" si="3"/>
        <v>0</v>
      </c>
    </row>
    <row r="327">
      <c r="A327" s="78" t="s">
        <v>763</v>
      </c>
      <c r="B327" s="78">
        <v>0.0</v>
      </c>
      <c r="C327" s="78">
        <f>'Catchment Area'!C331</f>
        <v>0</v>
      </c>
      <c r="D327">
        <f t="shared" si="1"/>
        <v>0</v>
      </c>
      <c r="E327">
        <f t="shared" si="4"/>
        <v>816</v>
      </c>
      <c r="F327" t="str">
        <f t="shared" si="5"/>
        <v> </v>
      </c>
      <c r="G327" s="123">
        <f t="shared" si="2"/>
        <v>0</v>
      </c>
      <c r="H327">
        <f t="shared" si="3"/>
        <v>0</v>
      </c>
    </row>
    <row r="328">
      <c r="A328" s="78" t="s">
        <v>765</v>
      </c>
      <c r="B328" s="78">
        <v>0.0</v>
      </c>
      <c r="C328" s="78">
        <f>'Catchment Area'!C332</f>
        <v>0</v>
      </c>
      <c r="D328">
        <f t="shared" si="1"/>
        <v>0</v>
      </c>
      <c r="E328">
        <f t="shared" si="4"/>
        <v>816</v>
      </c>
      <c r="F328" t="str">
        <f t="shared" si="5"/>
        <v> </v>
      </c>
      <c r="G328" s="123">
        <f t="shared" si="2"/>
        <v>0</v>
      </c>
      <c r="H328">
        <f t="shared" si="3"/>
        <v>0</v>
      </c>
    </row>
    <row r="329">
      <c r="A329" s="78" t="s">
        <v>767</v>
      </c>
      <c r="B329" s="78">
        <v>0.0</v>
      </c>
      <c r="C329" s="78">
        <f>'Catchment Area'!C333</f>
        <v>0</v>
      </c>
      <c r="D329">
        <f t="shared" si="1"/>
        <v>0</v>
      </c>
      <c r="E329">
        <f t="shared" si="4"/>
        <v>816</v>
      </c>
      <c r="F329" t="str">
        <f t="shared" si="5"/>
        <v> </v>
      </c>
      <c r="G329" s="123">
        <f t="shared" si="2"/>
        <v>0</v>
      </c>
      <c r="H329">
        <f t="shared" si="3"/>
        <v>0</v>
      </c>
    </row>
    <row r="330">
      <c r="A330" s="78" t="s">
        <v>769</v>
      </c>
      <c r="B330" s="78">
        <v>0.0</v>
      </c>
      <c r="C330" s="78">
        <f>'Catchment Area'!C334</f>
        <v>0</v>
      </c>
      <c r="D330">
        <f t="shared" si="1"/>
        <v>0</v>
      </c>
      <c r="E330">
        <f t="shared" si="4"/>
        <v>816</v>
      </c>
      <c r="F330" t="str">
        <f t="shared" si="5"/>
        <v> </v>
      </c>
      <c r="G330" s="123">
        <f t="shared" si="2"/>
        <v>0</v>
      </c>
      <c r="H330">
        <f t="shared" si="3"/>
        <v>0</v>
      </c>
    </row>
    <row r="331">
      <c r="A331" s="78" t="s">
        <v>771</v>
      </c>
      <c r="B331" s="78">
        <v>0.0</v>
      </c>
      <c r="C331" s="78">
        <f>'Catchment Area'!C335</f>
        <v>0</v>
      </c>
      <c r="D331">
        <f t="shared" si="1"/>
        <v>0</v>
      </c>
      <c r="E331">
        <f t="shared" si="4"/>
        <v>816</v>
      </c>
      <c r="F331" t="str">
        <f t="shared" si="5"/>
        <v> </v>
      </c>
      <c r="G331" s="123">
        <f t="shared" si="2"/>
        <v>0</v>
      </c>
      <c r="H331">
        <f t="shared" si="3"/>
        <v>0</v>
      </c>
    </row>
    <row r="332">
      <c r="A332" s="78" t="s">
        <v>773</v>
      </c>
      <c r="B332" s="78">
        <v>0.0</v>
      </c>
      <c r="C332" s="78">
        <f>'Catchment Area'!C336</f>
        <v>0</v>
      </c>
      <c r="D332">
        <f t="shared" si="1"/>
        <v>0</v>
      </c>
      <c r="E332">
        <f t="shared" si="4"/>
        <v>816</v>
      </c>
      <c r="F332" t="str">
        <f t="shared" si="5"/>
        <v> </v>
      </c>
      <c r="G332" s="123">
        <f t="shared" si="2"/>
        <v>0</v>
      </c>
      <c r="H332">
        <f t="shared" si="3"/>
        <v>0</v>
      </c>
    </row>
    <row r="333">
      <c r="A333" s="78" t="s">
        <v>775</v>
      </c>
      <c r="B333" s="78">
        <v>0.0</v>
      </c>
      <c r="C333" s="78">
        <f>'Catchment Area'!C337</f>
        <v>0</v>
      </c>
      <c r="D333">
        <f t="shared" si="1"/>
        <v>0</v>
      </c>
      <c r="E333">
        <f t="shared" si="4"/>
        <v>816</v>
      </c>
      <c r="F333" t="str">
        <f t="shared" si="5"/>
        <v> </v>
      </c>
      <c r="G333" s="123">
        <f t="shared" si="2"/>
        <v>0</v>
      </c>
      <c r="H333">
        <f t="shared" si="3"/>
        <v>0</v>
      </c>
    </row>
    <row r="334">
      <c r="A334" s="78" t="s">
        <v>777</v>
      </c>
      <c r="B334" s="78">
        <v>0.0</v>
      </c>
      <c r="C334" s="78">
        <f>'Catchment Area'!C338</f>
        <v>0</v>
      </c>
      <c r="D334">
        <f t="shared" si="1"/>
        <v>0</v>
      </c>
      <c r="E334">
        <f t="shared" si="4"/>
        <v>816</v>
      </c>
      <c r="F334" t="str">
        <f t="shared" si="5"/>
        <v> </v>
      </c>
      <c r="G334" s="123">
        <f t="shared" si="2"/>
        <v>0</v>
      </c>
      <c r="H334">
        <f t="shared" si="3"/>
        <v>0</v>
      </c>
    </row>
    <row r="335">
      <c r="A335" s="78" t="s">
        <v>779</v>
      </c>
      <c r="B335" s="78">
        <v>3.4</v>
      </c>
      <c r="C335" s="78">
        <f>'Catchment Area'!C339</f>
        <v>408</v>
      </c>
      <c r="D335">
        <f t="shared" si="1"/>
        <v>81.6</v>
      </c>
      <c r="E335">
        <f t="shared" si="4"/>
        <v>897.6</v>
      </c>
      <c r="F335" t="str">
        <f t="shared" si="5"/>
        <v> </v>
      </c>
      <c r="G335" s="123">
        <f t="shared" si="2"/>
        <v>0.01416666667</v>
      </c>
      <c r="H335">
        <f t="shared" si="3"/>
        <v>0.02833333333</v>
      </c>
    </row>
    <row r="336">
      <c r="A336" s="78" t="s">
        <v>781</v>
      </c>
      <c r="B336" s="78">
        <v>29.4</v>
      </c>
      <c r="C336" s="78">
        <f>'Catchment Area'!C340</f>
        <v>3528</v>
      </c>
      <c r="D336">
        <f t="shared" si="1"/>
        <v>705.6</v>
      </c>
      <c r="E336">
        <f t="shared" si="4"/>
        <v>1603.2</v>
      </c>
      <c r="F336" t="str">
        <f t="shared" si="5"/>
        <v> </v>
      </c>
      <c r="G336" s="123">
        <f t="shared" si="2"/>
        <v>0.1225</v>
      </c>
      <c r="H336">
        <f t="shared" si="3"/>
        <v>0.245</v>
      </c>
    </row>
    <row r="337">
      <c r="A337" s="78" t="s">
        <v>783</v>
      </c>
      <c r="B337" s="78">
        <v>32.8</v>
      </c>
      <c r="C337" s="78">
        <f>'Catchment Area'!C341</f>
        <v>3936</v>
      </c>
      <c r="D337">
        <f t="shared" si="1"/>
        <v>787.2</v>
      </c>
      <c r="E337">
        <f t="shared" si="4"/>
        <v>2390.4</v>
      </c>
      <c r="F337" t="str">
        <f t="shared" si="5"/>
        <v> </v>
      </c>
      <c r="G337" s="123">
        <f t="shared" si="2"/>
        <v>0.1366666667</v>
      </c>
      <c r="H337">
        <f t="shared" si="3"/>
        <v>0.2733333333</v>
      </c>
    </row>
    <row r="338">
      <c r="A338" s="78" t="s">
        <v>785</v>
      </c>
      <c r="B338" s="78">
        <v>25.6</v>
      </c>
      <c r="C338" s="78">
        <f>'Catchment Area'!C342</f>
        <v>3072</v>
      </c>
      <c r="D338">
        <f t="shared" si="1"/>
        <v>614.4</v>
      </c>
      <c r="E338">
        <f t="shared" si="4"/>
        <v>614.4</v>
      </c>
      <c r="F338">
        <f t="shared" si="5"/>
        <v>1</v>
      </c>
      <c r="G338" s="123">
        <f t="shared" si="2"/>
        <v>0.1066666667</v>
      </c>
      <c r="H338">
        <f t="shared" si="3"/>
        <v>0.2133333333</v>
      </c>
    </row>
    <row r="339">
      <c r="A339" s="78" t="s">
        <v>787</v>
      </c>
      <c r="B339" s="78">
        <v>15.2</v>
      </c>
      <c r="C339" s="78">
        <f>'Catchment Area'!C343</f>
        <v>1824</v>
      </c>
      <c r="D339">
        <f t="shared" si="1"/>
        <v>364.8</v>
      </c>
      <c r="E339">
        <f t="shared" si="4"/>
        <v>979.2</v>
      </c>
      <c r="F339" t="str">
        <f t="shared" si="5"/>
        <v> </v>
      </c>
      <c r="G339" s="123">
        <f t="shared" si="2"/>
        <v>0.06333333333</v>
      </c>
      <c r="H339">
        <f t="shared" si="3"/>
        <v>0.1266666667</v>
      </c>
    </row>
    <row r="340">
      <c r="A340" s="78" t="s">
        <v>789</v>
      </c>
      <c r="B340" s="78">
        <v>60.6</v>
      </c>
      <c r="C340" s="78">
        <f>'Catchment Area'!C344</f>
        <v>7272</v>
      </c>
      <c r="D340">
        <f t="shared" si="1"/>
        <v>1454.4</v>
      </c>
      <c r="E340">
        <f t="shared" si="4"/>
        <v>2433.6</v>
      </c>
      <c r="F340" t="str">
        <f t="shared" si="5"/>
        <v> </v>
      </c>
      <c r="G340" s="123">
        <f t="shared" si="2"/>
        <v>0.2525</v>
      </c>
      <c r="H340">
        <f t="shared" si="3"/>
        <v>0.505</v>
      </c>
    </row>
    <row r="341">
      <c r="A341" s="78" t="s">
        <v>791</v>
      </c>
      <c r="B341" s="78">
        <v>15.0</v>
      </c>
      <c r="C341" s="78">
        <f>'Catchment Area'!C345</f>
        <v>1800</v>
      </c>
      <c r="D341">
        <f t="shared" si="1"/>
        <v>360</v>
      </c>
      <c r="E341">
        <f t="shared" si="4"/>
        <v>2793.6</v>
      </c>
      <c r="F341" t="str">
        <f t="shared" si="5"/>
        <v> </v>
      </c>
      <c r="G341" s="123">
        <f t="shared" si="2"/>
        <v>0.0625</v>
      </c>
      <c r="H341">
        <f t="shared" si="3"/>
        <v>0.125</v>
      </c>
    </row>
    <row r="342">
      <c r="A342" s="78" t="s">
        <v>793</v>
      </c>
      <c r="B342" s="78">
        <v>43.0</v>
      </c>
      <c r="C342" s="78">
        <f>'Catchment Area'!C346</f>
        <v>5160</v>
      </c>
      <c r="D342">
        <f t="shared" si="1"/>
        <v>1032</v>
      </c>
      <c r="E342">
        <f t="shared" si="4"/>
        <v>1032</v>
      </c>
      <c r="F342">
        <f t="shared" si="5"/>
        <v>1</v>
      </c>
      <c r="G342" s="123">
        <f t="shared" si="2"/>
        <v>0.1791666667</v>
      </c>
      <c r="H342">
        <f t="shared" si="3"/>
        <v>0.3583333333</v>
      </c>
    </row>
    <row r="343">
      <c r="A343" s="78" t="s">
        <v>795</v>
      </c>
      <c r="B343" s="78">
        <v>15.0</v>
      </c>
      <c r="C343" s="78">
        <f>'Catchment Area'!C347</f>
        <v>1800</v>
      </c>
      <c r="D343">
        <f t="shared" si="1"/>
        <v>360</v>
      </c>
      <c r="E343">
        <f t="shared" si="4"/>
        <v>1392</v>
      </c>
      <c r="F343" t="str">
        <f t="shared" si="5"/>
        <v> </v>
      </c>
      <c r="G343" s="123">
        <f t="shared" si="2"/>
        <v>0.0625</v>
      </c>
      <c r="H343">
        <f t="shared" si="3"/>
        <v>0.125</v>
      </c>
    </row>
    <row r="344">
      <c r="A344" s="78" t="s">
        <v>797</v>
      </c>
      <c r="B344" s="78">
        <v>0.0</v>
      </c>
      <c r="C344" s="78">
        <f>'Catchment Area'!C348</f>
        <v>0</v>
      </c>
      <c r="D344">
        <f t="shared" si="1"/>
        <v>0</v>
      </c>
      <c r="E344">
        <f t="shared" si="4"/>
        <v>1392</v>
      </c>
      <c r="F344" t="str">
        <f t="shared" si="5"/>
        <v> </v>
      </c>
      <c r="G344" s="123">
        <f t="shared" si="2"/>
        <v>0</v>
      </c>
      <c r="H344">
        <f t="shared" si="3"/>
        <v>0</v>
      </c>
    </row>
    <row r="345">
      <c r="A345" s="78" t="s">
        <v>799</v>
      </c>
      <c r="B345" s="78">
        <v>0.0</v>
      </c>
      <c r="C345" s="78">
        <f>'Catchment Area'!C349</f>
        <v>0</v>
      </c>
      <c r="D345">
        <f t="shared" si="1"/>
        <v>0</v>
      </c>
      <c r="E345">
        <f t="shared" si="4"/>
        <v>1392</v>
      </c>
      <c r="F345" t="str">
        <f t="shared" si="5"/>
        <v> </v>
      </c>
      <c r="G345" s="123">
        <f t="shared" si="2"/>
        <v>0</v>
      </c>
      <c r="H345">
        <f t="shared" si="3"/>
        <v>0</v>
      </c>
    </row>
    <row r="346">
      <c r="A346" s="78" t="s">
        <v>801</v>
      </c>
      <c r="B346" s="78">
        <v>0.0</v>
      </c>
      <c r="C346" s="78">
        <f>'Catchment Area'!C350</f>
        <v>0</v>
      </c>
      <c r="D346">
        <f t="shared" si="1"/>
        <v>0</v>
      </c>
      <c r="E346">
        <f t="shared" si="4"/>
        <v>1392</v>
      </c>
      <c r="F346" t="str">
        <f t="shared" si="5"/>
        <v> </v>
      </c>
      <c r="G346" s="123">
        <f t="shared" si="2"/>
        <v>0</v>
      </c>
      <c r="H346">
        <f t="shared" si="3"/>
        <v>0</v>
      </c>
    </row>
    <row r="347">
      <c r="A347" s="78" t="s">
        <v>803</v>
      </c>
      <c r="B347" s="78">
        <v>0.0</v>
      </c>
      <c r="C347" s="78">
        <f>'Catchment Area'!C351</f>
        <v>0</v>
      </c>
      <c r="D347">
        <f t="shared" si="1"/>
        <v>0</v>
      </c>
      <c r="E347">
        <f t="shared" si="4"/>
        <v>1392</v>
      </c>
      <c r="F347" t="str">
        <f t="shared" si="5"/>
        <v> </v>
      </c>
      <c r="G347" s="123">
        <f t="shared" si="2"/>
        <v>0</v>
      </c>
      <c r="H347">
        <f t="shared" si="3"/>
        <v>0</v>
      </c>
    </row>
    <row r="348">
      <c r="A348" s="78" t="s">
        <v>805</v>
      </c>
      <c r="B348" s="78">
        <v>0.0</v>
      </c>
      <c r="C348" s="78">
        <f>'Catchment Area'!C352</f>
        <v>0</v>
      </c>
      <c r="D348">
        <f t="shared" si="1"/>
        <v>0</v>
      </c>
      <c r="E348">
        <f t="shared" si="4"/>
        <v>1392</v>
      </c>
      <c r="F348" t="str">
        <f t="shared" si="5"/>
        <v> </v>
      </c>
      <c r="G348" s="123">
        <f t="shared" si="2"/>
        <v>0</v>
      </c>
      <c r="H348">
        <f t="shared" si="3"/>
        <v>0</v>
      </c>
    </row>
    <row r="349">
      <c r="A349" s="78" t="s">
        <v>807</v>
      </c>
      <c r="B349" s="78">
        <v>0.0</v>
      </c>
      <c r="C349" s="78">
        <f>'Catchment Area'!C353</f>
        <v>0</v>
      </c>
      <c r="D349">
        <f t="shared" si="1"/>
        <v>0</v>
      </c>
      <c r="E349">
        <f t="shared" si="4"/>
        <v>1392</v>
      </c>
      <c r="F349" t="str">
        <f t="shared" si="5"/>
        <v> </v>
      </c>
      <c r="G349" s="123">
        <f t="shared" si="2"/>
        <v>0</v>
      </c>
      <c r="H349">
        <f t="shared" si="3"/>
        <v>0</v>
      </c>
    </row>
    <row r="350">
      <c r="A350" s="78" t="s">
        <v>809</v>
      </c>
      <c r="B350" s="78">
        <v>1.2</v>
      </c>
      <c r="C350" s="78">
        <f>'Catchment Area'!C354</f>
        <v>144</v>
      </c>
      <c r="D350">
        <f t="shared" si="1"/>
        <v>28.8</v>
      </c>
      <c r="E350">
        <f t="shared" si="4"/>
        <v>1420.8</v>
      </c>
      <c r="F350" t="str">
        <f t="shared" si="5"/>
        <v> </v>
      </c>
      <c r="G350" s="123">
        <f t="shared" si="2"/>
        <v>0.005</v>
      </c>
      <c r="H350">
        <f t="shared" si="3"/>
        <v>0.01</v>
      </c>
    </row>
    <row r="351">
      <c r="A351" s="78" t="s">
        <v>811</v>
      </c>
      <c r="B351" s="78">
        <v>45.4</v>
      </c>
      <c r="C351" s="78">
        <f>'Catchment Area'!C355</f>
        <v>5448</v>
      </c>
      <c r="D351">
        <f t="shared" si="1"/>
        <v>1089.6</v>
      </c>
      <c r="E351">
        <f t="shared" si="4"/>
        <v>2510.4</v>
      </c>
      <c r="F351" t="str">
        <f t="shared" si="5"/>
        <v> </v>
      </c>
      <c r="G351" s="123">
        <f t="shared" si="2"/>
        <v>0.1891666667</v>
      </c>
      <c r="H351">
        <f t="shared" si="3"/>
        <v>0.3783333333</v>
      </c>
    </row>
    <row r="352">
      <c r="A352" s="78" t="s">
        <v>813</v>
      </c>
      <c r="B352" s="78">
        <v>0.8</v>
      </c>
      <c r="C352" s="78">
        <f>'Catchment Area'!C356</f>
        <v>96</v>
      </c>
      <c r="D352">
        <f t="shared" si="1"/>
        <v>19.2</v>
      </c>
      <c r="E352">
        <f t="shared" si="4"/>
        <v>2529.6</v>
      </c>
      <c r="F352" t="str">
        <f t="shared" si="5"/>
        <v> </v>
      </c>
      <c r="G352" s="123">
        <f t="shared" si="2"/>
        <v>0.003333333333</v>
      </c>
      <c r="H352">
        <f t="shared" si="3"/>
        <v>0.006666666667</v>
      </c>
    </row>
    <row r="353">
      <c r="A353" s="78" t="s">
        <v>815</v>
      </c>
      <c r="B353" s="78">
        <v>15.2</v>
      </c>
      <c r="C353" s="78">
        <f>'Catchment Area'!C357</f>
        <v>1824</v>
      </c>
      <c r="D353">
        <f t="shared" si="1"/>
        <v>364.8</v>
      </c>
      <c r="E353">
        <f t="shared" si="4"/>
        <v>2894.4</v>
      </c>
      <c r="F353" t="str">
        <f t="shared" si="5"/>
        <v> </v>
      </c>
      <c r="G353" s="123">
        <f t="shared" si="2"/>
        <v>0.06333333333</v>
      </c>
      <c r="H353">
        <f t="shared" si="3"/>
        <v>0.1266666667</v>
      </c>
    </row>
    <row r="354">
      <c r="A354" s="78" t="s">
        <v>817</v>
      </c>
      <c r="B354" s="78">
        <v>48.6</v>
      </c>
      <c r="C354" s="78">
        <f>'Catchment Area'!C358</f>
        <v>5832</v>
      </c>
      <c r="D354">
        <f t="shared" si="1"/>
        <v>1166.4</v>
      </c>
      <c r="E354">
        <f t="shared" si="4"/>
        <v>1166.4</v>
      </c>
      <c r="F354">
        <f t="shared" si="5"/>
        <v>1</v>
      </c>
      <c r="G354" s="123">
        <f t="shared" si="2"/>
        <v>0.2025</v>
      </c>
      <c r="H354">
        <f t="shared" si="3"/>
        <v>0.405</v>
      </c>
    </row>
    <row r="355">
      <c r="A355" s="78" t="s">
        <v>819</v>
      </c>
      <c r="B355" s="78">
        <v>34.2</v>
      </c>
      <c r="C355" s="78">
        <f>'Catchment Area'!C359</f>
        <v>4104</v>
      </c>
      <c r="D355">
        <f t="shared" si="1"/>
        <v>820.8</v>
      </c>
      <c r="E355">
        <f t="shared" si="4"/>
        <v>1987.2</v>
      </c>
      <c r="F355" t="str">
        <f t="shared" si="5"/>
        <v> </v>
      </c>
      <c r="G355" s="123">
        <f t="shared" si="2"/>
        <v>0.1425</v>
      </c>
      <c r="H355">
        <f t="shared" si="3"/>
        <v>0.285</v>
      </c>
    </row>
    <row r="356">
      <c r="A356" s="78" t="s">
        <v>821</v>
      </c>
      <c r="B356" s="78">
        <v>4.4</v>
      </c>
      <c r="C356" s="78">
        <f>'Catchment Area'!C360</f>
        <v>528</v>
      </c>
      <c r="D356">
        <f t="shared" si="1"/>
        <v>105.6</v>
      </c>
      <c r="E356">
        <f t="shared" si="4"/>
        <v>2092.8</v>
      </c>
      <c r="F356" t="str">
        <f t="shared" si="5"/>
        <v> </v>
      </c>
      <c r="G356" s="123">
        <f t="shared" si="2"/>
        <v>0.01833333333</v>
      </c>
      <c r="H356">
        <f t="shared" si="3"/>
        <v>0.03666666667</v>
      </c>
    </row>
    <row r="357">
      <c r="A357" s="78" t="s">
        <v>823</v>
      </c>
      <c r="B357" s="78">
        <v>17.8</v>
      </c>
      <c r="C357" s="78">
        <f>'Catchment Area'!C361</f>
        <v>2136</v>
      </c>
      <c r="D357">
        <f t="shared" si="1"/>
        <v>427.2</v>
      </c>
      <c r="E357">
        <f t="shared" si="4"/>
        <v>2520</v>
      </c>
      <c r="F357" t="str">
        <f t="shared" si="5"/>
        <v> </v>
      </c>
      <c r="G357" s="123">
        <f t="shared" si="2"/>
        <v>0.07416666667</v>
      </c>
      <c r="H357">
        <f t="shared" si="3"/>
        <v>0.1483333333</v>
      </c>
    </row>
    <row r="358">
      <c r="A358" s="78" t="s">
        <v>825</v>
      </c>
      <c r="B358" s="78">
        <v>1.4</v>
      </c>
      <c r="C358" s="78">
        <f>'Catchment Area'!C362</f>
        <v>168</v>
      </c>
      <c r="D358">
        <f t="shared" si="1"/>
        <v>33.6</v>
      </c>
      <c r="E358">
        <f t="shared" si="4"/>
        <v>2553.6</v>
      </c>
      <c r="F358" t="str">
        <f t="shared" si="5"/>
        <v> </v>
      </c>
      <c r="G358" s="123">
        <f t="shared" si="2"/>
        <v>0.005833333333</v>
      </c>
      <c r="H358">
        <f t="shared" si="3"/>
        <v>0.01166666667</v>
      </c>
    </row>
    <row r="359">
      <c r="A359" s="78" t="s">
        <v>827</v>
      </c>
      <c r="B359" s="78">
        <v>1.0</v>
      </c>
      <c r="C359" s="78">
        <f>'Catchment Area'!C363</f>
        <v>120</v>
      </c>
      <c r="D359">
        <f t="shared" si="1"/>
        <v>24</v>
      </c>
      <c r="E359">
        <f t="shared" si="4"/>
        <v>2577.6</v>
      </c>
      <c r="F359" t="str">
        <f t="shared" si="5"/>
        <v> </v>
      </c>
      <c r="G359" s="123">
        <f t="shared" si="2"/>
        <v>0.004166666667</v>
      </c>
      <c r="H359">
        <f t="shared" si="3"/>
        <v>0.008333333333</v>
      </c>
    </row>
    <row r="360">
      <c r="A360" s="78" t="s">
        <v>829</v>
      </c>
      <c r="B360" s="78">
        <v>0.0</v>
      </c>
      <c r="C360" s="78">
        <f>'Catchment Area'!C364</f>
        <v>0</v>
      </c>
      <c r="D360">
        <f t="shared" si="1"/>
        <v>0</v>
      </c>
      <c r="E360">
        <f t="shared" si="4"/>
        <v>2577.6</v>
      </c>
      <c r="F360" t="str">
        <f t="shared" si="5"/>
        <v> </v>
      </c>
      <c r="G360" s="123">
        <f t="shared" si="2"/>
        <v>0</v>
      </c>
      <c r="H360">
        <f t="shared" si="3"/>
        <v>0</v>
      </c>
    </row>
    <row r="361">
      <c r="A361" s="78" t="s">
        <v>831</v>
      </c>
      <c r="B361" s="78">
        <v>9.0</v>
      </c>
      <c r="C361" s="78">
        <f>'Catchment Area'!C365</f>
        <v>1080</v>
      </c>
      <c r="D361">
        <f t="shared" si="1"/>
        <v>216</v>
      </c>
      <c r="E361">
        <f t="shared" si="4"/>
        <v>2793.6</v>
      </c>
      <c r="F361" t="str">
        <f t="shared" si="5"/>
        <v> </v>
      </c>
      <c r="G361" s="123">
        <f t="shared" si="2"/>
        <v>0.0375</v>
      </c>
      <c r="H361">
        <f t="shared" si="3"/>
        <v>0.075</v>
      </c>
    </row>
    <row r="362">
      <c r="A362" s="78" t="s">
        <v>833</v>
      </c>
      <c r="B362" s="78">
        <v>20.2</v>
      </c>
      <c r="C362" s="78">
        <f>'Catchment Area'!C366</f>
        <v>2424</v>
      </c>
      <c r="D362">
        <f t="shared" si="1"/>
        <v>484.8</v>
      </c>
      <c r="E362">
        <f t="shared" si="4"/>
        <v>484.8</v>
      </c>
      <c r="F362">
        <f t="shared" si="5"/>
        <v>1</v>
      </c>
      <c r="G362" s="123">
        <f t="shared" si="2"/>
        <v>0.08416666667</v>
      </c>
      <c r="H362">
        <f t="shared" si="3"/>
        <v>0.1683333333</v>
      </c>
    </row>
    <row r="363">
      <c r="A363" s="78" t="s">
        <v>835</v>
      </c>
      <c r="B363" s="78">
        <v>0.8</v>
      </c>
      <c r="C363" s="78">
        <f>'Catchment Area'!C367</f>
        <v>96</v>
      </c>
      <c r="D363">
        <f t="shared" si="1"/>
        <v>19.2</v>
      </c>
      <c r="E363">
        <f t="shared" si="4"/>
        <v>504</v>
      </c>
      <c r="F363" t="str">
        <f t="shared" si="5"/>
        <v> </v>
      </c>
      <c r="G363" s="123">
        <f t="shared" si="2"/>
        <v>0.003333333333</v>
      </c>
      <c r="H363">
        <f t="shared" si="3"/>
        <v>0.006666666667</v>
      </c>
    </row>
    <row r="364">
      <c r="A364" s="78" t="s">
        <v>837</v>
      </c>
      <c r="B364" s="78">
        <v>24.6</v>
      </c>
      <c r="C364" s="78">
        <f>'Catchment Area'!C368</f>
        <v>2952</v>
      </c>
      <c r="D364">
        <f t="shared" si="1"/>
        <v>590.4</v>
      </c>
      <c r="E364">
        <f t="shared" si="4"/>
        <v>1094.4</v>
      </c>
      <c r="F364" t="str">
        <f t="shared" si="5"/>
        <v> </v>
      </c>
      <c r="G364" s="123">
        <f t="shared" si="2"/>
        <v>0.1025</v>
      </c>
      <c r="H364">
        <f t="shared" si="3"/>
        <v>0.205</v>
      </c>
    </row>
    <row r="365">
      <c r="A365" s="78" t="s">
        <v>839</v>
      </c>
      <c r="B365" s="78">
        <v>0.0</v>
      </c>
      <c r="C365" s="78">
        <f>'Catchment Area'!C369</f>
        <v>0</v>
      </c>
      <c r="D365">
        <f t="shared" si="1"/>
        <v>0</v>
      </c>
      <c r="E365">
        <f t="shared" si="4"/>
        <v>1094.4</v>
      </c>
      <c r="F365" t="str">
        <f t="shared" si="5"/>
        <v> </v>
      </c>
      <c r="G365" s="123">
        <f t="shared" si="2"/>
        <v>0</v>
      </c>
      <c r="H365">
        <f t="shared" si="3"/>
        <v>0</v>
      </c>
    </row>
    <row r="366">
      <c r="A366" s="78" t="s">
        <v>841</v>
      </c>
      <c r="B366" s="78">
        <v>0.0</v>
      </c>
      <c r="C366" s="78">
        <f>'Catchment Area'!C370</f>
        <v>0</v>
      </c>
      <c r="D366">
        <f t="shared" si="1"/>
        <v>0</v>
      </c>
      <c r="E366">
        <f t="shared" si="4"/>
        <v>1094.4</v>
      </c>
      <c r="F366" t="str">
        <f t="shared" si="5"/>
        <v> </v>
      </c>
      <c r="G366" s="123">
        <f t="shared" si="2"/>
        <v>0</v>
      </c>
      <c r="H366">
        <f t="shared" si="3"/>
        <v>0</v>
      </c>
    </row>
    <row r="367">
      <c r="A367" s="78" t="s">
        <v>843</v>
      </c>
      <c r="B367" s="78">
        <v>8.8</v>
      </c>
      <c r="C367" s="78">
        <f>'Catchment Area'!C371</f>
        <v>1056</v>
      </c>
      <c r="D367">
        <f t="shared" si="1"/>
        <v>211.2</v>
      </c>
      <c r="E367">
        <f t="shared" si="4"/>
        <v>1305.6</v>
      </c>
      <c r="F367" t="str">
        <f t="shared" si="5"/>
        <v> </v>
      </c>
      <c r="G367" s="123">
        <f t="shared" si="2"/>
        <v>0.03666666667</v>
      </c>
      <c r="H367">
        <f t="shared" si="3"/>
        <v>0.07333333333</v>
      </c>
    </row>
    <row r="368">
      <c r="A368" s="78" t="s">
        <v>845</v>
      </c>
      <c r="B368" s="78">
        <v>11.6</v>
      </c>
      <c r="C368" s="78">
        <f>'Catchment Area'!C372</f>
        <v>1392</v>
      </c>
      <c r="D368">
        <f t="shared" si="1"/>
        <v>278.4</v>
      </c>
      <c r="E368">
        <f t="shared" si="4"/>
        <v>1584</v>
      </c>
      <c r="F368" t="str">
        <f t="shared" si="5"/>
        <v> </v>
      </c>
      <c r="G368" s="123">
        <f t="shared" si="2"/>
        <v>0.04833333333</v>
      </c>
      <c r="H368">
        <f t="shared" si="3"/>
        <v>0.09666666667</v>
      </c>
    </row>
    <row r="369">
      <c r="A369" s="78" t="s">
        <v>847</v>
      </c>
      <c r="B369" s="78">
        <v>10.0</v>
      </c>
      <c r="C369" s="78">
        <f>'Catchment Area'!C373</f>
        <v>1200</v>
      </c>
      <c r="D369">
        <f t="shared" si="1"/>
        <v>240</v>
      </c>
      <c r="E369">
        <f t="shared" si="4"/>
        <v>1824</v>
      </c>
      <c r="F369" t="str">
        <f t="shared" si="5"/>
        <v> </v>
      </c>
      <c r="G369" s="123">
        <f t="shared" si="2"/>
        <v>0.04166666667</v>
      </c>
      <c r="H369">
        <f t="shared" si="3"/>
        <v>0.08333333333</v>
      </c>
    </row>
    <row r="370">
      <c r="A370" s="78" t="s">
        <v>849</v>
      </c>
      <c r="B370" s="78">
        <v>2.2</v>
      </c>
      <c r="C370" s="78">
        <f>'Catchment Area'!C374</f>
        <v>264</v>
      </c>
      <c r="D370">
        <f t="shared" si="1"/>
        <v>52.8</v>
      </c>
      <c r="E370">
        <f t="shared" si="4"/>
        <v>1876.8</v>
      </c>
      <c r="F370" t="str">
        <f t="shared" si="5"/>
        <v> </v>
      </c>
      <c r="G370" s="123">
        <f t="shared" si="2"/>
        <v>0.009166666667</v>
      </c>
      <c r="H370">
        <f t="shared" si="3"/>
        <v>0.01833333333</v>
      </c>
    </row>
    <row r="371">
      <c r="A371" s="78" t="s">
        <v>851</v>
      </c>
      <c r="B371" s="78">
        <v>0.6</v>
      </c>
      <c r="C371" s="78">
        <f>'Catchment Area'!C375</f>
        <v>72</v>
      </c>
      <c r="D371">
        <f t="shared" si="1"/>
        <v>14.4</v>
      </c>
      <c r="E371">
        <f t="shared" si="4"/>
        <v>1891.2</v>
      </c>
      <c r="F371" t="str">
        <f t="shared" si="5"/>
        <v> </v>
      </c>
      <c r="G371" s="123">
        <f t="shared" si="2"/>
        <v>0.0025</v>
      </c>
      <c r="H371">
        <f t="shared" si="3"/>
        <v>0.005</v>
      </c>
    </row>
    <row r="372">
      <c r="A372" s="78" t="s">
        <v>853</v>
      </c>
      <c r="B372" s="78">
        <v>10.2</v>
      </c>
      <c r="C372" s="78">
        <f>'Catchment Area'!C376</f>
        <v>1224</v>
      </c>
      <c r="D372">
        <f t="shared" si="1"/>
        <v>244.8</v>
      </c>
      <c r="E372">
        <f t="shared" si="4"/>
        <v>2136</v>
      </c>
      <c r="F372" t="str">
        <f t="shared" si="5"/>
        <v> </v>
      </c>
      <c r="G372" s="123">
        <f t="shared" si="2"/>
        <v>0.0425</v>
      </c>
      <c r="H372">
        <f t="shared" si="3"/>
        <v>0.085</v>
      </c>
    </row>
    <row r="373">
      <c r="A373" s="78" t="s">
        <v>855</v>
      </c>
      <c r="B373" s="78">
        <v>5.4</v>
      </c>
      <c r="C373" s="78">
        <f>'Catchment Area'!C377</f>
        <v>648</v>
      </c>
      <c r="D373">
        <f t="shared" si="1"/>
        <v>129.6</v>
      </c>
      <c r="E373">
        <f t="shared" si="4"/>
        <v>2265.6</v>
      </c>
      <c r="F373" t="str">
        <f t="shared" si="5"/>
        <v> </v>
      </c>
      <c r="G373" s="123">
        <f t="shared" si="2"/>
        <v>0.0225</v>
      </c>
      <c r="H373">
        <f t="shared" si="3"/>
        <v>0.045</v>
      </c>
    </row>
    <row r="374">
      <c r="A374" s="78" t="s">
        <v>857</v>
      </c>
      <c r="B374" s="78">
        <v>0.0</v>
      </c>
      <c r="C374" s="78">
        <f>'Catchment Area'!C378</f>
        <v>0</v>
      </c>
      <c r="D374">
        <f t="shared" si="1"/>
        <v>0</v>
      </c>
      <c r="E374">
        <f t="shared" si="4"/>
        <v>2265.6</v>
      </c>
      <c r="F374" t="str">
        <f t="shared" si="5"/>
        <v> </v>
      </c>
      <c r="G374" s="123">
        <f t="shared" si="2"/>
        <v>0</v>
      </c>
      <c r="H374">
        <f t="shared" si="3"/>
        <v>0</v>
      </c>
    </row>
    <row r="375">
      <c r="A375" s="78" t="s">
        <v>859</v>
      </c>
      <c r="B375" s="78">
        <v>0.0</v>
      </c>
      <c r="C375" s="78">
        <f>'Catchment Area'!C379</f>
        <v>0</v>
      </c>
      <c r="D375">
        <f t="shared" si="1"/>
        <v>0</v>
      </c>
      <c r="E375">
        <f t="shared" si="4"/>
        <v>2265.6</v>
      </c>
      <c r="F375" t="str">
        <f t="shared" si="5"/>
        <v> </v>
      </c>
      <c r="G375" s="123">
        <f t="shared" si="2"/>
        <v>0</v>
      </c>
      <c r="H375">
        <f t="shared" si="3"/>
        <v>0</v>
      </c>
    </row>
    <row r="376">
      <c r="A376" s="78" t="s">
        <v>861</v>
      </c>
      <c r="B376" s="78">
        <v>0.0</v>
      </c>
      <c r="C376" s="78">
        <f>'Catchment Area'!C380</f>
        <v>0</v>
      </c>
      <c r="D376">
        <f t="shared" si="1"/>
        <v>0</v>
      </c>
      <c r="E376">
        <f t="shared" si="4"/>
        <v>2265.6</v>
      </c>
      <c r="F376" t="str">
        <f t="shared" si="5"/>
        <v> </v>
      </c>
      <c r="G376" s="123">
        <f t="shared" si="2"/>
        <v>0</v>
      </c>
      <c r="H376">
        <f t="shared" si="3"/>
        <v>0</v>
      </c>
    </row>
    <row r="377">
      <c r="A377" s="78" t="s">
        <v>863</v>
      </c>
      <c r="B377" s="78">
        <v>0.0</v>
      </c>
      <c r="C377" s="78">
        <f>'Catchment Area'!C381</f>
        <v>0</v>
      </c>
      <c r="D377">
        <f t="shared" si="1"/>
        <v>0</v>
      </c>
      <c r="E377">
        <f t="shared" si="4"/>
        <v>2265.6</v>
      </c>
      <c r="F377" t="str">
        <f t="shared" si="5"/>
        <v> </v>
      </c>
      <c r="G377" s="123">
        <f t="shared" si="2"/>
        <v>0</v>
      </c>
      <c r="H377">
        <f t="shared" si="3"/>
        <v>0</v>
      </c>
    </row>
    <row r="378">
      <c r="G378" s="123"/>
    </row>
    <row r="379">
      <c r="G379" s="123"/>
    </row>
    <row r="380">
      <c r="G380" s="123"/>
    </row>
    <row r="381">
      <c r="G381" s="123"/>
    </row>
    <row r="382">
      <c r="G382" s="123"/>
    </row>
    <row r="383">
      <c r="G383" s="123"/>
    </row>
    <row r="384">
      <c r="G384" s="123"/>
    </row>
    <row r="385">
      <c r="G385" s="123"/>
    </row>
    <row r="386">
      <c r="G386" s="123"/>
    </row>
    <row r="387">
      <c r="G387" s="123"/>
    </row>
    <row r="388">
      <c r="G388" s="123"/>
    </row>
    <row r="389">
      <c r="G389" s="123"/>
    </row>
    <row r="390">
      <c r="G390" s="123"/>
    </row>
    <row r="391">
      <c r="G391" s="123"/>
    </row>
    <row r="392">
      <c r="G392" s="123"/>
    </row>
    <row r="393">
      <c r="G393" s="123"/>
    </row>
    <row r="394">
      <c r="G394" s="123"/>
    </row>
    <row r="395">
      <c r="G395" s="123"/>
    </row>
    <row r="396">
      <c r="G396" s="123"/>
    </row>
    <row r="397">
      <c r="G397" s="123"/>
    </row>
    <row r="398">
      <c r="G398" s="123"/>
    </row>
    <row r="399">
      <c r="G399" s="123"/>
    </row>
    <row r="400">
      <c r="G400" s="123"/>
    </row>
    <row r="401">
      <c r="G401" s="123"/>
    </row>
    <row r="402">
      <c r="G402" s="123"/>
    </row>
    <row r="403">
      <c r="G403" s="123"/>
    </row>
    <row r="404">
      <c r="G404" s="123"/>
    </row>
    <row r="405">
      <c r="G405" s="123"/>
    </row>
    <row r="406">
      <c r="G406" s="123"/>
    </row>
    <row r="407">
      <c r="G407" s="123"/>
    </row>
    <row r="408">
      <c r="G408" s="123"/>
    </row>
    <row r="409">
      <c r="G409" s="123"/>
    </row>
    <row r="410">
      <c r="G410" s="123"/>
    </row>
    <row r="411">
      <c r="G411" s="123"/>
    </row>
    <row r="412">
      <c r="G412" s="123"/>
    </row>
    <row r="413">
      <c r="G413" s="123"/>
    </row>
    <row r="414">
      <c r="G414" s="123"/>
    </row>
    <row r="415">
      <c r="G415" s="123"/>
    </row>
    <row r="416">
      <c r="G416" s="123"/>
    </row>
    <row r="417">
      <c r="G417" s="123"/>
    </row>
    <row r="418">
      <c r="G418" s="123"/>
    </row>
    <row r="419">
      <c r="G419" s="123"/>
    </row>
    <row r="420">
      <c r="G420" s="123"/>
    </row>
    <row r="421">
      <c r="G421" s="123"/>
    </row>
    <row r="422">
      <c r="G422" s="123"/>
    </row>
    <row r="423">
      <c r="G423" s="123"/>
    </row>
    <row r="424">
      <c r="G424" s="123"/>
    </row>
    <row r="425">
      <c r="G425" s="123"/>
    </row>
    <row r="426">
      <c r="G426" s="123"/>
    </row>
    <row r="427">
      <c r="G427" s="123"/>
    </row>
    <row r="428">
      <c r="G428" s="123"/>
    </row>
    <row r="429">
      <c r="G429" s="123"/>
    </row>
    <row r="430">
      <c r="G430" s="123"/>
    </row>
    <row r="431">
      <c r="G431" s="123"/>
    </row>
    <row r="432">
      <c r="G432" s="123"/>
    </row>
    <row r="433">
      <c r="G433" s="123"/>
    </row>
    <row r="434">
      <c r="G434" s="123"/>
    </row>
    <row r="435">
      <c r="G435" s="123"/>
    </row>
    <row r="436">
      <c r="G436" s="123"/>
    </row>
    <row r="437">
      <c r="G437" s="123"/>
    </row>
    <row r="438">
      <c r="G438" s="123"/>
    </row>
    <row r="439">
      <c r="G439" s="123"/>
    </row>
    <row r="440">
      <c r="G440" s="123"/>
    </row>
    <row r="441">
      <c r="G441" s="123"/>
    </row>
    <row r="442">
      <c r="G442" s="123"/>
    </row>
    <row r="443">
      <c r="G443" s="123"/>
    </row>
    <row r="444">
      <c r="G444" s="123"/>
    </row>
    <row r="445">
      <c r="G445" s="123"/>
    </row>
    <row r="446">
      <c r="G446" s="123"/>
    </row>
    <row r="447">
      <c r="G447" s="123"/>
    </row>
    <row r="448">
      <c r="G448" s="123"/>
    </row>
    <row r="449">
      <c r="G449" s="123"/>
    </row>
    <row r="450">
      <c r="G450" s="123"/>
    </row>
    <row r="451">
      <c r="G451" s="123"/>
    </row>
    <row r="452">
      <c r="G452" s="123"/>
    </row>
    <row r="453">
      <c r="G453" s="123"/>
    </row>
    <row r="454">
      <c r="G454" s="123"/>
    </row>
    <row r="455">
      <c r="G455" s="123"/>
    </row>
    <row r="456">
      <c r="G456" s="123"/>
    </row>
    <row r="457">
      <c r="G457" s="123"/>
    </row>
    <row r="458">
      <c r="G458" s="123"/>
    </row>
    <row r="459">
      <c r="G459" s="123"/>
    </row>
    <row r="460">
      <c r="G460" s="123"/>
    </row>
    <row r="461">
      <c r="G461" s="123"/>
    </row>
    <row r="462">
      <c r="G462" s="123"/>
    </row>
    <row r="463">
      <c r="G463" s="123"/>
    </row>
    <row r="464">
      <c r="G464" s="123"/>
    </row>
    <row r="465">
      <c r="G465" s="123"/>
    </row>
    <row r="466">
      <c r="G466" s="123"/>
    </row>
    <row r="467">
      <c r="G467" s="123"/>
    </row>
    <row r="468">
      <c r="G468" s="123"/>
    </row>
    <row r="469">
      <c r="G469" s="123"/>
    </row>
    <row r="470">
      <c r="G470" s="123"/>
    </row>
    <row r="471">
      <c r="G471" s="123"/>
    </row>
    <row r="472">
      <c r="G472" s="123"/>
    </row>
    <row r="473">
      <c r="G473" s="123"/>
    </row>
    <row r="474">
      <c r="G474" s="123"/>
    </row>
    <row r="475">
      <c r="G475" s="123"/>
    </row>
    <row r="476">
      <c r="G476" s="123"/>
    </row>
    <row r="477">
      <c r="G477" s="123"/>
    </row>
    <row r="478">
      <c r="G478" s="123"/>
    </row>
    <row r="479">
      <c r="G479" s="123"/>
    </row>
    <row r="480">
      <c r="G480" s="123"/>
    </row>
    <row r="481">
      <c r="G481" s="123"/>
    </row>
    <row r="482">
      <c r="G482" s="123"/>
    </row>
    <row r="483">
      <c r="G483" s="123"/>
    </row>
    <row r="484">
      <c r="G484" s="123"/>
    </row>
    <row r="485">
      <c r="G485" s="123"/>
    </row>
    <row r="486">
      <c r="G486" s="123"/>
    </row>
    <row r="487">
      <c r="G487" s="123"/>
    </row>
    <row r="488">
      <c r="G488" s="123"/>
    </row>
    <row r="489">
      <c r="G489" s="123"/>
    </row>
    <row r="490">
      <c r="G490" s="123"/>
    </row>
    <row r="491">
      <c r="G491" s="123"/>
    </row>
    <row r="492">
      <c r="G492" s="123"/>
    </row>
    <row r="493">
      <c r="G493" s="123"/>
    </row>
    <row r="494">
      <c r="G494" s="123"/>
    </row>
    <row r="495">
      <c r="G495" s="123"/>
    </row>
    <row r="496">
      <c r="G496" s="123"/>
    </row>
    <row r="497">
      <c r="G497" s="123"/>
    </row>
    <row r="498">
      <c r="G498" s="123"/>
    </row>
    <row r="499">
      <c r="G499" s="123"/>
    </row>
    <row r="500">
      <c r="G500" s="123"/>
    </row>
    <row r="501">
      <c r="G501" s="123"/>
    </row>
    <row r="502">
      <c r="G502" s="123"/>
    </row>
    <row r="503">
      <c r="G503" s="123"/>
    </row>
    <row r="504">
      <c r="G504" s="123"/>
    </row>
    <row r="505">
      <c r="G505" s="123"/>
    </row>
    <row r="506">
      <c r="G506" s="123"/>
    </row>
    <row r="507">
      <c r="G507" s="123"/>
    </row>
    <row r="508">
      <c r="G508" s="123"/>
    </row>
    <row r="509">
      <c r="G509" s="123"/>
    </row>
    <row r="510">
      <c r="G510" s="123"/>
    </row>
    <row r="511">
      <c r="G511" s="123"/>
    </row>
    <row r="512">
      <c r="G512" s="123"/>
    </row>
    <row r="513">
      <c r="G513" s="123"/>
    </row>
    <row r="514">
      <c r="G514" s="123"/>
    </row>
    <row r="515">
      <c r="G515" s="123"/>
    </row>
    <row r="516">
      <c r="G516" s="123"/>
    </row>
    <row r="517">
      <c r="G517" s="123"/>
    </row>
    <row r="518">
      <c r="G518" s="123"/>
    </row>
    <row r="519">
      <c r="G519" s="123"/>
    </row>
    <row r="520">
      <c r="G520" s="123"/>
    </row>
    <row r="521">
      <c r="G521" s="123"/>
    </row>
    <row r="522">
      <c r="G522" s="123"/>
    </row>
    <row r="523">
      <c r="G523" s="123"/>
    </row>
    <row r="524">
      <c r="G524" s="123"/>
    </row>
    <row r="525">
      <c r="G525" s="123"/>
    </row>
    <row r="526">
      <c r="G526" s="123"/>
    </row>
    <row r="527">
      <c r="G527" s="123"/>
    </row>
    <row r="528">
      <c r="G528" s="123"/>
    </row>
    <row r="529">
      <c r="G529" s="123"/>
    </row>
    <row r="530">
      <c r="G530" s="123"/>
    </row>
    <row r="531">
      <c r="G531" s="123"/>
    </row>
    <row r="532">
      <c r="G532" s="123"/>
    </row>
    <row r="533">
      <c r="G533" s="123"/>
    </row>
    <row r="534">
      <c r="G534" s="123"/>
    </row>
    <row r="535">
      <c r="G535" s="123"/>
    </row>
    <row r="536">
      <c r="G536" s="123"/>
    </row>
    <row r="537">
      <c r="G537" s="123"/>
    </row>
    <row r="538">
      <c r="G538" s="123"/>
    </row>
    <row r="539">
      <c r="G539" s="123"/>
    </row>
    <row r="540">
      <c r="G540" s="123"/>
    </row>
    <row r="541">
      <c r="G541" s="123"/>
    </row>
    <row r="542">
      <c r="G542" s="123"/>
    </row>
    <row r="543">
      <c r="G543" s="123"/>
    </row>
    <row r="544">
      <c r="G544" s="123"/>
    </row>
    <row r="545">
      <c r="G545" s="123"/>
    </row>
    <row r="546">
      <c r="G546" s="123"/>
    </row>
    <row r="547">
      <c r="G547" s="123"/>
    </row>
    <row r="548">
      <c r="G548" s="123"/>
    </row>
    <row r="549">
      <c r="G549" s="123"/>
    </row>
    <row r="550">
      <c r="G550" s="123"/>
    </row>
    <row r="551">
      <c r="G551" s="123"/>
    </row>
    <row r="552">
      <c r="G552" s="123"/>
    </row>
    <row r="553">
      <c r="G553" s="123"/>
    </row>
    <row r="554">
      <c r="G554" s="123"/>
    </row>
    <row r="555">
      <c r="G555" s="123"/>
    </row>
    <row r="556">
      <c r="G556" s="123"/>
    </row>
    <row r="557">
      <c r="G557" s="123"/>
    </row>
    <row r="558">
      <c r="G558" s="123"/>
    </row>
    <row r="559">
      <c r="G559" s="123"/>
    </row>
    <row r="560">
      <c r="G560" s="123"/>
    </row>
    <row r="561">
      <c r="G561" s="123"/>
    </row>
    <row r="562">
      <c r="G562" s="123"/>
    </row>
    <row r="563">
      <c r="G563" s="123"/>
    </row>
    <row r="564">
      <c r="G564" s="123"/>
    </row>
    <row r="565">
      <c r="G565" s="123"/>
    </row>
    <row r="566">
      <c r="G566" s="123"/>
    </row>
    <row r="567">
      <c r="G567" s="123"/>
    </row>
    <row r="568">
      <c r="G568" s="123"/>
    </row>
    <row r="569">
      <c r="G569" s="123"/>
    </row>
    <row r="570">
      <c r="G570" s="123"/>
    </row>
    <row r="571">
      <c r="G571" s="123"/>
    </row>
    <row r="572">
      <c r="G572" s="123"/>
    </row>
    <row r="573">
      <c r="G573" s="123"/>
    </row>
    <row r="574">
      <c r="G574" s="123"/>
    </row>
    <row r="575">
      <c r="G575" s="123"/>
    </row>
    <row r="576">
      <c r="G576" s="123"/>
    </row>
    <row r="577">
      <c r="G577" s="123"/>
    </row>
    <row r="578">
      <c r="G578" s="123"/>
    </row>
    <row r="579">
      <c r="G579" s="123"/>
    </row>
    <row r="580">
      <c r="G580" s="123"/>
    </row>
    <row r="581">
      <c r="G581" s="123"/>
    </row>
    <row r="582">
      <c r="G582" s="123"/>
    </row>
    <row r="583">
      <c r="G583" s="123"/>
    </row>
    <row r="584">
      <c r="G584" s="123"/>
    </row>
    <row r="585">
      <c r="G585" s="123"/>
    </row>
    <row r="586">
      <c r="G586" s="123"/>
    </row>
    <row r="587">
      <c r="G587" s="123"/>
    </row>
    <row r="588">
      <c r="G588" s="123"/>
    </row>
    <row r="589">
      <c r="G589" s="123"/>
    </row>
    <row r="590">
      <c r="G590" s="123"/>
    </row>
    <row r="591">
      <c r="G591" s="123"/>
    </row>
    <row r="592">
      <c r="G592" s="123"/>
    </row>
    <row r="593">
      <c r="G593" s="123"/>
    </row>
    <row r="594">
      <c r="G594" s="123"/>
    </row>
    <row r="595">
      <c r="G595" s="123"/>
    </row>
    <row r="596">
      <c r="G596" s="123"/>
    </row>
    <row r="597">
      <c r="G597" s="123"/>
    </row>
    <row r="598">
      <c r="G598" s="123"/>
    </row>
    <row r="599">
      <c r="G599" s="123"/>
    </row>
    <row r="600">
      <c r="G600" s="123"/>
    </row>
    <row r="601">
      <c r="G601" s="123"/>
    </row>
    <row r="602">
      <c r="G602" s="123"/>
    </row>
    <row r="603">
      <c r="G603" s="123"/>
    </row>
    <row r="604">
      <c r="G604" s="123"/>
    </row>
    <row r="605">
      <c r="G605" s="123"/>
    </row>
    <row r="606">
      <c r="G606" s="123"/>
    </row>
    <row r="607">
      <c r="G607" s="123"/>
    </row>
    <row r="608">
      <c r="G608" s="123"/>
    </row>
    <row r="609">
      <c r="G609" s="123"/>
    </row>
    <row r="610">
      <c r="G610" s="123"/>
    </row>
    <row r="611">
      <c r="G611" s="123"/>
    </row>
    <row r="612">
      <c r="G612" s="123"/>
    </row>
    <row r="613">
      <c r="G613" s="123"/>
    </row>
    <row r="614">
      <c r="G614" s="123"/>
    </row>
    <row r="615">
      <c r="G615" s="123"/>
    </row>
    <row r="616">
      <c r="G616" s="123"/>
    </row>
    <row r="617">
      <c r="G617" s="123"/>
    </row>
    <row r="618">
      <c r="G618" s="123"/>
    </row>
    <row r="619">
      <c r="G619" s="123"/>
    </row>
    <row r="620">
      <c r="G620" s="123"/>
    </row>
    <row r="621">
      <c r="G621" s="123"/>
    </row>
    <row r="622">
      <c r="G622" s="123"/>
    </row>
    <row r="623">
      <c r="G623" s="123"/>
    </row>
    <row r="624">
      <c r="G624" s="123"/>
    </row>
    <row r="625">
      <c r="G625" s="123"/>
    </row>
    <row r="626">
      <c r="G626" s="123"/>
    </row>
    <row r="627">
      <c r="G627" s="123"/>
    </row>
    <row r="628">
      <c r="G628" s="123"/>
    </row>
    <row r="629">
      <c r="G629" s="123"/>
    </row>
    <row r="630">
      <c r="G630" s="123"/>
    </row>
    <row r="631">
      <c r="G631" s="123"/>
    </row>
    <row r="632">
      <c r="G632" s="123"/>
    </row>
    <row r="633">
      <c r="G633" s="123"/>
    </row>
    <row r="634">
      <c r="G634" s="123"/>
    </row>
    <row r="635">
      <c r="G635" s="123"/>
    </row>
    <row r="636">
      <c r="G636" s="123"/>
    </row>
    <row r="637">
      <c r="G637" s="123"/>
    </row>
    <row r="638">
      <c r="G638" s="123"/>
    </row>
    <row r="639">
      <c r="G639" s="123"/>
    </row>
    <row r="640">
      <c r="G640" s="123"/>
    </row>
    <row r="641">
      <c r="G641" s="123"/>
    </row>
    <row r="642">
      <c r="G642" s="123"/>
    </row>
    <row r="643">
      <c r="G643" s="123"/>
    </row>
    <row r="644">
      <c r="G644" s="123"/>
    </row>
    <row r="645">
      <c r="G645" s="123"/>
    </row>
    <row r="646">
      <c r="G646" s="123"/>
    </row>
    <row r="647">
      <c r="G647" s="123"/>
    </row>
    <row r="648">
      <c r="G648" s="123"/>
    </row>
    <row r="649">
      <c r="G649" s="123"/>
    </row>
    <row r="650">
      <c r="G650" s="123"/>
    </row>
    <row r="651">
      <c r="G651" s="123"/>
    </row>
    <row r="652">
      <c r="G652" s="123"/>
    </row>
    <row r="653">
      <c r="G653" s="123"/>
    </row>
    <row r="654">
      <c r="G654" s="123"/>
    </row>
    <row r="655">
      <c r="G655" s="123"/>
    </row>
    <row r="656">
      <c r="G656" s="123"/>
    </row>
    <row r="657">
      <c r="G657" s="123"/>
    </row>
    <row r="658">
      <c r="G658" s="123"/>
    </row>
    <row r="659">
      <c r="G659" s="123"/>
    </row>
    <row r="660">
      <c r="G660" s="123"/>
    </row>
    <row r="661">
      <c r="G661" s="123"/>
    </row>
    <row r="662">
      <c r="G662" s="123"/>
    </row>
    <row r="663">
      <c r="G663" s="123"/>
    </row>
    <row r="664">
      <c r="G664" s="123"/>
    </row>
    <row r="665">
      <c r="G665" s="123"/>
    </row>
    <row r="666">
      <c r="G666" s="123"/>
    </row>
    <row r="667">
      <c r="G667" s="123"/>
    </row>
    <row r="668">
      <c r="G668" s="123"/>
    </row>
    <row r="669">
      <c r="G669" s="123"/>
    </row>
    <row r="670">
      <c r="G670" s="123"/>
    </row>
    <row r="671">
      <c r="G671" s="123"/>
    </row>
    <row r="672">
      <c r="G672" s="123"/>
    </row>
    <row r="673">
      <c r="G673" s="123"/>
    </row>
    <row r="674">
      <c r="G674" s="123"/>
    </row>
    <row r="675">
      <c r="G675" s="123"/>
    </row>
    <row r="676">
      <c r="G676" s="123"/>
    </row>
    <row r="677">
      <c r="G677" s="123"/>
    </row>
    <row r="678">
      <c r="G678" s="123"/>
    </row>
    <row r="679">
      <c r="G679" s="123"/>
    </row>
    <row r="680">
      <c r="G680" s="123"/>
    </row>
    <row r="681">
      <c r="G681" s="123"/>
    </row>
    <row r="682">
      <c r="G682" s="123"/>
    </row>
    <row r="683">
      <c r="G683" s="123"/>
    </row>
    <row r="684">
      <c r="G684" s="123"/>
    </row>
    <row r="685">
      <c r="G685" s="123"/>
    </row>
    <row r="686">
      <c r="G686" s="123"/>
    </row>
    <row r="687">
      <c r="G687" s="123"/>
    </row>
    <row r="688">
      <c r="G688" s="123"/>
    </row>
    <row r="689">
      <c r="G689" s="123"/>
    </row>
    <row r="690">
      <c r="G690" s="123"/>
    </row>
    <row r="691">
      <c r="G691" s="123"/>
    </row>
    <row r="692">
      <c r="G692" s="123"/>
    </row>
    <row r="693">
      <c r="G693" s="123"/>
    </row>
    <row r="694">
      <c r="G694" s="123"/>
    </row>
    <row r="695">
      <c r="G695" s="123"/>
    </row>
    <row r="696">
      <c r="G696" s="123"/>
    </row>
    <row r="697">
      <c r="G697" s="123"/>
    </row>
    <row r="698">
      <c r="G698" s="123"/>
    </row>
    <row r="699">
      <c r="G699" s="123"/>
    </row>
    <row r="700">
      <c r="G700" s="123"/>
    </row>
    <row r="701">
      <c r="G701" s="123"/>
    </row>
    <row r="702">
      <c r="G702" s="123"/>
    </row>
    <row r="703">
      <c r="G703" s="123"/>
    </row>
    <row r="704">
      <c r="G704" s="123"/>
    </row>
    <row r="705">
      <c r="G705" s="123"/>
    </row>
    <row r="706">
      <c r="G706" s="123"/>
    </row>
    <row r="707">
      <c r="G707" s="123"/>
    </row>
    <row r="708">
      <c r="G708" s="123"/>
    </row>
    <row r="709">
      <c r="G709" s="123"/>
    </row>
    <row r="710">
      <c r="G710" s="123"/>
    </row>
    <row r="711">
      <c r="G711" s="123"/>
    </row>
    <row r="712">
      <c r="G712" s="123"/>
    </row>
    <row r="713">
      <c r="G713" s="123"/>
    </row>
    <row r="714">
      <c r="G714" s="123"/>
    </row>
    <row r="715">
      <c r="G715" s="123"/>
    </row>
    <row r="716">
      <c r="G716" s="123"/>
    </row>
    <row r="717">
      <c r="G717" s="123"/>
    </row>
    <row r="718">
      <c r="G718" s="123"/>
    </row>
    <row r="719">
      <c r="G719" s="123"/>
    </row>
    <row r="720">
      <c r="G720" s="123"/>
    </row>
    <row r="721">
      <c r="G721" s="123"/>
    </row>
    <row r="722">
      <c r="G722" s="123"/>
    </row>
    <row r="723">
      <c r="G723" s="123"/>
    </row>
    <row r="724">
      <c r="G724" s="123"/>
    </row>
    <row r="725">
      <c r="G725" s="123"/>
    </row>
    <row r="726">
      <c r="G726" s="123"/>
    </row>
    <row r="727">
      <c r="G727" s="123"/>
    </row>
    <row r="728">
      <c r="G728" s="123"/>
    </row>
    <row r="729">
      <c r="G729" s="123"/>
    </row>
    <row r="730">
      <c r="G730" s="123"/>
    </row>
    <row r="731">
      <c r="G731" s="123"/>
    </row>
    <row r="732">
      <c r="G732" s="123"/>
    </row>
    <row r="733">
      <c r="G733" s="123"/>
    </row>
    <row r="734">
      <c r="G734" s="123"/>
    </row>
    <row r="735">
      <c r="G735" s="123"/>
    </row>
    <row r="736">
      <c r="G736" s="123"/>
    </row>
    <row r="737">
      <c r="G737" s="123"/>
    </row>
    <row r="738">
      <c r="G738" s="123"/>
    </row>
    <row r="739">
      <c r="G739" s="123"/>
    </row>
    <row r="740">
      <c r="G740" s="123"/>
    </row>
    <row r="741">
      <c r="G741" s="123"/>
    </row>
    <row r="742">
      <c r="G742" s="123"/>
    </row>
    <row r="743">
      <c r="G743" s="123"/>
    </row>
    <row r="744">
      <c r="G744" s="123"/>
    </row>
    <row r="745">
      <c r="G745" s="123"/>
    </row>
    <row r="746">
      <c r="G746" s="123"/>
    </row>
    <row r="747">
      <c r="G747" s="123"/>
    </row>
    <row r="748">
      <c r="G748" s="123"/>
    </row>
    <row r="749">
      <c r="G749" s="123"/>
    </row>
    <row r="750">
      <c r="G750" s="123"/>
    </row>
    <row r="751">
      <c r="G751" s="123"/>
    </row>
    <row r="752">
      <c r="G752" s="123"/>
    </row>
    <row r="753">
      <c r="G753" s="123"/>
    </row>
    <row r="754">
      <c r="G754" s="123"/>
    </row>
    <row r="755">
      <c r="G755" s="123"/>
    </row>
    <row r="756">
      <c r="G756" s="123"/>
    </row>
    <row r="757">
      <c r="G757" s="123"/>
    </row>
    <row r="758">
      <c r="G758" s="123"/>
    </row>
    <row r="759">
      <c r="G759" s="123"/>
    </row>
    <row r="760">
      <c r="G760" s="123"/>
    </row>
    <row r="761">
      <c r="G761" s="123"/>
    </row>
    <row r="762">
      <c r="G762" s="123"/>
    </row>
    <row r="763">
      <c r="G763" s="123"/>
    </row>
    <row r="764">
      <c r="G764" s="123"/>
    </row>
    <row r="765">
      <c r="G765" s="123"/>
    </row>
    <row r="766">
      <c r="G766" s="123"/>
    </row>
    <row r="767">
      <c r="G767" s="123"/>
    </row>
    <row r="768">
      <c r="G768" s="123"/>
    </row>
    <row r="769">
      <c r="G769" s="123"/>
    </row>
    <row r="770">
      <c r="G770" s="123"/>
    </row>
    <row r="771">
      <c r="G771" s="123"/>
    </row>
    <row r="772">
      <c r="G772" s="123"/>
    </row>
    <row r="773">
      <c r="G773" s="123"/>
    </row>
    <row r="774">
      <c r="G774" s="123"/>
    </row>
    <row r="775">
      <c r="G775" s="123"/>
    </row>
    <row r="776">
      <c r="G776" s="123"/>
    </row>
    <row r="777">
      <c r="G777" s="123"/>
    </row>
    <row r="778">
      <c r="G778" s="123"/>
    </row>
    <row r="779">
      <c r="G779" s="123"/>
    </row>
    <row r="780">
      <c r="G780" s="123"/>
    </row>
    <row r="781">
      <c r="G781" s="123"/>
    </row>
    <row r="782">
      <c r="G782" s="123"/>
    </row>
    <row r="783">
      <c r="G783" s="123"/>
    </row>
    <row r="784">
      <c r="G784" s="123"/>
    </row>
    <row r="785">
      <c r="G785" s="123"/>
    </row>
    <row r="786">
      <c r="G786" s="123"/>
    </row>
    <row r="787">
      <c r="G787" s="123"/>
    </row>
    <row r="788">
      <c r="G788" s="123"/>
    </row>
    <row r="789">
      <c r="G789" s="123"/>
    </row>
    <row r="790">
      <c r="G790" s="123"/>
    </row>
    <row r="791">
      <c r="G791" s="123"/>
    </row>
    <row r="792">
      <c r="G792" s="123"/>
    </row>
    <row r="793">
      <c r="G793" s="123"/>
    </row>
    <row r="794">
      <c r="G794" s="123"/>
    </row>
    <row r="795">
      <c r="G795" s="123"/>
    </row>
    <row r="796">
      <c r="G796" s="123"/>
    </row>
    <row r="797">
      <c r="G797" s="123"/>
    </row>
    <row r="798">
      <c r="G798" s="123"/>
    </row>
    <row r="799">
      <c r="G799" s="123"/>
    </row>
    <row r="800">
      <c r="G800" s="123"/>
    </row>
    <row r="801">
      <c r="G801" s="123"/>
    </row>
    <row r="802">
      <c r="G802" s="123"/>
    </row>
    <row r="803">
      <c r="G803" s="123"/>
    </row>
    <row r="804">
      <c r="G804" s="123"/>
    </row>
    <row r="805">
      <c r="G805" s="123"/>
    </row>
    <row r="806">
      <c r="G806" s="123"/>
    </row>
    <row r="807">
      <c r="G807" s="123"/>
    </row>
    <row r="808">
      <c r="G808" s="123"/>
    </row>
    <row r="809">
      <c r="G809" s="123"/>
    </row>
    <row r="810">
      <c r="G810" s="123"/>
    </row>
    <row r="811">
      <c r="G811" s="123"/>
    </row>
    <row r="812">
      <c r="G812" s="123"/>
    </row>
    <row r="813">
      <c r="G813" s="123"/>
    </row>
    <row r="814">
      <c r="G814" s="123"/>
    </row>
    <row r="815">
      <c r="G815" s="123"/>
    </row>
    <row r="816">
      <c r="G816" s="123"/>
    </row>
    <row r="817">
      <c r="G817" s="123"/>
    </row>
    <row r="818">
      <c r="G818" s="123"/>
    </row>
    <row r="819">
      <c r="G819" s="123"/>
    </row>
    <row r="820">
      <c r="G820" s="123"/>
    </row>
    <row r="821">
      <c r="G821" s="123"/>
    </row>
    <row r="822">
      <c r="G822" s="123"/>
    </row>
    <row r="823">
      <c r="G823" s="123"/>
    </row>
    <row r="824">
      <c r="G824" s="123"/>
    </row>
    <row r="825">
      <c r="G825" s="123"/>
    </row>
    <row r="826">
      <c r="G826" s="123"/>
    </row>
    <row r="827">
      <c r="G827" s="123"/>
    </row>
    <row r="828">
      <c r="G828" s="123"/>
    </row>
    <row r="829">
      <c r="G829" s="123"/>
    </row>
    <row r="830">
      <c r="G830" s="123"/>
    </row>
    <row r="831">
      <c r="G831" s="123"/>
    </row>
    <row r="832">
      <c r="G832" s="123"/>
    </row>
    <row r="833">
      <c r="G833" s="123"/>
    </row>
    <row r="834">
      <c r="G834" s="123"/>
    </row>
    <row r="835">
      <c r="G835" s="123"/>
    </row>
    <row r="836">
      <c r="G836" s="123"/>
    </row>
    <row r="837">
      <c r="G837" s="123"/>
    </row>
    <row r="838">
      <c r="G838" s="123"/>
    </row>
    <row r="839">
      <c r="G839" s="123"/>
    </row>
    <row r="840">
      <c r="G840" s="123"/>
    </row>
    <row r="841">
      <c r="G841" s="123"/>
    </row>
    <row r="842">
      <c r="G842" s="123"/>
    </row>
    <row r="843">
      <c r="G843" s="123"/>
    </row>
    <row r="844">
      <c r="G844" s="123"/>
    </row>
    <row r="845">
      <c r="G845" s="123"/>
    </row>
    <row r="846">
      <c r="G846" s="123"/>
    </row>
    <row r="847">
      <c r="G847" s="123"/>
    </row>
    <row r="848">
      <c r="G848" s="123"/>
    </row>
    <row r="849">
      <c r="G849" s="123"/>
    </row>
    <row r="850">
      <c r="G850" s="123"/>
    </row>
    <row r="851">
      <c r="G851" s="123"/>
    </row>
    <row r="852">
      <c r="G852" s="123"/>
    </row>
    <row r="853">
      <c r="G853" s="123"/>
    </row>
    <row r="854">
      <c r="G854" s="123"/>
    </row>
    <row r="855">
      <c r="G855" s="123"/>
    </row>
    <row r="856">
      <c r="G856" s="123"/>
    </row>
    <row r="857">
      <c r="G857" s="123"/>
    </row>
    <row r="858">
      <c r="G858" s="123"/>
    </row>
    <row r="859">
      <c r="G859" s="123"/>
    </row>
    <row r="860">
      <c r="G860" s="123"/>
    </row>
    <row r="861">
      <c r="G861" s="123"/>
    </row>
    <row r="862">
      <c r="G862" s="123"/>
    </row>
    <row r="863">
      <c r="G863" s="123"/>
    </row>
    <row r="864">
      <c r="G864" s="123"/>
    </row>
    <row r="865">
      <c r="G865" s="123"/>
    </row>
    <row r="866">
      <c r="G866" s="123"/>
    </row>
    <row r="867">
      <c r="G867" s="123"/>
    </row>
    <row r="868">
      <c r="G868" s="123"/>
    </row>
    <row r="869">
      <c r="G869" s="123"/>
    </row>
    <row r="870">
      <c r="G870" s="123"/>
    </row>
    <row r="871">
      <c r="G871" s="123"/>
    </row>
    <row r="872">
      <c r="G872" s="123"/>
    </row>
    <row r="873">
      <c r="G873" s="123"/>
    </row>
    <row r="874">
      <c r="G874" s="123"/>
    </row>
    <row r="875">
      <c r="G875" s="123"/>
    </row>
    <row r="876">
      <c r="G876" s="123"/>
    </row>
    <row r="877">
      <c r="G877" s="123"/>
    </row>
    <row r="878">
      <c r="G878" s="123"/>
    </row>
    <row r="879">
      <c r="G879" s="123"/>
    </row>
    <row r="880">
      <c r="G880" s="123"/>
    </row>
    <row r="881">
      <c r="G881" s="123"/>
    </row>
    <row r="882">
      <c r="G882" s="123"/>
    </row>
    <row r="883">
      <c r="G883" s="123"/>
    </row>
    <row r="884">
      <c r="G884" s="123"/>
    </row>
    <row r="885">
      <c r="G885" s="123"/>
    </row>
    <row r="886">
      <c r="G886" s="123"/>
    </row>
    <row r="887">
      <c r="G887" s="123"/>
    </row>
    <row r="888">
      <c r="G888" s="123"/>
    </row>
    <row r="889">
      <c r="G889" s="123"/>
    </row>
    <row r="890">
      <c r="G890" s="123"/>
    </row>
    <row r="891">
      <c r="G891" s="123"/>
    </row>
    <row r="892">
      <c r="G892" s="123"/>
    </row>
    <row r="893">
      <c r="G893" s="123"/>
    </row>
    <row r="894">
      <c r="G894" s="123"/>
    </row>
    <row r="895">
      <c r="G895" s="123"/>
    </row>
    <row r="896">
      <c r="G896" s="123"/>
    </row>
    <row r="897">
      <c r="G897" s="123"/>
    </row>
    <row r="898">
      <c r="G898" s="123"/>
    </row>
    <row r="899">
      <c r="G899" s="123"/>
    </row>
    <row r="900">
      <c r="G900" s="123"/>
    </row>
    <row r="901">
      <c r="G901" s="123"/>
    </row>
    <row r="902">
      <c r="G902" s="123"/>
    </row>
    <row r="903">
      <c r="G903" s="123"/>
    </row>
    <row r="904">
      <c r="G904" s="123"/>
    </row>
    <row r="905">
      <c r="G905" s="123"/>
    </row>
    <row r="906">
      <c r="G906" s="123"/>
    </row>
    <row r="907">
      <c r="G907" s="123"/>
    </row>
    <row r="908">
      <c r="G908" s="123"/>
    </row>
    <row r="909">
      <c r="G909" s="123"/>
    </row>
    <row r="910">
      <c r="G910" s="123"/>
    </row>
    <row r="911">
      <c r="G911" s="123"/>
    </row>
    <row r="912">
      <c r="G912" s="123"/>
    </row>
    <row r="913">
      <c r="G913" s="123"/>
    </row>
    <row r="914">
      <c r="G914" s="123"/>
    </row>
    <row r="915">
      <c r="G915" s="123"/>
    </row>
    <row r="916">
      <c r="G916" s="123"/>
    </row>
    <row r="917">
      <c r="G917" s="123"/>
    </row>
    <row r="918">
      <c r="G918" s="123"/>
    </row>
    <row r="919">
      <c r="G919" s="123"/>
    </row>
    <row r="920">
      <c r="G920" s="123"/>
    </row>
    <row r="921">
      <c r="G921" s="123"/>
    </row>
    <row r="922">
      <c r="G922" s="123"/>
    </row>
    <row r="923">
      <c r="G923" s="123"/>
    </row>
    <row r="924">
      <c r="G924" s="123"/>
    </row>
    <row r="925">
      <c r="G925" s="123"/>
    </row>
    <row r="926">
      <c r="G926" s="123"/>
    </row>
    <row r="927">
      <c r="G927" s="123"/>
    </row>
    <row r="928">
      <c r="G928" s="123"/>
    </row>
    <row r="929">
      <c r="G929" s="123"/>
    </row>
    <row r="930">
      <c r="G930" s="123"/>
    </row>
    <row r="931">
      <c r="G931" s="123"/>
    </row>
    <row r="932">
      <c r="G932" s="123"/>
    </row>
    <row r="933">
      <c r="G933" s="123"/>
    </row>
    <row r="934">
      <c r="G934" s="123"/>
    </row>
    <row r="935">
      <c r="G935" s="123"/>
    </row>
    <row r="936">
      <c r="G936" s="123"/>
    </row>
    <row r="937">
      <c r="G937" s="123"/>
    </row>
    <row r="938">
      <c r="G938" s="123"/>
    </row>
    <row r="939">
      <c r="G939" s="123"/>
    </row>
    <row r="940">
      <c r="G940" s="123"/>
    </row>
    <row r="941">
      <c r="G941" s="123"/>
    </row>
    <row r="942">
      <c r="G942" s="123"/>
    </row>
    <row r="943">
      <c r="G943" s="123"/>
    </row>
    <row r="944">
      <c r="G944" s="123"/>
    </row>
    <row r="945">
      <c r="G945" s="123"/>
    </row>
    <row r="946">
      <c r="G946" s="123"/>
    </row>
    <row r="947">
      <c r="G947" s="123"/>
    </row>
    <row r="948">
      <c r="G948" s="123"/>
    </row>
    <row r="949">
      <c r="G949" s="123"/>
    </row>
    <row r="950">
      <c r="G950" s="123"/>
    </row>
    <row r="951">
      <c r="G951" s="123"/>
    </row>
    <row r="952">
      <c r="G952" s="123"/>
    </row>
    <row r="953">
      <c r="G953" s="123"/>
    </row>
    <row r="954">
      <c r="G954" s="123"/>
    </row>
    <row r="955">
      <c r="G955" s="123"/>
    </row>
    <row r="956">
      <c r="G956" s="123"/>
    </row>
    <row r="957">
      <c r="G957" s="123"/>
    </row>
    <row r="958">
      <c r="G958" s="123"/>
    </row>
    <row r="959">
      <c r="G959" s="123"/>
    </row>
    <row r="960">
      <c r="G960" s="123"/>
    </row>
    <row r="961">
      <c r="G961" s="123"/>
    </row>
    <row r="962">
      <c r="G962" s="123"/>
    </row>
    <row r="963">
      <c r="G963" s="123"/>
    </row>
    <row r="964">
      <c r="G964" s="123"/>
    </row>
    <row r="965">
      <c r="G965" s="123"/>
    </row>
    <row r="966">
      <c r="G966" s="123"/>
    </row>
    <row r="967">
      <c r="G967" s="123"/>
    </row>
    <row r="968">
      <c r="G968" s="123"/>
    </row>
    <row r="969">
      <c r="G969" s="123"/>
    </row>
    <row r="970">
      <c r="G970" s="123"/>
    </row>
    <row r="971">
      <c r="G971" s="123"/>
    </row>
    <row r="972">
      <c r="G972" s="123"/>
    </row>
    <row r="973">
      <c r="G973" s="123"/>
    </row>
    <row r="974">
      <c r="G974" s="123"/>
    </row>
    <row r="975">
      <c r="G975" s="123"/>
    </row>
    <row r="976">
      <c r="G976" s="123"/>
    </row>
    <row r="977">
      <c r="G977" s="123"/>
    </row>
    <row r="978">
      <c r="G978" s="123"/>
    </row>
    <row r="979">
      <c r="G979" s="123"/>
    </row>
    <row r="980">
      <c r="G980" s="123"/>
    </row>
    <row r="981">
      <c r="G981" s="123"/>
    </row>
    <row r="982">
      <c r="G982" s="123"/>
    </row>
    <row r="983">
      <c r="G983" s="123"/>
    </row>
    <row r="984">
      <c r="G984" s="123"/>
    </row>
    <row r="985">
      <c r="G985" s="123"/>
    </row>
    <row r="986">
      <c r="G986" s="123"/>
    </row>
    <row r="987">
      <c r="G987" s="123"/>
    </row>
    <row r="988">
      <c r="G988" s="123"/>
    </row>
    <row r="989">
      <c r="G989" s="123"/>
    </row>
    <row r="990">
      <c r="G990" s="123"/>
    </row>
    <row r="991">
      <c r="G991" s="123"/>
    </row>
    <row r="992">
      <c r="G992" s="123"/>
    </row>
    <row r="993">
      <c r="G993" s="123"/>
    </row>
    <row r="994">
      <c r="G994" s="123"/>
    </row>
    <row r="995">
      <c r="G995" s="123"/>
    </row>
    <row r="996">
      <c r="G996" s="123"/>
    </row>
    <row r="997">
      <c r="G997" s="123"/>
    </row>
    <row r="998">
      <c r="G998" s="123"/>
    </row>
    <row r="999">
      <c r="G999" s="123"/>
    </row>
    <row r="1000">
      <c r="G1000" s="123"/>
    </row>
  </sheetData>
  <mergeCells count="7">
    <mergeCell ref="E1:G1"/>
    <mergeCell ref="A11:C11"/>
    <mergeCell ref="I1:K1"/>
    <mergeCell ref="D11:F11"/>
    <mergeCell ref="M1:O1"/>
    <mergeCell ref="G11:H11"/>
    <mergeCell ref="Q1:R1"/>
  </mergeCells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7.71"/>
    <col customWidth="1" min="2" max="2" width="20.43"/>
    <col customWidth="1" min="3" max="3" width="12.29"/>
    <col customWidth="1" min="4" max="5" width="17.71"/>
    <col customWidth="1" min="6" max="6" width="21.86"/>
    <col customWidth="1" min="7" max="7" width="13.57"/>
    <col customWidth="1" min="8" max="8" width="14.71"/>
    <col customWidth="1" min="9" max="9" width="12.0"/>
    <col customWidth="1" min="10" max="10" width="19.43"/>
    <col customWidth="1" min="11" max="11" width="15.29"/>
    <col customWidth="1" min="12" max="12" width="8.71"/>
    <col customWidth="1" min="13" max="13" width="17.43"/>
    <col customWidth="1" min="14" max="14" width="14.43"/>
    <col customWidth="1" min="15" max="17" width="8.71"/>
    <col customWidth="1" min="18" max="18" width="20.29"/>
    <col customWidth="1" min="19" max="19" width="23.0"/>
    <col customWidth="1" min="20" max="20" width="26.57"/>
    <col customWidth="1" min="21" max="21" width="44.43"/>
    <col customWidth="1" min="22" max="22" width="25.57"/>
    <col customWidth="1" min="23" max="23" width="24.14"/>
    <col customWidth="1" min="24" max="25" width="27.43"/>
    <col customWidth="1" min="26" max="26" width="20.29"/>
    <col customWidth="1" min="27" max="27" width="21.71"/>
    <col customWidth="1" min="28" max="30" width="24.43"/>
  </cols>
  <sheetData>
    <row r="1">
      <c r="A1" s="51" t="s">
        <v>99</v>
      </c>
      <c r="B1" s="51" t="s">
        <v>63</v>
      </c>
      <c r="C1" s="51" t="s">
        <v>64</v>
      </c>
      <c r="F1" s="101" t="s">
        <v>963</v>
      </c>
      <c r="G1" s="102"/>
      <c r="H1" s="103"/>
      <c r="J1" s="101" t="s">
        <v>964</v>
      </c>
      <c r="K1" s="102"/>
      <c r="L1" s="103"/>
      <c r="N1" s="101" t="s">
        <v>965</v>
      </c>
      <c r="O1" s="102"/>
      <c r="P1" s="103"/>
      <c r="R1" s="101" t="s">
        <v>966</v>
      </c>
      <c r="S1" s="102"/>
      <c r="T1" s="103"/>
      <c r="V1" s="22" t="s">
        <v>967</v>
      </c>
      <c r="Y1" s="127" t="s">
        <v>968</v>
      </c>
      <c r="Z1" s="127"/>
      <c r="AB1" s="127" t="s">
        <v>969</v>
      </c>
      <c r="AD1" s="15"/>
    </row>
    <row r="2">
      <c r="A2" t="s">
        <v>48</v>
      </c>
      <c r="B2" t="str">
        <f>IF('Design Specifications'!C31="y","Solar","Diesel")</f>
        <v>Diesel</v>
      </c>
      <c r="F2" t="s">
        <v>54</v>
      </c>
      <c r="G2" s="128" t="str">
        <f>IF(B2="Solar",IF('Design Specifications'!C34="y","HES-260",IF('Design Specifications'!C35="y","SW-80","HES-305P")),"N/A")</f>
        <v>N/A</v>
      </c>
      <c r="J2" t="s">
        <v>970</v>
      </c>
      <c r="K2">
        <f>2000*3600</f>
        <v>7200000</v>
      </c>
      <c r="L2" t="s">
        <v>971</v>
      </c>
      <c r="N2" t="s">
        <v>901</v>
      </c>
      <c r="O2" s="34">
        <v>0.92</v>
      </c>
      <c r="R2" t="s">
        <v>901</v>
      </c>
      <c r="S2" s="34">
        <v>0.35</v>
      </c>
      <c r="U2" s="129"/>
      <c r="V2" s="15" t="s">
        <v>972</v>
      </c>
      <c r="W2">
        <f>AA14/$S$4</f>
        <v>3.411501201</v>
      </c>
      <c r="Y2" s="15" t="s">
        <v>973</v>
      </c>
      <c r="Z2" s="15">
        <v>3250.0</v>
      </c>
      <c r="AB2" s="15" t="s">
        <v>974</v>
      </c>
      <c r="AC2" s="15">
        <f>IF('Design Specifications'!C32="y",Z5,0)</f>
        <v>6192.419786</v>
      </c>
      <c r="AD2" s="15"/>
    </row>
    <row r="3">
      <c r="A3" s="6" t="s">
        <v>975</v>
      </c>
      <c r="B3">
        <v>120.0</v>
      </c>
      <c r="C3" t="s">
        <v>976</v>
      </c>
      <c r="F3" t="s">
        <v>977</v>
      </c>
      <c r="G3">
        <f>IF('Design Specifications'!C34="y",1.6,IF('Design Specifications'!C35="y",0.62,2))</f>
        <v>2</v>
      </c>
      <c r="H3" t="s">
        <v>101</v>
      </c>
      <c r="J3" t="s">
        <v>901</v>
      </c>
      <c r="K3" s="34">
        <v>0.96</v>
      </c>
      <c r="N3" t="s">
        <v>103</v>
      </c>
      <c r="O3">
        <v>2369.0</v>
      </c>
      <c r="P3" t="s">
        <v>118</v>
      </c>
      <c r="R3" t="s">
        <v>978</v>
      </c>
      <c r="S3" s="37">
        <v>40.0</v>
      </c>
      <c r="T3" t="s">
        <v>979</v>
      </c>
      <c r="U3" s="15"/>
      <c r="V3" s="15" t="s">
        <v>980</v>
      </c>
      <c r="W3">
        <f> AA14/$S$6</f>
        <v>8.528753003</v>
      </c>
      <c r="Y3" s="15" t="s">
        <v>981</v>
      </c>
      <c r="Z3">
        <f>$S$5*$W$2</f>
        <v>170.5750601</v>
      </c>
      <c r="AB3" s="15" t="s">
        <v>49</v>
      </c>
      <c r="AC3" s="15">
        <f>IF('Design Specifications'!C31="y",Z7,0)</f>
        <v>0</v>
      </c>
      <c r="AD3" s="15"/>
    </row>
    <row r="4">
      <c r="B4">
        <v>12.0</v>
      </c>
      <c r="C4" t="s">
        <v>976</v>
      </c>
      <c r="F4" t="s">
        <v>901</v>
      </c>
      <c r="G4" s="34">
        <f>IF('Design Specifications'!C34="y",0.17,IF('Design Specifications'!C35="y",0.15,0.13))</f>
        <v>0.13</v>
      </c>
      <c r="J4" t="s">
        <v>982</v>
      </c>
      <c r="K4">
        <v>240.0</v>
      </c>
      <c r="L4" t="s">
        <v>983</v>
      </c>
      <c r="N4" t="s">
        <v>984</v>
      </c>
      <c r="O4">
        <v>100.0</v>
      </c>
      <c r="P4" t="s">
        <v>983</v>
      </c>
      <c r="R4" t="s">
        <v>985</v>
      </c>
      <c r="S4">
        <v>250.0</v>
      </c>
      <c r="T4" s="15" t="s">
        <v>986</v>
      </c>
      <c r="Y4" s="15" t="s">
        <v>987</v>
      </c>
      <c r="Z4">
        <f>$S$9*AA14</f>
        <v>2771.844726</v>
      </c>
      <c r="AB4" s="15" t="s">
        <v>988</v>
      </c>
      <c r="AC4">
        <f>K6*K5</f>
        <v>780</v>
      </c>
    </row>
    <row r="5">
      <c r="B5">
        <f>IF(B2="Diesel",120,0)</f>
        <v>120</v>
      </c>
      <c r="C5" t="s">
        <v>976</v>
      </c>
      <c r="F5" t="s">
        <v>982</v>
      </c>
      <c r="G5">
        <f>IF('Design Specifications'!C34="y",496,IF('Design Specifications'!C35="y",192,620))</f>
        <v>620</v>
      </c>
      <c r="H5" t="s">
        <v>983</v>
      </c>
      <c r="J5" t="s">
        <v>103</v>
      </c>
      <c r="K5">
        <v>390.0</v>
      </c>
      <c r="L5" t="s">
        <v>118</v>
      </c>
      <c r="R5" t="s">
        <v>989</v>
      </c>
      <c r="S5">
        <v>50.0</v>
      </c>
      <c r="T5" t="s">
        <v>118</v>
      </c>
      <c r="Y5" s="15" t="s">
        <v>990</v>
      </c>
      <c r="Z5">
        <f>SUM(Z2:Z4)</f>
        <v>6192.419786</v>
      </c>
      <c r="AB5" s="39" t="s">
        <v>88</v>
      </c>
      <c r="AC5" s="40">
        <f>SUM(AC2:AC4)</f>
        <v>6972.419786</v>
      </c>
    </row>
    <row r="6">
      <c r="A6" s="120" t="s">
        <v>109</v>
      </c>
      <c r="B6">
        <f>'Catchment Area'!B4</f>
        <v>120</v>
      </c>
      <c r="F6" s="15" t="s">
        <v>991</v>
      </c>
      <c r="G6">
        <f>IF('Design Specifications'!C34="y",500,IF('Design Specifications'!C35="y",205,450))</f>
        <v>450</v>
      </c>
      <c r="H6" s="15" t="s">
        <v>118</v>
      </c>
      <c r="J6" t="s">
        <v>51</v>
      </c>
      <c r="K6" s="15">
        <f>'Design Specifications'!C33</f>
        <v>2</v>
      </c>
      <c r="R6" t="s">
        <v>992</v>
      </c>
      <c r="S6">
        <v>100.0</v>
      </c>
      <c r="T6" t="s">
        <v>18</v>
      </c>
      <c r="U6" s="15"/>
    </row>
    <row r="7">
      <c r="A7" t="s">
        <v>993</v>
      </c>
      <c r="B7">
        <f>'Design Specifications'!C12</f>
        <v>10000</v>
      </c>
      <c r="C7" t="s">
        <v>18</v>
      </c>
      <c r="F7" s="15" t="s">
        <v>994</v>
      </c>
      <c r="G7">
        <f>G6*G8</f>
        <v>0</v>
      </c>
      <c r="H7" s="15" t="s">
        <v>118</v>
      </c>
      <c r="J7" t="s">
        <v>995</v>
      </c>
      <c r="K7">
        <f>K6*K2</f>
        <v>14400000</v>
      </c>
      <c r="L7" t="s">
        <v>996</v>
      </c>
      <c r="R7" t="s">
        <v>984</v>
      </c>
      <c r="S7">
        <v>1250.0</v>
      </c>
      <c r="T7" t="s">
        <v>983</v>
      </c>
      <c r="U7" s="15"/>
      <c r="V7" s="15"/>
      <c r="Y7" s="127" t="s">
        <v>997</v>
      </c>
      <c r="Z7" s="127">
        <f>G7</f>
        <v>0</v>
      </c>
    </row>
    <row r="8">
      <c r="A8" t="s">
        <v>998</v>
      </c>
      <c r="B8" s="34">
        <f>Pumps!I4</f>
        <v>0.7</v>
      </c>
      <c r="F8" t="s">
        <v>999</v>
      </c>
      <c r="G8" t="str">
        <f>'Design Specifications'!C37</f>
        <v/>
      </c>
      <c r="J8" s="15" t="s">
        <v>1000</v>
      </c>
      <c r="K8">
        <f>K7/(1*10^6)</f>
        <v>14.4</v>
      </c>
      <c r="L8" s="15" t="s">
        <v>1001</v>
      </c>
      <c r="R8" t="s">
        <v>1002</v>
      </c>
      <c r="S8">
        <v>3250.0</v>
      </c>
      <c r="T8" t="s">
        <v>118</v>
      </c>
      <c r="W8" s="15"/>
    </row>
    <row r="9">
      <c r="A9" t="s">
        <v>1003</v>
      </c>
      <c r="B9">
        <f>IF('Design Specifications'!C27="y",36,50)</f>
        <v>36</v>
      </c>
      <c r="C9" t="s">
        <v>939</v>
      </c>
      <c r="F9" t="s">
        <v>944</v>
      </c>
      <c r="G9">
        <v>4.0</v>
      </c>
      <c r="H9" t="s">
        <v>1004</v>
      </c>
      <c r="J9" s="15" t="s">
        <v>1005</v>
      </c>
      <c r="K9">
        <f>2500/9*K8</f>
        <v>4000</v>
      </c>
      <c r="L9" s="15" t="s">
        <v>1006</v>
      </c>
      <c r="R9" t="s">
        <v>1007</v>
      </c>
      <c r="S9">
        <v>3.25</v>
      </c>
      <c r="T9" t="s">
        <v>1008</v>
      </c>
      <c r="U9" s="15"/>
      <c r="W9" s="15"/>
      <c r="X9" s="22" t="s">
        <v>1009</v>
      </c>
      <c r="Y9" s="105"/>
    </row>
    <row r="10">
      <c r="A10" s="130" t="s">
        <v>1010</v>
      </c>
      <c r="B10">
        <f>B9*24</f>
        <v>864</v>
      </c>
      <c r="C10" t="s">
        <v>1006</v>
      </c>
      <c r="F10" t="s">
        <v>1011</v>
      </c>
      <c r="G10">
        <v>350.0</v>
      </c>
      <c r="H10" t="s">
        <v>1012</v>
      </c>
      <c r="R10" s="15" t="s">
        <v>1013</v>
      </c>
      <c r="S10" s="15">
        <v>365.0</v>
      </c>
      <c r="T10" s="15" t="s">
        <v>1014</v>
      </c>
      <c r="U10" s="15"/>
      <c r="V10" s="15"/>
      <c r="W10" s="15"/>
      <c r="X10" s="15" t="s">
        <v>1006</v>
      </c>
      <c r="Y10" s="15" t="s">
        <v>1001</v>
      </c>
    </row>
    <row r="11">
      <c r="F11" s="15" t="s">
        <v>1015</v>
      </c>
      <c r="G11">
        <f>COUNTIF(R15:R379,"&lt;&gt;0")</f>
        <v>0</v>
      </c>
      <c r="H11" s="15" t="s">
        <v>96</v>
      </c>
      <c r="U11" s="131"/>
      <c r="V11" s="131"/>
      <c r="X11" s="15">
        <v>1.0</v>
      </c>
      <c r="Y11" s="15">
        <f>3600/1*10^-6</f>
        <v>0.0036</v>
      </c>
    </row>
    <row r="13">
      <c r="A13" s="101" t="s">
        <v>956</v>
      </c>
      <c r="B13" s="102"/>
      <c r="C13" s="103"/>
      <c r="D13" s="132"/>
      <c r="E13" s="133" t="s">
        <v>1016</v>
      </c>
      <c r="F13" s="102"/>
      <c r="G13" s="102"/>
      <c r="H13" s="102"/>
      <c r="I13" s="102"/>
      <c r="J13" s="102"/>
      <c r="K13" s="103"/>
      <c r="M13" s="134" t="s">
        <v>1017</v>
      </c>
      <c r="T13" s="135" t="s">
        <v>1018</v>
      </c>
      <c r="Z13" s="136" t="s">
        <v>1019</v>
      </c>
      <c r="AA13" s="137">
        <f t="shared" ref="AA13:AA14" si="1">Y380</f>
        <v>170.5750601</v>
      </c>
    </row>
    <row r="14">
      <c r="A14" s="92" t="s">
        <v>130</v>
      </c>
      <c r="B14" s="92" t="s">
        <v>131</v>
      </c>
      <c r="C14" s="92" t="s">
        <v>132</v>
      </c>
      <c r="D14" s="138" t="s">
        <v>1020</v>
      </c>
      <c r="E14" s="130" t="s">
        <v>1021</v>
      </c>
      <c r="F14" s="130" t="s">
        <v>1022</v>
      </c>
      <c r="G14" s="130" t="s">
        <v>1023</v>
      </c>
      <c r="H14" s="130" t="s">
        <v>1024</v>
      </c>
      <c r="I14" s="130" t="s">
        <v>1025</v>
      </c>
      <c r="J14" s="130" t="s">
        <v>1026</v>
      </c>
      <c r="K14" s="130" t="s">
        <v>1027</v>
      </c>
      <c r="L14" s="130"/>
      <c r="M14" s="139" t="s">
        <v>1028</v>
      </c>
      <c r="N14" s="139" t="s">
        <v>1029</v>
      </c>
      <c r="O14" s="139" t="s">
        <v>1030</v>
      </c>
      <c r="P14" s="139" t="s">
        <v>1031</v>
      </c>
      <c r="Q14" s="139" t="s">
        <v>1032</v>
      </c>
      <c r="R14" s="139" t="s">
        <v>1033</v>
      </c>
      <c r="S14" s="138"/>
      <c r="T14" s="15" t="s">
        <v>1034</v>
      </c>
      <c r="U14" s="15" t="s">
        <v>1035</v>
      </c>
      <c r="V14" s="15" t="s">
        <v>1036</v>
      </c>
      <c r="W14" s="15" t="s">
        <v>1037</v>
      </c>
      <c r="X14" s="15" t="s">
        <v>1038</v>
      </c>
      <c r="Y14" s="15" t="s">
        <v>1039</v>
      </c>
      <c r="Z14" s="140" t="s">
        <v>1040</v>
      </c>
      <c r="AA14" s="141">
        <f t="shared" si="1"/>
        <v>852.8753003</v>
      </c>
      <c r="AB14" s="130"/>
      <c r="AC14" s="130"/>
      <c r="AD14" s="130"/>
    </row>
    <row r="15">
      <c r="A15" s="78" t="s">
        <v>135</v>
      </c>
      <c r="B15" s="78">
        <v>18.8</v>
      </c>
      <c r="C15" s="78">
        <f t="shared" ref="C15:C379" si="3">IF(B15*$B$6&lt;$B$7,B15*$B$6,$B$7)</f>
        <v>2256</v>
      </c>
      <c r="D15">
        <f t="shared" ref="D15:D379" si="4">C15/1000</f>
        <v>2.256</v>
      </c>
      <c r="E15">
        <v>8.0</v>
      </c>
      <c r="F15">
        <f t="shared" ref="F15:F379" si="5">$G$8*$G$3*$G$10*E15</f>
        <v>0</v>
      </c>
      <c r="G15">
        <f t="shared" ref="G15:G379" si="6">F15*$G$4</f>
        <v>0</v>
      </c>
      <c r="H15">
        <f>C15*Pumps!$F$18/3600</f>
        <v>96135.95524</v>
      </c>
      <c r="I15">
        <f t="shared" ref="I15:I379" si="7">H15/$B$8</f>
        <v>137337.0789</v>
      </c>
      <c r="J15">
        <f t="shared" ref="J15:J379" si="8">1.04*$B$10+1.08*(1.04*I15)</f>
        <v>155155.567</v>
      </c>
      <c r="K15">
        <f>IF(($K$3*G15-J15)&lt;$K$7,IF($K$3*G15-J15 &gt;0,$K$3*G15-J15,0 ),$K$7)</f>
        <v>0</v>
      </c>
      <c r="M15" s="142">
        <f t="shared" ref="M15:M379" si="9">F15*3600/(1*10^6)</f>
        <v>0</v>
      </c>
      <c r="N15" s="142">
        <f t="shared" ref="N15:N379" si="10">M15*$G$4</f>
        <v>0</v>
      </c>
      <c r="O15" s="142">
        <f t="shared" ref="O15:Q15" si="2">H15*3600/(1*10^6)</f>
        <v>346.0894389</v>
      </c>
      <c r="P15" s="142">
        <f t="shared" si="2"/>
        <v>494.4134841</v>
      </c>
      <c r="Q15" s="142">
        <f t="shared" si="2"/>
        <v>558.5600413</v>
      </c>
      <c r="R15" s="142">
        <f t="shared" ref="R15:R379" si="12">IF((K15*3600/(1*10^6))&lt;=$K$8,K15*3600/(1*10^6),$K$8)</f>
        <v>0</v>
      </c>
      <c r="T15">
        <f>Pumps!$F$18*D15/Pumps!$I$4/3600</f>
        <v>137.3370789</v>
      </c>
      <c r="U15">
        <f>IF('Design Specifications'!$C$30="y",Disinfection!G13*Disinfection!$N$3*(1*10^6)/3600,0)</f>
        <v>0</v>
      </c>
      <c r="V15">
        <f t="shared" ref="V15:V379" si="13">$B$9*3600*24/3600</f>
        <v>864</v>
      </c>
      <c r="W15">
        <f>(T15)*3600/(1*10^6)</f>
        <v>0.4944134841</v>
      </c>
      <c r="X15">
        <f t="shared" ref="X15:X379" si="14">V15*$Y$11+U15*$Y$11</f>
        <v>3.1104</v>
      </c>
      <c r="Y15">
        <f t="shared" ref="Y15:Y379" si="15">(W15+X15/$K$3)/$S$2/$S$3</f>
        <v>0.2667438203</v>
      </c>
    </row>
    <row r="16">
      <c r="A16" s="78" t="s">
        <v>137</v>
      </c>
      <c r="B16" s="78">
        <v>19.8</v>
      </c>
      <c r="C16" s="78">
        <f t="shared" si="3"/>
        <v>2376</v>
      </c>
      <c r="D16">
        <f t="shared" si="4"/>
        <v>2.376</v>
      </c>
      <c r="E16">
        <v>8.0</v>
      </c>
      <c r="F16">
        <f t="shared" si="5"/>
        <v>0</v>
      </c>
      <c r="G16">
        <f t="shared" si="6"/>
        <v>0</v>
      </c>
      <c r="H16">
        <f>C16*Pumps!$F$18/3600</f>
        <v>101249.5699</v>
      </c>
      <c r="I16">
        <f t="shared" si="7"/>
        <v>144642.2427</v>
      </c>
      <c r="J16">
        <f t="shared" si="8"/>
        <v>163360.727</v>
      </c>
      <c r="K16">
        <f t="shared" ref="K16:K18" si="16">IF(($K$3*G16-J16)+K15&lt;$K$7,IF(($K$3*G16-J16)+K15&gt;0,($K$3*G16-J16)+K15,0),$K$7)</f>
        <v>0</v>
      </c>
      <c r="M16" s="142">
        <f t="shared" si="9"/>
        <v>0</v>
      </c>
      <c r="N16" s="142">
        <f t="shared" si="10"/>
        <v>0</v>
      </c>
      <c r="O16" s="142">
        <f t="shared" ref="O16:Q16" si="11">H16*3600/(1*10^6)</f>
        <v>364.4984516</v>
      </c>
      <c r="P16" s="142">
        <f t="shared" si="11"/>
        <v>520.7120737</v>
      </c>
      <c r="Q16" s="142">
        <f t="shared" si="11"/>
        <v>588.0986172</v>
      </c>
      <c r="R16" s="142">
        <f t="shared" si="12"/>
        <v>0</v>
      </c>
      <c r="T16">
        <f>Pumps!$F$18*D16/Pumps!$I$4/3600</f>
        <v>144.6422427</v>
      </c>
      <c r="U16">
        <f>IF('Design Specifications'!$C$30="y",Disinfection!G14*Disinfection!$N$3*(1*10^6)/3600,0)</f>
        <v>0</v>
      </c>
      <c r="V16">
        <f t="shared" si="13"/>
        <v>864</v>
      </c>
      <c r="W16">
        <f t="shared" ref="W16:W379" si="18">(T16+U16+V16)*3600/(1*10^6)</f>
        <v>3.631112074</v>
      </c>
      <c r="X16">
        <f t="shared" si="14"/>
        <v>3.1104</v>
      </c>
      <c r="Y16">
        <f t="shared" si="15"/>
        <v>0.4907937195</v>
      </c>
    </row>
    <row r="17">
      <c r="A17" s="78" t="s">
        <v>139</v>
      </c>
      <c r="B17" s="78">
        <v>0.0</v>
      </c>
      <c r="C17" s="78">
        <f t="shared" si="3"/>
        <v>0</v>
      </c>
      <c r="D17">
        <f t="shared" si="4"/>
        <v>0</v>
      </c>
      <c r="E17">
        <v>8.0</v>
      </c>
      <c r="F17">
        <f t="shared" si="5"/>
        <v>0</v>
      </c>
      <c r="G17">
        <f t="shared" si="6"/>
        <v>0</v>
      </c>
      <c r="H17">
        <f>C17*Pumps!$F$18/3600</f>
        <v>0</v>
      </c>
      <c r="I17">
        <f t="shared" si="7"/>
        <v>0</v>
      </c>
      <c r="J17">
        <f t="shared" si="8"/>
        <v>898.56</v>
      </c>
      <c r="K17">
        <f t="shared" si="16"/>
        <v>0</v>
      </c>
      <c r="M17" s="142">
        <f t="shared" si="9"/>
        <v>0</v>
      </c>
      <c r="N17" s="142">
        <f t="shared" si="10"/>
        <v>0</v>
      </c>
      <c r="O17" s="142">
        <f t="shared" ref="O17:Q17" si="17">H17*3600/(1*10^6)</f>
        <v>0</v>
      </c>
      <c r="P17" s="142">
        <f t="shared" si="17"/>
        <v>0</v>
      </c>
      <c r="Q17" s="142">
        <f t="shared" si="17"/>
        <v>3.234816</v>
      </c>
      <c r="R17" s="142">
        <f t="shared" si="12"/>
        <v>0</v>
      </c>
      <c r="T17">
        <f>Pumps!$F$18*D17/Pumps!$I$4/3600</f>
        <v>0</v>
      </c>
      <c r="U17">
        <f>IF('Design Specifications'!$C$30="y",Disinfection!G15*Disinfection!$N$3*(1*10^6)/3600,0)</f>
        <v>0</v>
      </c>
      <c r="V17">
        <f t="shared" si="13"/>
        <v>864</v>
      </c>
      <c r="W17">
        <f t="shared" si="18"/>
        <v>3.1104</v>
      </c>
      <c r="X17">
        <f t="shared" si="14"/>
        <v>3.1104</v>
      </c>
      <c r="Y17">
        <f t="shared" si="15"/>
        <v>0.4536</v>
      </c>
    </row>
    <row r="18">
      <c r="A18" s="78" t="s">
        <v>141</v>
      </c>
      <c r="B18" s="78">
        <v>0.0</v>
      </c>
      <c r="C18" s="78">
        <f t="shared" si="3"/>
        <v>0</v>
      </c>
      <c r="D18">
        <f t="shared" si="4"/>
        <v>0</v>
      </c>
      <c r="E18">
        <v>8.0</v>
      </c>
      <c r="F18">
        <f t="shared" si="5"/>
        <v>0</v>
      </c>
      <c r="G18">
        <f t="shared" si="6"/>
        <v>0</v>
      </c>
      <c r="H18">
        <f>C18*Pumps!$F$18/3600</f>
        <v>0</v>
      </c>
      <c r="I18">
        <f t="shared" si="7"/>
        <v>0</v>
      </c>
      <c r="J18">
        <f t="shared" si="8"/>
        <v>898.56</v>
      </c>
      <c r="K18">
        <f t="shared" si="16"/>
        <v>0</v>
      </c>
      <c r="M18" s="142">
        <f t="shared" si="9"/>
        <v>0</v>
      </c>
      <c r="N18" s="142">
        <f t="shared" si="10"/>
        <v>0</v>
      </c>
      <c r="O18" s="142">
        <f t="shared" ref="O18:Q18" si="19">H18*3600/(1*10^6)</f>
        <v>0</v>
      </c>
      <c r="P18" s="142">
        <f t="shared" si="19"/>
        <v>0</v>
      </c>
      <c r="Q18" s="142">
        <f t="shared" si="19"/>
        <v>3.234816</v>
      </c>
      <c r="R18" s="142">
        <f t="shared" si="12"/>
        <v>0</v>
      </c>
      <c r="T18">
        <f>Pumps!$F$18*D18/Pumps!$I$4/3600</f>
        <v>0</v>
      </c>
      <c r="U18">
        <f>IF('Design Specifications'!$C$30="y",Disinfection!G16*Disinfection!$N$3*(1*10^6)/3600,0)</f>
        <v>0</v>
      </c>
      <c r="V18">
        <f t="shared" si="13"/>
        <v>864</v>
      </c>
      <c r="W18">
        <f t="shared" si="18"/>
        <v>3.1104</v>
      </c>
      <c r="X18">
        <f t="shared" si="14"/>
        <v>3.1104</v>
      </c>
      <c r="Y18">
        <f t="shared" si="15"/>
        <v>0.4536</v>
      </c>
    </row>
    <row r="19">
      <c r="A19" s="78" t="s">
        <v>143</v>
      </c>
      <c r="B19" s="78">
        <v>0.0</v>
      </c>
      <c r="C19" s="78">
        <f t="shared" si="3"/>
        <v>0</v>
      </c>
      <c r="D19">
        <f t="shared" si="4"/>
        <v>0</v>
      </c>
      <c r="E19">
        <v>8.0</v>
      </c>
      <c r="F19">
        <f t="shared" si="5"/>
        <v>0</v>
      </c>
      <c r="G19">
        <f t="shared" si="6"/>
        <v>0</v>
      </c>
      <c r="H19">
        <f>C19*Pumps!$F$18/3600</f>
        <v>0</v>
      </c>
      <c r="I19">
        <f t="shared" si="7"/>
        <v>0</v>
      </c>
      <c r="J19">
        <f t="shared" si="8"/>
        <v>898.56</v>
      </c>
      <c r="K19" s="15">
        <v>0.0</v>
      </c>
      <c r="M19" s="142">
        <f t="shared" si="9"/>
        <v>0</v>
      </c>
      <c r="N19" s="142">
        <f t="shared" si="10"/>
        <v>0</v>
      </c>
      <c r="O19" s="142">
        <f t="shared" ref="O19:Q19" si="20">H19*3600/(1*10^6)</f>
        <v>0</v>
      </c>
      <c r="P19" s="142">
        <f t="shared" si="20"/>
        <v>0</v>
      </c>
      <c r="Q19" s="142">
        <f t="shared" si="20"/>
        <v>3.234816</v>
      </c>
      <c r="R19" s="142">
        <f t="shared" si="12"/>
        <v>0</v>
      </c>
      <c r="T19">
        <f>Pumps!$F$18*D19/Pumps!$I$4/3600</f>
        <v>0</v>
      </c>
      <c r="U19">
        <f>IF('Design Specifications'!$C$30="y",Disinfection!G17*Disinfection!$N$3*(1*10^6)/3600,0)</f>
        <v>0</v>
      </c>
      <c r="V19">
        <f t="shared" si="13"/>
        <v>864</v>
      </c>
      <c r="W19">
        <f t="shared" si="18"/>
        <v>3.1104</v>
      </c>
      <c r="X19">
        <f t="shared" si="14"/>
        <v>3.1104</v>
      </c>
      <c r="Y19">
        <f t="shared" si="15"/>
        <v>0.4536</v>
      </c>
    </row>
    <row r="20">
      <c r="A20" s="78" t="s">
        <v>145</v>
      </c>
      <c r="B20" s="78">
        <v>5.0</v>
      </c>
      <c r="C20" s="78">
        <f t="shared" si="3"/>
        <v>600</v>
      </c>
      <c r="D20">
        <f t="shared" si="4"/>
        <v>0.6</v>
      </c>
      <c r="E20">
        <v>8.0</v>
      </c>
      <c r="F20">
        <f t="shared" si="5"/>
        <v>0</v>
      </c>
      <c r="G20">
        <f t="shared" si="6"/>
        <v>0</v>
      </c>
      <c r="H20">
        <f>C20*Pumps!$F$18/3600</f>
        <v>25568.0732</v>
      </c>
      <c r="I20">
        <f t="shared" si="7"/>
        <v>36525.81886</v>
      </c>
      <c r="J20">
        <f t="shared" si="8"/>
        <v>41924.35975</v>
      </c>
      <c r="K20">
        <f t="shared" ref="K20:K379" si="22">IF(($K$3*G20-J20)+K19&lt;$K$7,IF(($K$3*G20-J20)+K19&gt;0,($K$3*G20-J20)+K19,0),$K$7)</f>
        <v>0</v>
      </c>
      <c r="M20" s="142">
        <f t="shared" si="9"/>
        <v>0</v>
      </c>
      <c r="N20" s="142">
        <f t="shared" si="10"/>
        <v>0</v>
      </c>
      <c r="O20" s="142">
        <f t="shared" ref="O20:Q20" si="21">H20*3600/(1*10^6)</f>
        <v>92.04506353</v>
      </c>
      <c r="P20" s="142">
        <f t="shared" si="21"/>
        <v>131.4929479</v>
      </c>
      <c r="Q20" s="142">
        <f t="shared" si="21"/>
        <v>150.9276951</v>
      </c>
      <c r="R20" s="142">
        <f t="shared" si="12"/>
        <v>0</v>
      </c>
      <c r="T20">
        <f>Pumps!$F$18*D20/Pumps!$I$4/3600</f>
        <v>36.52581886</v>
      </c>
      <c r="U20">
        <f>IF('Design Specifications'!$C$30="y",Disinfection!G18*Disinfection!$N$3*(1*10^6)/3600,0)</f>
        <v>0</v>
      </c>
      <c r="V20">
        <f t="shared" si="13"/>
        <v>864</v>
      </c>
      <c r="W20">
        <f t="shared" si="18"/>
        <v>3.241892948</v>
      </c>
      <c r="X20">
        <f t="shared" si="14"/>
        <v>3.1104</v>
      </c>
      <c r="Y20">
        <f t="shared" si="15"/>
        <v>0.4629923534</v>
      </c>
    </row>
    <row r="21">
      <c r="A21" s="78" t="s">
        <v>147</v>
      </c>
      <c r="B21" s="78">
        <v>20.4</v>
      </c>
      <c r="C21" s="78">
        <f t="shared" si="3"/>
        <v>2448</v>
      </c>
      <c r="D21">
        <f t="shared" si="4"/>
        <v>2.448</v>
      </c>
      <c r="E21">
        <v>8.0</v>
      </c>
      <c r="F21">
        <f t="shared" si="5"/>
        <v>0</v>
      </c>
      <c r="G21">
        <f t="shared" si="6"/>
        <v>0</v>
      </c>
      <c r="H21">
        <f>C21*Pumps!$F$18/3600</f>
        <v>104317.7387</v>
      </c>
      <c r="I21">
        <f t="shared" si="7"/>
        <v>149025.341</v>
      </c>
      <c r="J21">
        <f t="shared" si="8"/>
        <v>168283.823</v>
      </c>
      <c r="K21">
        <f t="shared" si="22"/>
        <v>0</v>
      </c>
      <c r="M21" s="142">
        <f t="shared" si="9"/>
        <v>0</v>
      </c>
      <c r="N21" s="142">
        <f t="shared" si="10"/>
        <v>0</v>
      </c>
      <c r="O21" s="142">
        <f t="shared" ref="O21:Q21" si="23">H21*3600/(1*10^6)</f>
        <v>375.5438592</v>
      </c>
      <c r="P21" s="142">
        <f t="shared" si="23"/>
        <v>536.4912274</v>
      </c>
      <c r="Q21" s="142">
        <f t="shared" si="23"/>
        <v>605.8217627</v>
      </c>
      <c r="R21" s="142">
        <f t="shared" si="12"/>
        <v>0</v>
      </c>
      <c r="T21">
        <f>Pumps!$F$18*D21/Pumps!$I$4/3600</f>
        <v>149.025341</v>
      </c>
      <c r="U21">
        <f>IF('Design Specifications'!$C$30="y",Disinfection!G19*Disinfection!$N$3*(1*10^6)/3600,0)</f>
        <v>0</v>
      </c>
      <c r="V21">
        <f t="shared" si="13"/>
        <v>864</v>
      </c>
      <c r="W21">
        <f t="shared" si="18"/>
        <v>3.646891227</v>
      </c>
      <c r="X21">
        <f t="shared" si="14"/>
        <v>3.1104</v>
      </c>
      <c r="Y21">
        <f t="shared" si="15"/>
        <v>0.491920802</v>
      </c>
    </row>
    <row r="22">
      <c r="A22" s="78" t="s">
        <v>149</v>
      </c>
      <c r="B22" s="78">
        <v>24.8</v>
      </c>
      <c r="C22" s="78">
        <f t="shared" si="3"/>
        <v>2976</v>
      </c>
      <c r="D22">
        <f t="shared" si="4"/>
        <v>2.976</v>
      </c>
      <c r="E22">
        <v>8.0</v>
      </c>
      <c r="F22">
        <f t="shared" si="5"/>
        <v>0</v>
      </c>
      <c r="G22">
        <f t="shared" si="6"/>
        <v>0</v>
      </c>
      <c r="H22">
        <f>C22*Pumps!$F$18/3600</f>
        <v>126817.6431</v>
      </c>
      <c r="I22">
        <f t="shared" si="7"/>
        <v>181168.0616</v>
      </c>
      <c r="J22">
        <f t="shared" si="8"/>
        <v>204386.5267</v>
      </c>
      <c r="K22">
        <f t="shared" si="22"/>
        <v>0</v>
      </c>
      <c r="M22" s="142">
        <f t="shared" si="9"/>
        <v>0</v>
      </c>
      <c r="N22" s="142">
        <f t="shared" si="10"/>
        <v>0</v>
      </c>
      <c r="O22" s="142">
        <f t="shared" ref="O22:Q22" si="24">H22*3600/(1*10^6)</f>
        <v>456.5435151</v>
      </c>
      <c r="P22" s="142">
        <f t="shared" si="24"/>
        <v>652.2050216</v>
      </c>
      <c r="Q22" s="142">
        <f t="shared" si="24"/>
        <v>735.7914962</v>
      </c>
      <c r="R22" s="142">
        <f t="shared" si="12"/>
        <v>0</v>
      </c>
      <c r="T22">
        <f>Pumps!$F$18*D22/Pumps!$I$4/3600</f>
        <v>181.1680616</v>
      </c>
      <c r="U22">
        <f>IF('Design Specifications'!$C$30="y",Disinfection!G20*Disinfection!$N$3*(1*10^6)/3600,0)</f>
        <v>0</v>
      </c>
      <c r="V22">
        <f t="shared" si="13"/>
        <v>864</v>
      </c>
      <c r="W22">
        <f t="shared" si="18"/>
        <v>3.762605022</v>
      </c>
      <c r="X22">
        <f t="shared" si="14"/>
        <v>3.1104</v>
      </c>
      <c r="Y22">
        <f t="shared" si="15"/>
        <v>0.500186073</v>
      </c>
    </row>
    <row r="23">
      <c r="A23" s="78" t="s">
        <v>151</v>
      </c>
      <c r="B23" s="78">
        <v>34.0</v>
      </c>
      <c r="C23" s="78">
        <f t="shared" si="3"/>
        <v>4080</v>
      </c>
      <c r="D23">
        <f t="shared" si="4"/>
        <v>4.08</v>
      </c>
      <c r="E23">
        <v>8.0</v>
      </c>
      <c r="F23">
        <f t="shared" si="5"/>
        <v>0</v>
      </c>
      <c r="G23">
        <f t="shared" si="6"/>
        <v>0</v>
      </c>
      <c r="H23">
        <f>C23*Pumps!$F$18/3600</f>
        <v>173862.8978</v>
      </c>
      <c r="I23">
        <f t="shared" si="7"/>
        <v>248375.5683</v>
      </c>
      <c r="J23">
        <f t="shared" si="8"/>
        <v>279873.9983</v>
      </c>
      <c r="K23">
        <f t="shared" si="22"/>
        <v>0</v>
      </c>
      <c r="M23" s="142">
        <f t="shared" si="9"/>
        <v>0</v>
      </c>
      <c r="N23" s="142">
        <f t="shared" si="10"/>
        <v>0</v>
      </c>
      <c r="O23" s="142">
        <f t="shared" ref="O23:Q23" si="25">H23*3600/(1*10^6)</f>
        <v>625.906432</v>
      </c>
      <c r="P23" s="142">
        <f t="shared" si="25"/>
        <v>894.1520457</v>
      </c>
      <c r="Q23" s="142">
        <f t="shared" si="25"/>
        <v>1007.546394</v>
      </c>
      <c r="R23" s="142">
        <f t="shared" si="12"/>
        <v>0</v>
      </c>
      <c r="T23">
        <f>Pumps!$F$18*D23/Pumps!$I$4/3600</f>
        <v>248.3755683</v>
      </c>
      <c r="U23">
        <f>IF('Design Specifications'!$C$30="y",Disinfection!G21*Disinfection!$N$3*(1*10^6)/3600,0)</f>
        <v>0</v>
      </c>
      <c r="V23">
        <f t="shared" si="13"/>
        <v>864</v>
      </c>
      <c r="W23">
        <f t="shared" si="18"/>
        <v>4.004552046</v>
      </c>
      <c r="X23">
        <f t="shared" si="14"/>
        <v>3.1104</v>
      </c>
      <c r="Y23">
        <f t="shared" si="15"/>
        <v>0.5174680033</v>
      </c>
    </row>
    <row r="24">
      <c r="A24" s="78" t="s">
        <v>153</v>
      </c>
      <c r="B24" s="78">
        <v>44.6</v>
      </c>
      <c r="C24" s="78">
        <f t="shared" si="3"/>
        <v>5352</v>
      </c>
      <c r="D24">
        <f t="shared" si="4"/>
        <v>5.352</v>
      </c>
      <c r="E24">
        <v>8.0</v>
      </c>
      <c r="F24">
        <f t="shared" si="5"/>
        <v>0</v>
      </c>
      <c r="G24">
        <f t="shared" si="6"/>
        <v>0</v>
      </c>
      <c r="H24">
        <f>C24*Pumps!$F$18/3600</f>
        <v>228067.213</v>
      </c>
      <c r="I24">
        <f t="shared" si="7"/>
        <v>325810.3042</v>
      </c>
      <c r="J24">
        <f t="shared" si="8"/>
        <v>366848.6937</v>
      </c>
      <c r="K24">
        <f t="shared" si="22"/>
        <v>0</v>
      </c>
      <c r="M24" s="142">
        <f t="shared" si="9"/>
        <v>0</v>
      </c>
      <c r="N24" s="142">
        <f t="shared" si="10"/>
        <v>0</v>
      </c>
      <c r="O24" s="142">
        <f t="shared" ref="O24:Q24" si="26">H24*3600/(1*10^6)</f>
        <v>821.0419667</v>
      </c>
      <c r="P24" s="142">
        <f t="shared" si="26"/>
        <v>1172.917095</v>
      </c>
      <c r="Q24" s="142">
        <f t="shared" si="26"/>
        <v>1320.655297</v>
      </c>
      <c r="R24" s="142">
        <f t="shared" si="12"/>
        <v>0</v>
      </c>
      <c r="T24">
        <f>Pumps!$F$18*D24/Pumps!$I$4/3600</f>
        <v>325.8103042</v>
      </c>
      <c r="U24">
        <f>IF('Design Specifications'!$C$30="y",Disinfection!G22*Disinfection!$N$3*(1*10^6)/3600,0)</f>
        <v>0</v>
      </c>
      <c r="V24">
        <f t="shared" si="13"/>
        <v>864</v>
      </c>
      <c r="W24">
        <f t="shared" si="18"/>
        <v>4.283317095</v>
      </c>
      <c r="X24">
        <f t="shared" si="14"/>
        <v>3.1104</v>
      </c>
      <c r="Y24">
        <f t="shared" si="15"/>
        <v>0.5373797925</v>
      </c>
    </row>
    <row r="25">
      <c r="A25" s="78" t="s">
        <v>155</v>
      </c>
      <c r="B25" s="78">
        <v>14.4</v>
      </c>
      <c r="C25" s="78">
        <f t="shared" si="3"/>
        <v>1728</v>
      </c>
      <c r="D25">
        <f t="shared" si="4"/>
        <v>1.728</v>
      </c>
      <c r="E25">
        <v>8.0</v>
      </c>
      <c r="F25">
        <f t="shared" si="5"/>
        <v>0</v>
      </c>
      <c r="G25">
        <f t="shared" si="6"/>
        <v>0</v>
      </c>
      <c r="H25">
        <f>C25*Pumps!$F$18/3600</f>
        <v>73636.05082</v>
      </c>
      <c r="I25">
        <f t="shared" si="7"/>
        <v>105194.3583</v>
      </c>
      <c r="J25">
        <f t="shared" si="8"/>
        <v>119052.8633</v>
      </c>
      <c r="K25">
        <f t="shared" si="22"/>
        <v>0</v>
      </c>
      <c r="M25" s="142">
        <f t="shared" si="9"/>
        <v>0</v>
      </c>
      <c r="N25" s="142">
        <f t="shared" si="10"/>
        <v>0</v>
      </c>
      <c r="O25" s="142">
        <f t="shared" ref="O25:Q25" si="27">H25*3600/(1*10^6)</f>
        <v>265.089783</v>
      </c>
      <c r="P25" s="142">
        <f t="shared" si="27"/>
        <v>378.69969</v>
      </c>
      <c r="Q25" s="142">
        <f t="shared" si="27"/>
        <v>428.5903078</v>
      </c>
      <c r="R25" s="142">
        <f t="shared" si="12"/>
        <v>0</v>
      </c>
      <c r="T25">
        <f>Pumps!$F$18*D25/Pumps!$I$4/3600</f>
        <v>105.1943583</v>
      </c>
      <c r="U25">
        <f>IF('Design Specifications'!$C$30="y",Disinfection!G23*Disinfection!$N$3*(1*10^6)/3600,0)</f>
        <v>0</v>
      </c>
      <c r="V25">
        <f t="shared" si="13"/>
        <v>864</v>
      </c>
      <c r="W25">
        <f t="shared" si="18"/>
        <v>3.48909969</v>
      </c>
      <c r="X25">
        <f t="shared" si="14"/>
        <v>3.1104</v>
      </c>
      <c r="Y25">
        <f t="shared" si="15"/>
        <v>0.4806499779</v>
      </c>
    </row>
    <row r="26">
      <c r="A26" s="78" t="s">
        <v>157</v>
      </c>
      <c r="B26" s="78">
        <v>50.2</v>
      </c>
      <c r="C26" s="78">
        <f t="shared" si="3"/>
        <v>6024</v>
      </c>
      <c r="D26">
        <f t="shared" si="4"/>
        <v>6.024</v>
      </c>
      <c r="E26">
        <v>8.0</v>
      </c>
      <c r="F26">
        <f t="shared" si="5"/>
        <v>0</v>
      </c>
      <c r="G26">
        <f t="shared" si="6"/>
        <v>0</v>
      </c>
      <c r="H26">
        <f>C26*Pumps!$F$18/3600</f>
        <v>256703.455</v>
      </c>
      <c r="I26">
        <f t="shared" si="7"/>
        <v>366719.2214</v>
      </c>
      <c r="J26">
        <f t="shared" si="8"/>
        <v>412797.5894</v>
      </c>
      <c r="K26">
        <f t="shared" si="22"/>
        <v>0</v>
      </c>
      <c r="M26" s="142">
        <f t="shared" si="9"/>
        <v>0</v>
      </c>
      <c r="N26" s="142">
        <f t="shared" si="10"/>
        <v>0</v>
      </c>
      <c r="O26" s="142">
        <f t="shared" ref="O26:Q26" si="28">H26*3600/(1*10^6)</f>
        <v>924.1324378</v>
      </c>
      <c r="P26" s="142">
        <f t="shared" si="28"/>
        <v>1320.189197</v>
      </c>
      <c r="Q26" s="142">
        <f t="shared" si="28"/>
        <v>1486.071322</v>
      </c>
      <c r="R26" s="142">
        <f t="shared" si="12"/>
        <v>0</v>
      </c>
      <c r="T26">
        <f>Pumps!$F$18*D26/Pumps!$I$4/3600</f>
        <v>366.7192214</v>
      </c>
      <c r="U26">
        <f>IF('Design Specifications'!$C$30="y",Disinfection!G24*Disinfection!$N$3*(1*10^6)/3600,0)</f>
        <v>0</v>
      </c>
      <c r="V26">
        <f t="shared" si="13"/>
        <v>864</v>
      </c>
      <c r="W26">
        <f t="shared" si="18"/>
        <v>4.430589197</v>
      </c>
      <c r="X26">
        <f t="shared" si="14"/>
        <v>3.1104</v>
      </c>
      <c r="Y26">
        <f t="shared" si="15"/>
        <v>0.5478992284</v>
      </c>
    </row>
    <row r="27">
      <c r="A27" s="78" t="s">
        <v>159</v>
      </c>
      <c r="B27" s="78">
        <v>9.6</v>
      </c>
      <c r="C27" s="78">
        <f t="shared" si="3"/>
        <v>1152</v>
      </c>
      <c r="D27">
        <f t="shared" si="4"/>
        <v>1.152</v>
      </c>
      <c r="E27">
        <v>8.0</v>
      </c>
      <c r="F27">
        <f t="shared" si="5"/>
        <v>0</v>
      </c>
      <c r="G27">
        <f t="shared" si="6"/>
        <v>0</v>
      </c>
      <c r="H27">
        <f>C27*Pumps!$F$18/3600</f>
        <v>49090.70055</v>
      </c>
      <c r="I27">
        <f t="shared" si="7"/>
        <v>70129.57221</v>
      </c>
      <c r="J27">
        <f t="shared" si="8"/>
        <v>79668.09551</v>
      </c>
      <c r="K27">
        <f t="shared" si="22"/>
        <v>0</v>
      </c>
      <c r="M27" s="142">
        <f t="shared" si="9"/>
        <v>0</v>
      </c>
      <c r="N27" s="142">
        <f t="shared" si="10"/>
        <v>0</v>
      </c>
      <c r="O27" s="142">
        <f t="shared" ref="O27:Q27" si="29">H27*3600/(1*10^6)</f>
        <v>176.726522</v>
      </c>
      <c r="P27" s="142">
        <f t="shared" si="29"/>
        <v>252.46646</v>
      </c>
      <c r="Q27" s="142">
        <f t="shared" si="29"/>
        <v>286.8051438</v>
      </c>
      <c r="R27" s="142">
        <f t="shared" si="12"/>
        <v>0</v>
      </c>
      <c r="T27">
        <f>Pumps!$F$18*D27/Pumps!$I$4/3600</f>
        <v>70.12957221</v>
      </c>
      <c r="U27">
        <f>IF('Design Specifications'!$C$30="y",Disinfection!G25*Disinfection!$N$3*(1*10^6)/3600,0)</f>
        <v>0</v>
      </c>
      <c r="V27">
        <f t="shared" si="13"/>
        <v>864</v>
      </c>
      <c r="W27">
        <f t="shared" si="18"/>
        <v>3.36286646</v>
      </c>
      <c r="X27">
        <f t="shared" si="14"/>
        <v>3.1104</v>
      </c>
      <c r="Y27">
        <f t="shared" si="15"/>
        <v>0.4716333186</v>
      </c>
    </row>
    <row r="28">
      <c r="A28" s="78" t="s">
        <v>161</v>
      </c>
      <c r="B28" s="78">
        <v>5.8</v>
      </c>
      <c r="C28" s="78">
        <f t="shared" si="3"/>
        <v>696</v>
      </c>
      <c r="D28">
        <f t="shared" si="4"/>
        <v>0.696</v>
      </c>
      <c r="E28">
        <v>8.0</v>
      </c>
      <c r="F28">
        <f t="shared" si="5"/>
        <v>0</v>
      </c>
      <c r="G28">
        <f t="shared" si="6"/>
        <v>0</v>
      </c>
      <c r="H28">
        <f>C28*Pumps!$F$18/3600</f>
        <v>29658.96492</v>
      </c>
      <c r="I28">
        <f t="shared" si="7"/>
        <v>42369.94988</v>
      </c>
      <c r="J28">
        <f t="shared" si="8"/>
        <v>48488.4877</v>
      </c>
      <c r="K28">
        <f t="shared" si="22"/>
        <v>0</v>
      </c>
      <c r="M28" s="142">
        <f t="shared" si="9"/>
        <v>0</v>
      </c>
      <c r="N28" s="142">
        <f t="shared" si="10"/>
        <v>0</v>
      </c>
      <c r="O28" s="142">
        <f t="shared" ref="O28:Q28" si="30">H28*3600/(1*10^6)</f>
        <v>106.7722737</v>
      </c>
      <c r="P28" s="142">
        <f t="shared" si="30"/>
        <v>152.5318196</v>
      </c>
      <c r="Q28" s="142">
        <f t="shared" si="30"/>
        <v>174.5585557</v>
      </c>
      <c r="R28" s="142">
        <f t="shared" si="12"/>
        <v>0</v>
      </c>
      <c r="T28">
        <f>Pumps!$F$18*D28/Pumps!$I$4/3600</f>
        <v>42.36994988</v>
      </c>
      <c r="U28">
        <f>IF('Design Specifications'!$C$30="y",Disinfection!G26*Disinfection!$N$3*(1*10^6)/3600,0)</f>
        <v>0</v>
      </c>
      <c r="V28">
        <f t="shared" si="13"/>
        <v>864</v>
      </c>
      <c r="W28">
        <f t="shared" si="18"/>
        <v>3.26293182</v>
      </c>
      <c r="X28">
        <f t="shared" si="14"/>
        <v>3.1104</v>
      </c>
      <c r="Y28">
        <f t="shared" si="15"/>
        <v>0.46449513</v>
      </c>
    </row>
    <row r="29">
      <c r="A29" s="78" t="s">
        <v>163</v>
      </c>
      <c r="B29" s="78">
        <v>1.6</v>
      </c>
      <c r="C29" s="78">
        <f t="shared" si="3"/>
        <v>192</v>
      </c>
      <c r="D29">
        <f t="shared" si="4"/>
        <v>0.192</v>
      </c>
      <c r="E29">
        <v>8.0</v>
      </c>
      <c r="F29">
        <f t="shared" si="5"/>
        <v>0</v>
      </c>
      <c r="G29">
        <f t="shared" si="6"/>
        <v>0</v>
      </c>
      <c r="H29">
        <f>C29*Pumps!$F$18/3600</f>
        <v>8181.783425</v>
      </c>
      <c r="I29">
        <f t="shared" si="7"/>
        <v>11688.26204</v>
      </c>
      <c r="J29">
        <f t="shared" si="8"/>
        <v>14026.81592</v>
      </c>
      <c r="K29">
        <f t="shared" si="22"/>
        <v>0</v>
      </c>
      <c r="M29" s="142">
        <f t="shared" si="9"/>
        <v>0</v>
      </c>
      <c r="N29" s="142">
        <f t="shared" si="10"/>
        <v>0</v>
      </c>
      <c r="O29" s="142">
        <f t="shared" ref="O29:Q29" si="31">H29*3600/(1*10^6)</f>
        <v>29.45442033</v>
      </c>
      <c r="P29" s="142">
        <f t="shared" si="31"/>
        <v>42.07774333</v>
      </c>
      <c r="Q29" s="142">
        <f t="shared" si="31"/>
        <v>50.49653731</v>
      </c>
      <c r="R29" s="142">
        <f t="shared" si="12"/>
        <v>0</v>
      </c>
      <c r="T29">
        <f>Pumps!$F$18*D29/Pumps!$I$4/3600</f>
        <v>11.68826204</v>
      </c>
      <c r="U29">
        <f>IF('Design Specifications'!$C$30="y",Disinfection!G27*Disinfection!$N$3*(1*10^6)/3600,0)</f>
        <v>0</v>
      </c>
      <c r="V29">
        <f t="shared" si="13"/>
        <v>864</v>
      </c>
      <c r="W29">
        <f t="shared" si="18"/>
        <v>3.152477743</v>
      </c>
      <c r="X29">
        <f t="shared" si="14"/>
        <v>3.1104</v>
      </c>
      <c r="Y29">
        <f t="shared" si="15"/>
        <v>0.4566055531</v>
      </c>
    </row>
    <row r="30">
      <c r="A30" s="78" t="s">
        <v>165</v>
      </c>
      <c r="B30" s="78">
        <v>0.8</v>
      </c>
      <c r="C30" s="78">
        <f t="shared" si="3"/>
        <v>96</v>
      </c>
      <c r="D30">
        <f t="shared" si="4"/>
        <v>0.096</v>
      </c>
      <c r="E30">
        <v>8.0</v>
      </c>
      <c r="F30">
        <f t="shared" si="5"/>
        <v>0</v>
      </c>
      <c r="G30">
        <f t="shared" si="6"/>
        <v>0</v>
      </c>
      <c r="H30">
        <f>C30*Pumps!$F$18/3600</f>
        <v>4090.891712</v>
      </c>
      <c r="I30">
        <f t="shared" si="7"/>
        <v>5844.131018</v>
      </c>
      <c r="J30">
        <f t="shared" si="8"/>
        <v>7462.687959</v>
      </c>
      <c r="K30">
        <f t="shared" si="22"/>
        <v>0</v>
      </c>
      <c r="M30" s="142">
        <f t="shared" si="9"/>
        <v>0</v>
      </c>
      <c r="N30" s="142">
        <f t="shared" si="10"/>
        <v>0</v>
      </c>
      <c r="O30" s="142">
        <f t="shared" ref="O30:Q30" si="32">H30*3600/(1*10^6)</f>
        <v>14.72721016</v>
      </c>
      <c r="P30" s="142">
        <f t="shared" si="32"/>
        <v>21.03887166</v>
      </c>
      <c r="Q30" s="142">
        <f t="shared" si="32"/>
        <v>26.86567665</v>
      </c>
      <c r="R30" s="142">
        <f t="shared" si="12"/>
        <v>0</v>
      </c>
      <c r="T30">
        <f>Pumps!$F$18*D30/Pumps!$I$4/3600</f>
        <v>5.844131018</v>
      </c>
      <c r="U30">
        <f>IF('Design Specifications'!$C$30="y",Disinfection!G28*Disinfection!$N$3*(1*10^6)/3600,0)</f>
        <v>0</v>
      </c>
      <c r="V30">
        <f t="shared" si="13"/>
        <v>864</v>
      </c>
      <c r="W30">
        <f t="shared" si="18"/>
        <v>3.131438872</v>
      </c>
      <c r="X30">
        <f t="shared" si="14"/>
        <v>3.1104</v>
      </c>
      <c r="Y30">
        <f t="shared" si="15"/>
        <v>0.4551027765</v>
      </c>
    </row>
    <row r="31">
      <c r="A31" s="78" t="s">
        <v>167</v>
      </c>
      <c r="B31" s="78">
        <v>0.0</v>
      </c>
      <c r="C31" s="78">
        <f t="shared" si="3"/>
        <v>0</v>
      </c>
      <c r="D31">
        <f t="shared" si="4"/>
        <v>0</v>
      </c>
      <c r="E31">
        <v>8.0</v>
      </c>
      <c r="F31">
        <f t="shared" si="5"/>
        <v>0</v>
      </c>
      <c r="G31">
        <f t="shared" si="6"/>
        <v>0</v>
      </c>
      <c r="H31">
        <f>C31*Pumps!$F$18/3600</f>
        <v>0</v>
      </c>
      <c r="I31">
        <f t="shared" si="7"/>
        <v>0</v>
      </c>
      <c r="J31">
        <f t="shared" si="8"/>
        <v>898.56</v>
      </c>
      <c r="K31">
        <f t="shared" si="22"/>
        <v>0</v>
      </c>
      <c r="M31" s="142">
        <f t="shared" si="9"/>
        <v>0</v>
      </c>
      <c r="N31" s="142">
        <f t="shared" si="10"/>
        <v>0</v>
      </c>
      <c r="O31" s="142">
        <f t="shared" ref="O31:Q31" si="33">H31*3600/(1*10^6)</f>
        <v>0</v>
      </c>
      <c r="P31" s="142">
        <f t="shared" si="33"/>
        <v>0</v>
      </c>
      <c r="Q31" s="142">
        <f t="shared" si="33"/>
        <v>3.234816</v>
      </c>
      <c r="R31" s="142">
        <f t="shared" si="12"/>
        <v>0</v>
      </c>
      <c r="T31">
        <f>Pumps!$F$18*D31/Pumps!$I$4/3600</f>
        <v>0</v>
      </c>
      <c r="U31">
        <f>IF('Design Specifications'!$C$30="y",Disinfection!G29*Disinfection!$N$3*(1*10^6)/3600,0)</f>
        <v>0</v>
      </c>
      <c r="V31">
        <f t="shared" si="13"/>
        <v>864</v>
      </c>
      <c r="W31">
        <f t="shared" si="18"/>
        <v>3.1104</v>
      </c>
      <c r="X31">
        <f t="shared" si="14"/>
        <v>3.1104</v>
      </c>
      <c r="Y31">
        <f t="shared" si="15"/>
        <v>0.4536</v>
      </c>
    </row>
    <row r="32">
      <c r="A32" s="78" t="s">
        <v>169</v>
      </c>
      <c r="B32" s="78">
        <v>2.6</v>
      </c>
      <c r="C32" s="78">
        <f t="shared" si="3"/>
        <v>312</v>
      </c>
      <c r="D32">
        <f t="shared" si="4"/>
        <v>0.312</v>
      </c>
      <c r="E32">
        <v>8.0</v>
      </c>
      <c r="F32">
        <f t="shared" si="5"/>
        <v>0</v>
      </c>
      <c r="G32">
        <f t="shared" si="6"/>
        <v>0</v>
      </c>
      <c r="H32">
        <f>C32*Pumps!$F$18/3600</f>
        <v>13295.39807</v>
      </c>
      <c r="I32">
        <f t="shared" si="7"/>
        <v>18993.42581</v>
      </c>
      <c r="J32">
        <f t="shared" si="8"/>
        <v>22231.97587</v>
      </c>
      <c r="K32">
        <f t="shared" si="22"/>
        <v>0</v>
      </c>
      <c r="M32" s="142">
        <f t="shared" si="9"/>
        <v>0</v>
      </c>
      <c r="N32" s="142">
        <f t="shared" si="10"/>
        <v>0</v>
      </c>
      <c r="O32" s="142">
        <f t="shared" ref="O32:Q32" si="34">H32*3600/(1*10^6)</f>
        <v>47.86343304</v>
      </c>
      <c r="P32" s="142">
        <f t="shared" si="34"/>
        <v>68.37633291</v>
      </c>
      <c r="Q32" s="142">
        <f t="shared" si="34"/>
        <v>80.03511312</v>
      </c>
      <c r="R32" s="142">
        <f t="shared" si="12"/>
        <v>0</v>
      </c>
      <c r="T32">
        <f>Pumps!$F$18*D32/Pumps!$I$4/3600</f>
        <v>18.99342581</v>
      </c>
      <c r="U32">
        <f>IF('Design Specifications'!$C$30="y",Disinfection!G30*Disinfection!$N$3*(1*10^6)/3600,0)</f>
        <v>0</v>
      </c>
      <c r="V32">
        <f t="shared" si="13"/>
        <v>864</v>
      </c>
      <c r="W32">
        <f t="shared" si="18"/>
        <v>3.178776333</v>
      </c>
      <c r="X32">
        <f t="shared" si="14"/>
        <v>3.1104</v>
      </c>
      <c r="Y32">
        <f t="shared" si="15"/>
        <v>0.4584840238</v>
      </c>
    </row>
    <row r="33">
      <c r="A33" s="78" t="s">
        <v>171</v>
      </c>
      <c r="B33" s="78">
        <v>1.0</v>
      </c>
      <c r="C33" s="78">
        <f t="shared" si="3"/>
        <v>120</v>
      </c>
      <c r="D33">
        <f t="shared" si="4"/>
        <v>0.12</v>
      </c>
      <c r="E33">
        <v>8.0</v>
      </c>
      <c r="F33">
        <f t="shared" si="5"/>
        <v>0</v>
      </c>
      <c r="G33">
        <f t="shared" si="6"/>
        <v>0</v>
      </c>
      <c r="H33">
        <f>C33*Pumps!$F$18/3600</f>
        <v>5113.614641</v>
      </c>
      <c r="I33">
        <f t="shared" si="7"/>
        <v>7305.163772</v>
      </c>
      <c r="J33">
        <f t="shared" si="8"/>
        <v>9103.719949</v>
      </c>
      <c r="K33">
        <f t="shared" si="22"/>
        <v>0</v>
      </c>
      <c r="M33" s="142">
        <f t="shared" si="9"/>
        <v>0</v>
      </c>
      <c r="N33" s="142">
        <f t="shared" si="10"/>
        <v>0</v>
      </c>
      <c r="O33" s="142">
        <f t="shared" ref="O33:Q33" si="35">H33*3600/(1*10^6)</f>
        <v>18.40901271</v>
      </c>
      <c r="P33" s="142">
        <f t="shared" si="35"/>
        <v>26.29858958</v>
      </c>
      <c r="Q33" s="142">
        <f t="shared" si="35"/>
        <v>32.77339182</v>
      </c>
      <c r="R33" s="142">
        <f t="shared" si="12"/>
        <v>0</v>
      </c>
      <c r="T33">
        <f>Pumps!$F$18*D33/Pumps!$I$4/3600</f>
        <v>7.305163772</v>
      </c>
      <c r="U33">
        <f>IF('Design Specifications'!$C$30="y",Disinfection!G31*Disinfection!$N$3*(1*10^6)/3600,0)</f>
        <v>0</v>
      </c>
      <c r="V33">
        <f t="shared" si="13"/>
        <v>864</v>
      </c>
      <c r="W33">
        <f t="shared" si="18"/>
        <v>3.13669859</v>
      </c>
      <c r="X33">
        <f t="shared" si="14"/>
        <v>3.1104</v>
      </c>
      <c r="Y33">
        <f t="shared" si="15"/>
        <v>0.4554784707</v>
      </c>
    </row>
    <row r="34">
      <c r="A34" s="78" t="s">
        <v>173</v>
      </c>
      <c r="B34" s="78">
        <v>0.6</v>
      </c>
      <c r="C34" s="78">
        <f t="shared" si="3"/>
        <v>72</v>
      </c>
      <c r="D34">
        <f t="shared" si="4"/>
        <v>0.072</v>
      </c>
      <c r="E34">
        <v>8.0</v>
      </c>
      <c r="F34">
        <f t="shared" si="5"/>
        <v>0</v>
      </c>
      <c r="G34">
        <f t="shared" si="6"/>
        <v>0</v>
      </c>
      <c r="H34">
        <f>C34*Pumps!$F$18/3600</f>
        <v>3068.168784</v>
      </c>
      <c r="I34">
        <f t="shared" si="7"/>
        <v>4383.098263</v>
      </c>
      <c r="J34">
        <f t="shared" si="8"/>
        <v>5821.655969</v>
      </c>
      <c r="K34">
        <f t="shared" si="22"/>
        <v>0</v>
      </c>
      <c r="M34" s="142">
        <f t="shared" si="9"/>
        <v>0</v>
      </c>
      <c r="N34" s="142">
        <f t="shared" si="10"/>
        <v>0</v>
      </c>
      <c r="O34" s="142">
        <f t="shared" ref="O34:Q34" si="36">H34*3600/(1*10^6)</f>
        <v>11.04540762</v>
      </c>
      <c r="P34" s="142">
        <f t="shared" si="36"/>
        <v>15.77915375</v>
      </c>
      <c r="Q34" s="142">
        <f t="shared" si="36"/>
        <v>20.95796149</v>
      </c>
      <c r="R34" s="142">
        <f t="shared" si="12"/>
        <v>0</v>
      </c>
      <c r="T34">
        <f>Pumps!$F$18*D34/Pumps!$I$4/3600</f>
        <v>4.383098263</v>
      </c>
      <c r="U34">
        <f>IF('Design Specifications'!$C$30="y",Disinfection!G32*Disinfection!$N$3*(1*10^6)/3600,0)</f>
        <v>0</v>
      </c>
      <c r="V34">
        <f t="shared" si="13"/>
        <v>864</v>
      </c>
      <c r="W34">
        <f t="shared" si="18"/>
        <v>3.126179154</v>
      </c>
      <c r="X34">
        <f t="shared" si="14"/>
        <v>3.1104</v>
      </c>
      <c r="Y34">
        <f t="shared" si="15"/>
        <v>0.4547270824</v>
      </c>
    </row>
    <row r="35">
      <c r="A35" s="78" t="s">
        <v>175</v>
      </c>
      <c r="B35" s="78">
        <v>0.8</v>
      </c>
      <c r="C35" s="78">
        <f t="shared" si="3"/>
        <v>96</v>
      </c>
      <c r="D35">
        <f t="shared" si="4"/>
        <v>0.096</v>
      </c>
      <c r="E35">
        <v>8.0</v>
      </c>
      <c r="F35">
        <f t="shared" si="5"/>
        <v>0</v>
      </c>
      <c r="G35">
        <f t="shared" si="6"/>
        <v>0</v>
      </c>
      <c r="H35">
        <f>C35*Pumps!$F$18/3600</f>
        <v>4090.891712</v>
      </c>
      <c r="I35">
        <f t="shared" si="7"/>
        <v>5844.131018</v>
      </c>
      <c r="J35">
        <f t="shared" si="8"/>
        <v>7462.687959</v>
      </c>
      <c r="K35">
        <f t="shared" si="22"/>
        <v>0</v>
      </c>
      <c r="M35" s="142">
        <f t="shared" si="9"/>
        <v>0</v>
      </c>
      <c r="N35" s="142">
        <f t="shared" si="10"/>
        <v>0</v>
      </c>
      <c r="O35" s="142">
        <f t="shared" ref="O35:Q35" si="37">H35*3600/(1*10^6)</f>
        <v>14.72721016</v>
      </c>
      <c r="P35" s="142">
        <f t="shared" si="37"/>
        <v>21.03887166</v>
      </c>
      <c r="Q35" s="142">
        <f t="shared" si="37"/>
        <v>26.86567665</v>
      </c>
      <c r="R35" s="142">
        <f t="shared" si="12"/>
        <v>0</v>
      </c>
      <c r="T35">
        <f>Pumps!$F$18*D35/Pumps!$I$4/3600</f>
        <v>5.844131018</v>
      </c>
      <c r="U35">
        <f>IF('Design Specifications'!$C$30="y",Disinfection!G33*Disinfection!$N$3*(1*10^6)/3600,0)</f>
        <v>0</v>
      </c>
      <c r="V35">
        <f t="shared" si="13"/>
        <v>864</v>
      </c>
      <c r="W35">
        <f t="shared" si="18"/>
        <v>3.131438872</v>
      </c>
      <c r="X35">
        <f t="shared" si="14"/>
        <v>3.1104</v>
      </c>
      <c r="Y35">
        <f t="shared" si="15"/>
        <v>0.4551027765</v>
      </c>
    </row>
    <row r="36">
      <c r="A36" s="78" t="s">
        <v>177</v>
      </c>
      <c r="B36" s="78">
        <v>0.6</v>
      </c>
      <c r="C36" s="78">
        <f t="shared" si="3"/>
        <v>72</v>
      </c>
      <c r="D36">
        <f t="shared" si="4"/>
        <v>0.072</v>
      </c>
      <c r="E36">
        <v>8.0</v>
      </c>
      <c r="F36">
        <f t="shared" si="5"/>
        <v>0</v>
      </c>
      <c r="G36">
        <f t="shared" si="6"/>
        <v>0</v>
      </c>
      <c r="H36">
        <f>C36*Pumps!$F$18/3600</f>
        <v>3068.168784</v>
      </c>
      <c r="I36">
        <f t="shared" si="7"/>
        <v>4383.098263</v>
      </c>
      <c r="J36">
        <f t="shared" si="8"/>
        <v>5821.655969</v>
      </c>
      <c r="K36">
        <f t="shared" si="22"/>
        <v>0</v>
      </c>
      <c r="M36" s="142">
        <f t="shared" si="9"/>
        <v>0</v>
      </c>
      <c r="N36" s="142">
        <f t="shared" si="10"/>
        <v>0</v>
      </c>
      <c r="O36" s="142">
        <f t="shared" ref="O36:Q36" si="38">H36*3600/(1*10^6)</f>
        <v>11.04540762</v>
      </c>
      <c r="P36" s="142">
        <f t="shared" si="38"/>
        <v>15.77915375</v>
      </c>
      <c r="Q36" s="142">
        <f t="shared" si="38"/>
        <v>20.95796149</v>
      </c>
      <c r="R36" s="142">
        <f t="shared" si="12"/>
        <v>0</v>
      </c>
      <c r="T36">
        <f>Pumps!$F$18*D36/Pumps!$I$4/3600</f>
        <v>4.383098263</v>
      </c>
      <c r="U36">
        <f>IF('Design Specifications'!$C$30="y",Disinfection!G34*Disinfection!$N$3*(1*10^6)/3600,0)</f>
        <v>0</v>
      </c>
      <c r="V36">
        <f t="shared" si="13"/>
        <v>864</v>
      </c>
      <c r="W36">
        <f t="shared" si="18"/>
        <v>3.126179154</v>
      </c>
      <c r="X36">
        <f t="shared" si="14"/>
        <v>3.1104</v>
      </c>
      <c r="Y36">
        <f t="shared" si="15"/>
        <v>0.4547270824</v>
      </c>
    </row>
    <row r="37">
      <c r="A37" s="78" t="s">
        <v>179</v>
      </c>
      <c r="B37" s="78">
        <v>0.0</v>
      </c>
      <c r="C37" s="78">
        <f t="shared" si="3"/>
        <v>0</v>
      </c>
      <c r="D37">
        <f t="shared" si="4"/>
        <v>0</v>
      </c>
      <c r="E37">
        <v>8.0</v>
      </c>
      <c r="F37">
        <f t="shared" si="5"/>
        <v>0</v>
      </c>
      <c r="G37">
        <f t="shared" si="6"/>
        <v>0</v>
      </c>
      <c r="H37">
        <f>C37*Pumps!$F$18/3600</f>
        <v>0</v>
      </c>
      <c r="I37">
        <f t="shared" si="7"/>
        <v>0</v>
      </c>
      <c r="J37">
        <f t="shared" si="8"/>
        <v>898.56</v>
      </c>
      <c r="K37">
        <f t="shared" si="22"/>
        <v>0</v>
      </c>
      <c r="M37" s="142">
        <f t="shared" si="9"/>
        <v>0</v>
      </c>
      <c r="N37" s="142">
        <f t="shared" si="10"/>
        <v>0</v>
      </c>
      <c r="O37" s="142">
        <f t="shared" ref="O37:Q37" si="39">H37*3600/(1*10^6)</f>
        <v>0</v>
      </c>
      <c r="P37" s="142">
        <f t="shared" si="39"/>
        <v>0</v>
      </c>
      <c r="Q37" s="142">
        <f t="shared" si="39"/>
        <v>3.234816</v>
      </c>
      <c r="R37" s="142">
        <f t="shared" si="12"/>
        <v>0</v>
      </c>
      <c r="T37">
        <f>Pumps!$F$18*D37/Pumps!$I$4/3600</f>
        <v>0</v>
      </c>
      <c r="U37">
        <f>IF('Design Specifications'!$C$30="y",Disinfection!G35*Disinfection!$N$3*(1*10^6)/3600,0)</f>
        <v>0</v>
      </c>
      <c r="V37">
        <f t="shared" si="13"/>
        <v>864</v>
      </c>
      <c r="W37">
        <f t="shared" si="18"/>
        <v>3.1104</v>
      </c>
      <c r="X37">
        <f t="shared" si="14"/>
        <v>3.1104</v>
      </c>
      <c r="Y37">
        <f t="shared" si="15"/>
        <v>0.4536</v>
      </c>
    </row>
    <row r="38">
      <c r="A38" s="78" t="s">
        <v>181</v>
      </c>
      <c r="B38" s="78">
        <v>0.0</v>
      </c>
      <c r="C38" s="78">
        <f t="shared" si="3"/>
        <v>0</v>
      </c>
      <c r="D38">
        <f t="shared" si="4"/>
        <v>0</v>
      </c>
      <c r="E38">
        <v>8.0</v>
      </c>
      <c r="F38">
        <f t="shared" si="5"/>
        <v>0</v>
      </c>
      <c r="G38">
        <f t="shared" si="6"/>
        <v>0</v>
      </c>
      <c r="H38">
        <f>C38*Pumps!$F$18/3600</f>
        <v>0</v>
      </c>
      <c r="I38">
        <f t="shared" si="7"/>
        <v>0</v>
      </c>
      <c r="J38">
        <f t="shared" si="8"/>
        <v>898.56</v>
      </c>
      <c r="K38">
        <f t="shared" si="22"/>
        <v>0</v>
      </c>
      <c r="M38" s="142">
        <f t="shared" si="9"/>
        <v>0</v>
      </c>
      <c r="N38" s="142">
        <f t="shared" si="10"/>
        <v>0</v>
      </c>
      <c r="O38" s="142">
        <f t="shared" ref="O38:Q38" si="40">H38*3600/(1*10^6)</f>
        <v>0</v>
      </c>
      <c r="P38" s="142">
        <f t="shared" si="40"/>
        <v>0</v>
      </c>
      <c r="Q38" s="142">
        <f t="shared" si="40"/>
        <v>3.234816</v>
      </c>
      <c r="R38" s="142">
        <f t="shared" si="12"/>
        <v>0</v>
      </c>
      <c r="T38">
        <f>Pumps!$F$18*D38/Pumps!$I$4/3600</f>
        <v>0</v>
      </c>
      <c r="U38">
        <f>IF('Design Specifications'!$C$30="y",Disinfection!G36*Disinfection!$N$3*(1*10^6)/3600,0)</f>
        <v>0</v>
      </c>
      <c r="V38">
        <f t="shared" si="13"/>
        <v>864</v>
      </c>
      <c r="W38">
        <f t="shared" si="18"/>
        <v>3.1104</v>
      </c>
      <c r="X38">
        <f t="shared" si="14"/>
        <v>3.1104</v>
      </c>
      <c r="Y38">
        <f t="shared" si="15"/>
        <v>0.4536</v>
      </c>
    </row>
    <row r="39">
      <c r="A39" s="78" t="s">
        <v>183</v>
      </c>
      <c r="B39" s="78">
        <v>0.0</v>
      </c>
      <c r="C39" s="78">
        <f t="shared" si="3"/>
        <v>0</v>
      </c>
      <c r="D39">
        <f t="shared" si="4"/>
        <v>0</v>
      </c>
      <c r="E39">
        <v>8.0</v>
      </c>
      <c r="F39">
        <f t="shared" si="5"/>
        <v>0</v>
      </c>
      <c r="G39">
        <f t="shared" si="6"/>
        <v>0</v>
      </c>
      <c r="H39">
        <f>C39*Pumps!$F$18/3600</f>
        <v>0</v>
      </c>
      <c r="I39">
        <f t="shared" si="7"/>
        <v>0</v>
      </c>
      <c r="J39">
        <f t="shared" si="8"/>
        <v>898.56</v>
      </c>
      <c r="K39">
        <f t="shared" si="22"/>
        <v>0</v>
      </c>
      <c r="M39" s="142">
        <f t="shared" si="9"/>
        <v>0</v>
      </c>
      <c r="N39" s="142">
        <f t="shared" si="10"/>
        <v>0</v>
      </c>
      <c r="O39" s="142">
        <f t="shared" ref="O39:Q39" si="41">H39*3600/(1*10^6)</f>
        <v>0</v>
      </c>
      <c r="P39" s="142">
        <f t="shared" si="41"/>
        <v>0</v>
      </c>
      <c r="Q39" s="142">
        <f t="shared" si="41"/>
        <v>3.234816</v>
      </c>
      <c r="R39" s="142">
        <f t="shared" si="12"/>
        <v>0</v>
      </c>
      <c r="T39">
        <f>Pumps!$F$18*D39/Pumps!$I$4/3600</f>
        <v>0</v>
      </c>
      <c r="U39">
        <f>IF('Design Specifications'!$C$30="y",Disinfection!G37*Disinfection!$N$3*(1*10^6)/3600,0)</f>
        <v>0</v>
      </c>
      <c r="V39">
        <f t="shared" si="13"/>
        <v>864</v>
      </c>
      <c r="W39">
        <f t="shared" si="18"/>
        <v>3.1104</v>
      </c>
      <c r="X39">
        <f t="shared" si="14"/>
        <v>3.1104</v>
      </c>
      <c r="Y39">
        <f t="shared" si="15"/>
        <v>0.4536</v>
      </c>
    </row>
    <row r="40">
      <c r="A40" s="78" t="s">
        <v>185</v>
      </c>
      <c r="B40" s="78">
        <v>0.0</v>
      </c>
      <c r="C40" s="78">
        <f t="shared" si="3"/>
        <v>0</v>
      </c>
      <c r="D40">
        <f t="shared" si="4"/>
        <v>0</v>
      </c>
      <c r="E40">
        <v>8.0</v>
      </c>
      <c r="F40">
        <f t="shared" si="5"/>
        <v>0</v>
      </c>
      <c r="G40">
        <f t="shared" si="6"/>
        <v>0</v>
      </c>
      <c r="H40">
        <f>C40*Pumps!$F$18/3600</f>
        <v>0</v>
      </c>
      <c r="I40">
        <f t="shared" si="7"/>
        <v>0</v>
      </c>
      <c r="J40">
        <f t="shared" si="8"/>
        <v>898.56</v>
      </c>
      <c r="K40">
        <f t="shared" si="22"/>
        <v>0</v>
      </c>
      <c r="M40" s="142">
        <f t="shared" si="9"/>
        <v>0</v>
      </c>
      <c r="N40" s="142">
        <f t="shared" si="10"/>
        <v>0</v>
      </c>
      <c r="O40" s="142">
        <f t="shared" ref="O40:Q40" si="42">H40*3600/(1*10^6)</f>
        <v>0</v>
      </c>
      <c r="P40" s="142">
        <f t="shared" si="42"/>
        <v>0</v>
      </c>
      <c r="Q40" s="142">
        <f t="shared" si="42"/>
        <v>3.234816</v>
      </c>
      <c r="R40" s="142">
        <f t="shared" si="12"/>
        <v>0</v>
      </c>
      <c r="T40">
        <f>Pumps!$F$18*D40/Pumps!$I$4/3600</f>
        <v>0</v>
      </c>
      <c r="U40">
        <f>IF('Design Specifications'!$C$30="y",Disinfection!G38*Disinfection!$N$3*(1*10^6)/3600,0)</f>
        <v>0</v>
      </c>
      <c r="V40">
        <f t="shared" si="13"/>
        <v>864</v>
      </c>
      <c r="W40">
        <f t="shared" si="18"/>
        <v>3.1104</v>
      </c>
      <c r="X40">
        <f t="shared" si="14"/>
        <v>3.1104</v>
      </c>
      <c r="Y40">
        <f t="shared" si="15"/>
        <v>0.4536</v>
      </c>
    </row>
    <row r="41">
      <c r="A41" s="78" t="s">
        <v>187</v>
      </c>
      <c r="B41" s="78">
        <v>17.6</v>
      </c>
      <c r="C41" s="78">
        <f t="shared" si="3"/>
        <v>2112</v>
      </c>
      <c r="D41">
        <f t="shared" si="4"/>
        <v>2.112</v>
      </c>
      <c r="E41">
        <v>8.0</v>
      </c>
      <c r="F41">
        <f t="shared" si="5"/>
        <v>0</v>
      </c>
      <c r="G41">
        <f t="shared" si="6"/>
        <v>0</v>
      </c>
      <c r="H41">
        <f>C41*Pumps!$F$18/3600</f>
        <v>89999.61767</v>
      </c>
      <c r="I41">
        <f t="shared" si="7"/>
        <v>128570.8824</v>
      </c>
      <c r="J41">
        <f t="shared" si="8"/>
        <v>145309.3751</v>
      </c>
      <c r="K41">
        <f t="shared" si="22"/>
        <v>0</v>
      </c>
      <c r="M41" s="142">
        <f t="shared" si="9"/>
        <v>0</v>
      </c>
      <c r="N41" s="142">
        <f t="shared" si="10"/>
        <v>0</v>
      </c>
      <c r="O41" s="142">
        <f t="shared" ref="O41:Q41" si="43">H41*3600/(1*10^6)</f>
        <v>323.9986236</v>
      </c>
      <c r="P41" s="142">
        <f t="shared" si="43"/>
        <v>462.8551766</v>
      </c>
      <c r="Q41" s="142">
        <f t="shared" si="43"/>
        <v>523.1137504</v>
      </c>
      <c r="R41" s="142">
        <f t="shared" si="12"/>
        <v>0</v>
      </c>
      <c r="T41">
        <f>Pumps!$F$18*D41/Pumps!$I$4/3600</f>
        <v>128.5708824</v>
      </c>
      <c r="U41">
        <f>IF('Design Specifications'!$C$30="y",Disinfection!G39*Disinfection!$N$3*(1*10^6)/3600,0)</f>
        <v>0</v>
      </c>
      <c r="V41">
        <f t="shared" si="13"/>
        <v>864</v>
      </c>
      <c r="W41">
        <f t="shared" si="18"/>
        <v>3.573255177</v>
      </c>
      <c r="X41">
        <f t="shared" si="14"/>
        <v>3.1104</v>
      </c>
      <c r="Y41">
        <f t="shared" si="15"/>
        <v>0.486661084</v>
      </c>
    </row>
    <row r="42">
      <c r="A42" s="78" t="s">
        <v>189</v>
      </c>
      <c r="B42" s="78">
        <v>0.0</v>
      </c>
      <c r="C42" s="78">
        <f t="shared" si="3"/>
        <v>0</v>
      </c>
      <c r="D42">
        <f t="shared" si="4"/>
        <v>0</v>
      </c>
      <c r="E42">
        <v>8.0</v>
      </c>
      <c r="F42">
        <f t="shared" si="5"/>
        <v>0</v>
      </c>
      <c r="G42">
        <f t="shared" si="6"/>
        <v>0</v>
      </c>
      <c r="H42">
        <f>C42*Pumps!$F$18/3600</f>
        <v>0</v>
      </c>
      <c r="I42">
        <f t="shared" si="7"/>
        <v>0</v>
      </c>
      <c r="J42">
        <f t="shared" si="8"/>
        <v>898.56</v>
      </c>
      <c r="K42">
        <f t="shared" si="22"/>
        <v>0</v>
      </c>
      <c r="M42" s="142">
        <f t="shared" si="9"/>
        <v>0</v>
      </c>
      <c r="N42" s="142">
        <f t="shared" si="10"/>
        <v>0</v>
      </c>
      <c r="O42" s="142">
        <f t="shared" ref="O42:Q42" si="44">H42*3600/(1*10^6)</f>
        <v>0</v>
      </c>
      <c r="P42" s="142">
        <f t="shared" si="44"/>
        <v>0</v>
      </c>
      <c r="Q42" s="142">
        <f t="shared" si="44"/>
        <v>3.234816</v>
      </c>
      <c r="R42" s="142">
        <f t="shared" si="12"/>
        <v>0</v>
      </c>
      <c r="T42">
        <f>Pumps!$F$18*D42/Pumps!$I$4/3600</f>
        <v>0</v>
      </c>
      <c r="U42">
        <f>IF('Design Specifications'!$C$30="y",Disinfection!G40*Disinfection!$N$3*(1*10^6)/3600,0)</f>
        <v>0</v>
      </c>
      <c r="V42">
        <f t="shared" si="13"/>
        <v>864</v>
      </c>
      <c r="W42">
        <f t="shared" si="18"/>
        <v>3.1104</v>
      </c>
      <c r="X42">
        <f t="shared" si="14"/>
        <v>3.1104</v>
      </c>
      <c r="Y42">
        <f t="shared" si="15"/>
        <v>0.4536</v>
      </c>
    </row>
    <row r="43">
      <c r="A43" s="78" t="s">
        <v>191</v>
      </c>
      <c r="B43" s="78">
        <v>0.0</v>
      </c>
      <c r="C43" s="78">
        <f t="shared" si="3"/>
        <v>0</v>
      </c>
      <c r="D43">
        <f t="shared" si="4"/>
        <v>0</v>
      </c>
      <c r="E43">
        <v>8.0</v>
      </c>
      <c r="F43">
        <f t="shared" si="5"/>
        <v>0</v>
      </c>
      <c r="G43">
        <f t="shared" si="6"/>
        <v>0</v>
      </c>
      <c r="H43">
        <f>C43*Pumps!$F$18/3600</f>
        <v>0</v>
      </c>
      <c r="I43">
        <f t="shared" si="7"/>
        <v>0</v>
      </c>
      <c r="J43">
        <f t="shared" si="8"/>
        <v>898.56</v>
      </c>
      <c r="K43">
        <f t="shared" si="22"/>
        <v>0</v>
      </c>
      <c r="M43" s="142">
        <f t="shared" si="9"/>
        <v>0</v>
      </c>
      <c r="N43" s="142">
        <f t="shared" si="10"/>
        <v>0</v>
      </c>
      <c r="O43" s="142">
        <f t="shared" ref="O43:Q43" si="45">H43*3600/(1*10^6)</f>
        <v>0</v>
      </c>
      <c r="P43" s="142">
        <f t="shared" si="45"/>
        <v>0</v>
      </c>
      <c r="Q43" s="142">
        <f t="shared" si="45"/>
        <v>3.234816</v>
      </c>
      <c r="R43" s="142">
        <f t="shared" si="12"/>
        <v>0</v>
      </c>
      <c r="T43">
        <f>Pumps!$F$18*D43/Pumps!$I$4/3600</f>
        <v>0</v>
      </c>
      <c r="U43">
        <f>IF('Design Specifications'!$C$30="y",Disinfection!G41*Disinfection!$N$3*(1*10^6)/3600,0)</f>
        <v>0</v>
      </c>
      <c r="V43">
        <f t="shared" si="13"/>
        <v>864</v>
      </c>
      <c r="W43">
        <f t="shared" si="18"/>
        <v>3.1104</v>
      </c>
      <c r="X43">
        <f t="shared" si="14"/>
        <v>3.1104</v>
      </c>
      <c r="Y43">
        <f t="shared" si="15"/>
        <v>0.4536</v>
      </c>
    </row>
    <row r="44">
      <c r="A44" s="78" t="s">
        <v>193</v>
      </c>
      <c r="B44" s="78">
        <v>0.0</v>
      </c>
      <c r="C44" s="78">
        <f t="shared" si="3"/>
        <v>0</v>
      </c>
      <c r="D44">
        <f t="shared" si="4"/>
        <v>0</v>
      </c>
      <c r="E44">
        <v>8.0</v>
      </c>
      <c r="F44">
        <f t="shared" si="5"/>
        <v>0</v>
      </c>
      <c r="G44">
        <f t="shared" si="6"/>
        <v>0</v>
      </c>
      <c r="H44">
        <f>C44*Pumps!$F$18/3600</f>
        <v>0</v>
      </c>
      <c r="I44">
        <f t="shared" si="7"/>
        <v>0</v>
      </c>
      <c r="J44">
        <f t="shared" si="8"/>
        <v>898.56</v>
      </c>
      <c r="K44">
        <f t="shared" si="22"/>
        <v>0</v>
      </c>
      <c r="M44" s="142">
        <f t="shared" si="9"/>
        <v>0</v>
      </c>
      <c r="N44" s="142">
        <f t="shared" si="10"/>
        <v>0</v>
      </c>
      <c r="O44" s="142">
        <f t="shared" ref="O44:Q44" si="46">H44*3600/(1*10^6)</f>
        <v>0</v>
      </c>
      <c r="P44" s="142">
        <f t="shared" si="46"/>
        <v>0</v>
      </c>
      <c r="Q44" s="142">
        <f t="shared" si="46"/>
        <v>3.234816</v>
      </c>
      <c r="R44" s="142">
        <f t="shared" si="12"/>
        <v>0</v>
      </c>
      <c r="T44">
        <f>Pumps!$F$18*D44/Pumps!$I$4/3600</f>
        <v>0</v>
      </c>
      <c r="U44">
        <f>IF('Design Specifications'!$C$30="y",Disinfection!G42*Disinfection!$N$3*(1*10^6)/3600,0)</f>
        <v>0</v>
      </c>
      <c r="V44">
        <f t="shared" si="13"/>
        <v>864</v>
      </c>
      <c r="W44">
        <f t="shared" si="18"/>
        <v>3.1104</v>
      </c>
      <c r="X44">
        <f t="shared" si="14"/>
        <v>3.1104</v>
      </c>
      <c r="Y44">
        <f t="shared" si="15"/>
        <v>0.4536</v>
      </c>
    </row>
    <row r="45">
      <c r="A45" s="78" t="s">
        <v>195</v>
      </c>
      <c r="B45" s="78">
        <v>2.6</v>
      </c>
      <c r="C45" s="78">
        <f t="shared" si="3"/>
        <v>312</v>
      </c>
      <c r="D45">
        <f t="shared" si="4"/>
        <v>0.312</v>
      </c>
      <c r="E45">
        <v>8.0</v>
      </c>
      <c r="F45">
        <f t="shared" si="5"/>
        <v>0</v>
      </c>
      <c r="G45">
        <f t="shared" si="6"/>
        <v>0</v>
      </c>
      <c r="H45">
        <f>C45*Pumps!$F$18/3600</f>
        <v>13295.39807</v>
      </c>
      <c r="I45">
        <f t="shared" si="7"/>
        <v>18993.42581</v>
      </c>
      <c r="J45">
        <f t="shared" si="8"/>
        <v>22231.97587</v>
      </c>
      <c r="K45">
        <f t="shared" si="22"/>
        <v>0</v>
      </c>
      <c r="M45" s="142">
        <f t="shared" si="9"/>
        <v>0</v>
      </c>
      <c r="N45" s="142">
        <f t="shared" si="10"/>
        <v>0</v>
      </c>
      <c r="O45" s="142">
        <f t="shared" ref="O45:Q45" si="47">H45*3600/(1*10^6)</f>
        <v>47.86343304</v>
      </c>
      <c r="P45" s="142">
        <f t="shared" si="47"/>
        <v>68.37633291</v>
      </c>
      <c r="Q45" s="142">
        <f t="shared" si="47"/>
        <v>80.03511312</v>
      </c>
      <c r="R45" s="142">
        <f t="shared" si="12"/>
        <v>0</v>
      </c>
      <c r="T45">
        <f>Pumps!$F$18*D45/Pumps!$I$4/3600</f>
        <v>18.99342581</v>
      </c>
      <c r="U45">
        <f>IF('Design Specifications'!$C$30="y",Disinfection!G43*Disinfection!$N$3*(1*10^6)/3600,0)</f>
        <v>0</v>
      </c>
      <c r="V45">
        <f t="shared" si="13"/>
        <v>864</v>
      </c>
      <c r="W45">
        <f t="shared" si="18"/>
        <v>3.178776333</v>
      </c>
      <c r="X45">
        <f t="shared" si="14"/>
        <v>3.1104</v>
      </c>
      <c r="Y45">
        <f t="shared" si="15"/>
        <v>0.4584840238</v>
      </c>
    </row>
    <row r="46">
      <c r="A46" s="78" t="s">
        <v>197</v>
      </c>
      <c r="B46" s="78">
        <v>2.6</v>
      </c>
      <c r="C46" s="78">
        <f t="shared" si="3"/>
        <v>312</v>
      </c>
      <c r="D46">
        <f t="shared" si="4"/>
        <v>0.312</v>
      </c>
      <c r="E46">
        <v>10.0</v>
      </c>
      <c r="F46">
        <f t="shared" si="5"/>
        <v>0</v>
      </c>
      <c r="G46">
        <f t="shared" si="6"/>
        <v>0</v>
      </c>
      <c r="H46">
        <f>C46*Pumps!$F$18/3600</f>
        <v>13295.39807</v>
      </c>
      <c r="I46">
        <f t="shared" si="7"/>
        <v>18993.42581</v>
      </c>
      <c r="J46">
        <f t="shared" si="8"/>
        <v>22231.97587</v>
      </c>
      <c r="K46">
        <f t="shared" si="22"/>
        <v>0</v>
      </c>
      <c r="M46" s="142">
        <f t="shared" si="9"/>
        <v>0</v>
      </c>
      <c r="N46" s="142">
        <f t="shared" si="10"/>
        <v>0</v>
      </c>
      <c r="O46" s="142">
        <f t="shared" ref="O46:Q46" si="48">H46*3600/(1*10^6)</f>
        <v>47.86343304</v>
      </c>
      <c r="P46" s="142">
        <f t="shared" si="48"/>
        <v>68.37633291</v>
      </c>
      <c r="Q46" s="142">
        <f t="shared" si="48"/>
        <v>80.03511312</v>
      </c>
      <c r="R46" s="142">
        <f t="shared" si="12"/>
        <v>0</v>
      </c>
      <c r="T46">
        <f>Pumps!$F$18*D46/Pumps!$I$4/3600</f>
        <v>18.99342581</v>
      </c>
      <c r="U46">
        <f>IF('Design Specifications'!$C$30="y",Disinfection!G44*Disinfection!$N$3*(1*10^6)/3600,0)</f>
        <v>0</v>
      </c>
      <c r="V46">
        <f t="shared" si="13"/>
        <v>864</v>
      </c>
      <c r="W46">
        <f t="shared" si="18"/>
        <v>3.178776333</v>
      </c>
      <c r="X46">
        <f t="shared" si="14"/>
        <v>3.1104</v>
      </c>
      <c r="Y46">
        <f t="shared" si="15"/>
        <v>0.4584840238</v>
      </c>
    </row>
    <row r="47">
      <c r="A47" s="78" t="s">
        <v>199</v>
      </c>
      <c r="B47" s="78">
        <v>0.0</v>
      </c>
      <c r="C47" s="78">
        <f t="shared" si="3"/>
        <v>0</v>
      </c>
      <c r="D47">
        <f t="shared" si="4"/>
        <v>0</v>
      </c>
      <c r="E47">
        <v>10.0</v>
      </c>
      <c r="F47">
        <f t="shared" si="5"/>
        <v>0</v>
      </c>
      <c r="G47">
        <f t="shared" si="6"/>
        <v>0</v>
      </c>
      <c r="H47">
        <f>C47*Pumps!$F$18/3600</f>
        <v>0</v>
      </c>
      <c r="I47">
        <f t="shared" si="7"/>
        <v>0</v>
      </c>
      <c r="J47">
        <f t="shared" si="8"/>
        <v>898.56</v>
      </c>
      <c r="K47">
        <f t="shared" si="22"/>
        <v>0</v>
      </c>
      <c r="M47" s="142">
        <f t="shared" si="9"/>
        <v>0</v>
      </c>
      <c r="N47" s="142">
        <f t="shared" si="10"/>
        <v>0</v>
      </c>
      <c r="O47" s="142">
        <f t="shared" ref="O47:Q47" si="49">H47*3600/(1*10^6)</f>
        <v>0</v>
      </c>
      <c r="P47" s="142">
        <f t="shared" si="49"/>
        <v>0</v>
      </c>
      <c r="Q47" s="142">
        <f t="shared" si="49"/>
        <v>3.234816</v>
      </c>
      <c r="R47" s="142">
        <f t="shared" si="12"/>
        <v>0</v>
      </c>
      <c r="T47">
        <f>Pumps!$F$18*D47/Pumps!$I$4/3600</f>
        <v>0</v>
      </c>
      <c r="U47">
        <f>IF('Design Specifications'!$C$30="y",Disinfection!G45*Disinfection!$N$3*(1*10^6)/3600,0)</f>
        <v>0</v>
      </c>
      <c r="V47">
        <f t="shared" si="13"/>
        <v>864</v>
      </c>
      <c r="W47">
        <f t="shared" si="18"/>
        <v>3.1104</v>
      </c>
      <c r="X47">
        <f t="shared" si="14"/>
        <v>3.1104</v>
      </c>
      <c r="Y47">
        <f t="shared" si="15"/>
        <v>0.4536</v>
      </c>
    </row>
    <row r="48">
      <c r="A48" s="78" t="s">
        <v>201</v>
      </c>
      <c r="B48" s="78">
        <v>0.0</v>
      </c>
      <c r="C48" s="78">
        <f t="shared" si="3"/>
        <v>0</v>
      </c>
      <c r="D48">
        <f t="shared" si="4"/>
        <v>0</v>
      </c>
      <c r="E48">
        <v>10.0</v>
      </c>
      <c r="F48">
        <f t="shared" si="5"/>
        <v>0</v>
      </c>
      <c r="G48">
        <f t="shared" si="6"/>
        <v>0</v>
      </c>
      <c r="H48">
        <f>C48*Pumps!$F$18/3600</f>
        <v>0</v>
      </c>
      <c r="I48">
        <f t="shared" si="7"/>
        <v>0</v>
      </c>
      <c r="J48">
        <f t="shared" si="8"/>
        <v>898.56</v>
      </c>
      <c r="K48">
        <f t="shared" si="22"/>
        <v>0</v>
      </c>
      <c r="M48" s="142">
        <f t="shared" si="9"/>
        <v>0</v>
      </c>
      <c r="N48" s="142">
        <f t="shared" si="10"/>
        <v>0</v>
      </c>
      <c r="O48" s="142">
        <f t="shared" ref="O48:Q48" si="50">H48*3600/(1*10^6)</f>
        <v>0</v>
      </c>
      <c r="P48" s="142">
        <f t="shared" si="50"/>
        <v>0</v>
      </c>
      <c r="Q48" s="142">
        <f t="shared" si="50"/>
        <v>3.234816</v>
      </c>
      <c r="R48" s="142">
        <f t="shared" si="12"/>
        <v>0</v>
      </c>
      <c r="T48">
        <f>Pumps!$F$18*D48/Pumps!$I$4/3600</f>
        <v>0</v>
      </c>
      <c r="U48">
        <f>IF('Design Specifications'!$C$30="y",Disinfection!G46*Disinfection!$N$3*(1*10^6)/3600,0)</f>
        <v>0</v>
      </c>
      <c r="V48">
        <f t="shared" si="13"/>
        <v>864</v>
      </c>
      <c r="W48">
        <f t="shared" si="18"/>
        <v>3.1104</v>
      </c>
      <c r="X48">
        <f t="shared" si="14"/>
        <v>3.1104</v>
      </c>
      <c r="Y48">
        <f t="shared" si="15"/>
        <v>0.4536</v>
      </c>
    </row>
    <row r="49">
      <c r="A49" s="78" t="s">
        <v>203</v>
      </c>
      <c r="B49" s="78">
        <v>0.0</v>
      </c>
      <c r="C49" s="78">
        <f t="shared" si="3"/>
        <v>0</v>
      </c>
      <c r="D49">
        <f t="shared" si="4"/>
        <v>0</v>
      </c>
      <c r="E49">
        <v>10.0</v>
      </c>
      <c r="F49">
        <f t="shared" si="5"/>
        <v>0</v>
      </c>
      <c r="G49">
        <f t="shared" si="6"/>
        <v>0</v>
      </c>
      <c r="H49">
        <f>C49*Pumps!$F$18/3600</f>
        <v>0</v>
      </c>
      <c r="I49">
        <f t="shared" si="7"/>
        <v>0</v>
      </c>
      <c r="J49">
        <f t="shared" si="8"/>
        <v>898.56</v>
      </c>
      <c r="K49">
        <f t="shared" si="22"/>
        <v>0</v>
      </c>
      <c r="M49" s="142">
        <f t="shared" si="9"/>
        <v>0</v>
      </c>
      <c r="N49" s="142">
        <f t="shared" si="10"/>
        <v>0</v>
      </c>
      <c r="O49" s="142">
        <f t="shared" ref="O49:Q49" si="51">H49*3600/(1*10^6)</f>
        <v>0</v>
      </c>
      <c r="P49" s="142">
        <f t="shared" si="51"/>
        <v>0</v>
      </c>
      <c r="Q49" s="142">
        <f t="shared" si="51"/>
        <v>3.234816</v>
      </c>
      <c r="R49" s="142">
        <f t="shared" si="12"/>
        <v>0</v>
      </c>
      <c r="T49">
        <f>Pumps!$F$18*D49/Pumps!$I$4/3600</f>
        <v>0</v>
      </c>
      <c r="U49">
        <f>IF('Design Specifications'!$C$30="y",Disinfection!G47*Disinfection!$N$3*(1*10^6)/3600,0)</f>
        <v>0</v>
      </c>
      <c r="V49">
        <f t="shared" si="13"/>
        <v>864</v>
      </c>
      <c r="W49">
        <f t="shared" si="18"/>
        <v>3.1104</v>
      </c>
      <c r="X49">
        <f t="shared" si="14"/>
        <v>3.1104</v>
      </c>
      <c r="Y49">
        <f t="shared" si="15"/>
        <v>0.4536</v>
      </c>
    </row>
    <row r="50">
      <c r="A50" s="78" t="s">
        <v>205</v>
      </c>
      <c r="B50" s="78">
        <v>0.0</v>
      </c>
      <c r="C50" s="78">
        <f t="shared" si="3"/>
        <v>0</v>
      </c>
      <c r="D50">
        <f t="shared" si="4"/>
        <v>0</v>
      </c>
      <c r="E50">
        <v>10.0</v>
      </c>
      <c r="F50">
        <f t="shared" si="5"/>
        <v>0</v>
      </c>
      <c r="G50">
        <f t="shared" si="6"/>
        <v>0</v>
      </c>
      <c r="H50">
        <f>C50*Pumps!$F$18/3600</f>
        <v>0</v>
      </c>
      <c r="I50">
        <f t="shared" si="7"/>
        <v>0</v>
      </c>
      <c r="J50">
        <f t="shared" si="8"/>
        <v>898.56</v>
      </c>
      <c r="K50">
        <f t="shared" si="22"/>
        <v>0</v>
      </c>
      <c r="M50" s="142">
        <f t="shared" si="9"/>
        <v>0</v>
      </c>
      <c r="N50" s="142">
        <f t="shared" si="10"/>
        <v>0</v>
      </c>
      <c r="O50" s="142">
        <f t="shared" ref="O50:Q50" si="52">H50*3600/(1*10^6)</f>
        <v>0</v>
      </c>
      <c r="P50" s="142">
        <f t="shared" si="52"/>
        <v>0</v>
      </c>
      <c r="Q50" s="142">
        <f t="shared" si="52"/>
        <v>3.234816</v>
      </c>
      <c r="R50" s="142">
        <f t="shared" si="12"/>
        <v>0</v>
      </c>
      <c r="T50">
        <f>Pumps!$F$18*D50/Pumps!$I$4/3600</f>
        <v>0</v>
      </c>
      <c r="U50">
        <f>IF('Design Specifications'!$C$30="y",Disinfection!G48*Disinfection!$N$3*(1*10^6)/3600,0)</f>
        <v>0</v>
      </c>
      <c r="V50">
        <f t="shared" si="13"/>
        <v>864</v>
      </c>
      <c r="W50">
        <f t="shared" si="18"/>
        <v>3.1104</v>
      </c>
      <c r="X50">
        <f t="shared" si="14"/>
        <v>3.1104</v>
      </c>
      <c r="Y50">
        <f t="shared" si="15"/>
        <v>0.4536</v>
      </c>
    </row>
    <row r="51">
      <c r="A51" s="78" t="s">
        <v>207</v>
      </c>
      <c r="B51" s="78">
        <v>0.0</v>
      </c>
      <c r="C51" s="78">
        <f t="shared" si="3"/>
        <v>0</v>
      </c>
      <c r="D51">
        <f t="shared" si="4"/>
        <v>0</v>
      </c>
      <c r="E51">
        <v>10.0</v>
      </c>
      <c r="F51">
        <f t="shared" si="5"/>
        <v>0</v>
      </c>
      <c r="G51">
        <f t="shared" si="6"/>
        <v>0</v>
      </c>
      <c r="H51">
        <f>C51*Pumps!$F$18/3600</f>
        <v>0</v>
      </c>
      <c r="I51">
        <f t="shared" si="7"/>
        <v>0</v>
      </c>
      <c r="J51">
        <f t="shared" si="8"/>
        <v>898.56</v>
      </c>
      <c r="K51">
        <f t="shared" si="22"/>
        <v>0</v>
      </c>
      <c r="M51" s="142">
        <f t="shared" si="9"/>
        <v>0</v>
      </c>
      <c r="N51" s="142">
        <f t="shared" si="10"/>
        <v>0</v>
      </c>
      <c r="O51" s="142">
        <f t="shared" ref="O51:Q51" si="53">H51*3600/(1*10^6)</f>
        <v>0</v>
      </c>
      <c r="P51" s="142">
        <f t="shared" si="53"/>
        <v>0</v>
      </c>
      <c r="Q51" s="142">
        <f t="shared" si="53"/>
        <v>3.234816</v>
      </c>
      <c r="R51" s="142">
        <f t="shared" si="12"/>
        <v>0</v>
      </c>
      <c r="T51">
        <f>Pumps!$F$18*D51/Pumps!$I$4/3600</f>
        <v>0</v>
      </c>
      <c r="U51">
        <f>IF('Design Specifications'!$C$30="y",Disinfection!G49*Disinfection!$N$3*(1*10^6)/3600,0)</f>
        <v>0</v>
      </c>
      <c r="V51">
        <f t="shared" si="13"/>
        <v>864</v>
      </c>
      <c r="W51">
        <f t="shared" si="18"/>
        <v>3.1104</v>
      </c>
      <c r="X51">
        <f t="shared" si="14"/>
        <v>3.1104</v>
      </c>
      <c r="Y51">
        <f t="shared" si="15"/>
        <v>0.4536</v>
      </c>
    </row>
    <row r="52">
      <c r="A52" s="78" t="s">
        <v>209</v>
      </c>
      <c r="B52" s="78">
        <v>0.0</v>
      </c>
      <c r="C52" s="78">
        <f t="shared" si="3"/>
        <v>0</v>
      </c>
      <c r="D52">
        <f t="shared" si="4"/>
        <v>0</v>
      </c>
      <c r="E52">
        <v>10.0</v>
      </c>
      <c r="F52">
        <f t="shared" si="5"/>
        <v>0</v>
      </c>
      <c r="G52">
        <f t="shared" si="6"/>
        <v>0</v>
      </c>
      <c r="H52">
        <f>C52*Pumps!$F$18/3600</f>
        <v>0</v>
      </c>
      <c r="I52">
        <f t="shared" si="7"/>
        <v>0</v>
      </c>
      <c r="J52">
        <f t="shared" si="8"/>
        <v>898.56</v>
      </c>
      <c r="K52">
        <f t="shared" si="22"/>
        <v>0</v>
      </c>
      <c r="M52" s="142">
        <f t="shared" si="9"/>
        <v>0</v>
      </c>
      <c r="N52" s="142">
        <f t="shared" si="10"/>
        <v>0</v>
      </c>
      <c r="O52" s="142">
        <f t="shared" ref="O52:Q52" si="54">H52*3600/(1*10^6)</f>
        <v>0</v>
      </c>
      <c r="P52" s="142">
        <f t="shared" si="54"/>
        <v>0</v>
      </c>
      <c r="Q52" s="142">
        <f t="shared" si="54"/>
        <v>3.234816</v>
      </c>
      <c r="R52" s="142">
        <f t="shared" si="12"/>
        <v>0</v>
      </c>
      <c r="T52">
        <f>Pumps!$F$18*D52/Pumps!$I$4/3600</f>
        <v>0</v>
      </c>
      <c r="U52">
        <f>IF('Design Specifications'!$C$30="y",Disinfection!G50*Disinfection!$N$3*(1*10^6)/3600,0)</f>
        <v>0</v>
      </c>
      <c r="V52">
        <f t="shared" si="13"/>
        <v>864</v>
      </c>
      <c r="W52">
        <f t="shared" si="18"/>
        <v>3.1104</v>
      </c>
      <c r="X52">
        <f t="shared" si="14"/>
        <v>3.1104</v>
      </c>
      <c r="Y52">
        <f t="shared" si="15"/>
        <v>0.4536</v>
      </c>
    </row>
    <row r="53">
      <c r="A53" s="78" t="s">
        <v>211</v>
      </c>
      <c r="B53" s="78">
        <v>0.0</v>
      </c>
      <c r="C53" s="78">
        <f t="shared" si="3"/>
        <v>0</v>
      </c>
      <c r="D53">
        <f t="shared" si="4"/>
        <v>0</v>
      </c>
      <c r="E53">
        <v>10.0</v>
      </c>
      <c r="F53">
        <f t="shared" si="5"/>
        <v>0</v>
      </c>
      <c r="G53">
        <f t="shared" si="6"/>
        <v>0</v>
      </c>
      <c r="H53">
        <f>C53*Pumps!$F$18/3600</f>
        <v>0</v>
      </c>
      <c r="I53">
        <f t="shared" si="7"/>
        <v>0</v>
      </c>
      <c r="J53">
        <f t="shared" si="8"/>
        <v>898.56</v>
      </c>
      <c r="K53">
        <f t="shared" si="22"/>
        <v>0</v>
      </c>
      <c r="M53" s="142">
        <f t="shared" si="9"/>
        <v>0</v>
      </c>
      <c r="N53" s="142">
        <f t="shared" si="10"/>
        <v>0</v>
      </c>
      <c r="O53" s="142">
        <f t="shared" ref="O53:Q53" si="55">H53*3600/(1*10^6)</f>
        <v>0</v>
      </c>
      <c r="P53" s="142">
        <f t="shared" si="55"/>
        <v>0</v>
      </c>
      <c r="Q53" s="142">
        <f t="shared" si="55"/>
        <v>3.234816</v>
      </c>
      <c r="R53" s="142">
        <f t="shared" si="12"/>
        <v>0</v>
      </c>
      <c r="T53">
        <f>Pumps!$F$18*D53/Pumps!$I$4/3600</f>
        <v>0</v>
      </c>
      <c r="U53">
        <f>IF('Design Specifications'!$C$30="y",Disinfection!G51*Disinfection!$N$3*(1*10^6)/3600,0)</f>
        <v>0</v>
      </c>
      <c r="V53">
        <f t="shared" si="13"/>
        <v>864</v>
      </c>
      <c r="W53">
        <f t="shared" si="18"/>
        <v>3.1104</v>
      </c>
      <c r="X53">
        <f t="shared" si="14"/>
        <v>3.1104</v>
      </c>
      <c r="Y53">
        <f t="shared" si="15"/>
        <v>0.4536</v>
      </c>
    </row>
    <row r="54">
      <c r="A54" s="78" t="s">
        <v>213</v>
      </c>
      <c r="B54" s="78">
        <v>12.2</v>
      </c>
      <c r="C54" s="78">
        <f t="shared" si="3"/>
        <v>1464</v>
      </c>
      <c r="D54">
        <f t="shared" si="4"/>
        <v>1.464</v>
      </c>
      <c r="E54">
        <v>10.0</v>
      </c>
      <c r="F54">
        <f t="shared" si="5"/>
        <v>0</v>
      </c>
      <c r="G54">
        <f t="shared" si="6"/>
        <v>0</v>
      </c>
      <c r="H54">
        <f>C54*Pumps!$F$18/3600</f>
        <v>62386.09862</v>
      </c>
      <c r="I54">
        <f t="shared" si="7"/>
        <v>89122.99802</v>
      </c>
      <c r="J54">
        <f t="shared" si="8"/>
        <v>101001.5114</v>
      </c>
      <c r="K54">
        <f t="shared" si="22"/>
        <v>0</v>
      </c>
      <c r="M54" s="142">
        <f t="shared" si="9"/>
        <v>0</v>
      </c>
      <c r="N54" s="142">
        <f t="shared" si="10"/>
        <v>0</v>
      </c>
      <c r="O54" s="142">
        <f t="shared" ref="O54:Q54" si="56">H54*3600/(1*10^6)</f>
        <v>224.589955</v>
      </c>
      <c r="P54" s="142">
        <f t="shared" si="56"/>
        <v>320.8427929</v>
      </c>
      <c r="Q54" s="142">
        <f t="shared" si="56"/>
        <v>363.605441</v>
      </c>
      <c r="R54" s="142">
        <f t="shared" si="12"/>
        <v>0</v>
      </c>
      <c r="T54">
        <f>Pumps!$F$18*D54/Pumps!$I$4/3600</f>
        <v>89.12299802</v>
      </c>
      <c r="U54">
        <f>IF('Design Specifications'!$C$30="y",Disinfection!G52*Disinfection!$N$3*(1*10^6)/3600,0)</f>
        <v>0</v>
      </c>
      <c r="V54">
        <f t="shared" si="13"/>
        <v>864</v>
      </c>
      <c r="W54">
        <f t="shared" si="18"/>
        <v>3.431242793</v>
      </c>
      <c r="X54">
        <f t="shared" si="14"/>
        <v>3.1104</v>
      </c>
      <c r="Y54">
        <f t="shared" si="15"/>
        <v>0.4765173423</v>
      </c>
    </row>
    <row r="55">
      <c r="A55" s="78" t="s">
        <v>215</v>
      </c>
      <c r="B55" s="78">
        <v>13.4</v>
      </c>
      <c r="C55" s="78">
        <f t="shared" si="3"/>
        <v>1608</v>
      </c>
      <c r="D55">
        <f t="shared" si="4"/>
        <v>1.608</v>
      </c>
      <c r="E55">
        <v>10.0</v>
      </c>
      <c r="F55">
        <f t="shared" si="5"/>
        <v>0</v>
      </c>
      <c r="G55">
        <f t="shared" si="6"/>
        <v>0</v>
      </c>
      <c r="H55">
        <f>C55*Pumps!$F$18/3600</f>
        <v>68522.43618</v>
      </c>
      <c r="I55">
        <f t="shared" si="7"/>
        <v>97889.19455</v>
      </c>
      <c r="J55">
        <f t="shared" si="8"/>
        <v>110847.7033</v>
      </c>
      <c r="K55">
        <f t="shared" si="22"/>
        <v>0</v>
      </c>
      <c r="M55" s="142">
        <f t="shared" si="9"/>
        <v>0</v>
      </c>
      <c r="N55" s="142">
        <f t="shared" si="10"/>
        <v>0</v>
      </c>
      <c r="O55" s="142">
        <f t="shared" ref="O55:Q55" si="57">H55*3600/(1*10^6)</f>
        <v>246.6807703</v>
      </c>
      <c r="P55" s="142">
        <f t="shared" si="57"/>
        <v>352.4011004</v>
      </c>
      <c r="Q55" s="142">
        <f t="shared" si="57"/>
        <v>399.0517319</v>
      </c>
      <c r="R55" s="142">
        <f t="shared" si="12"/>
        <v>0</v>
      </c>
      <c r="T55">
        <f>Pumps!$F$18*D55/Pumps!$I$4/3600</f>
        <v>97.88919455</v>
      </c>
      <c r="U55">
        <f>IF('Design Specifications'!$C$30="y",Disinfection!G53*Disinfection!$N$3*(1*10^6)/3600,0)</f>
        <v>0</v>
      </c>
      <c r="V55">
        <f t="shared" si="13"/>
        <v>864</v>
      </c>
      <c r="W55">
        <f t="shared" si="18"/>
        <v>3.4628011</v>
      </c>
      <c r="X55">
        <f t="shared" si="14"/>
        <v>3.1104</v>
      </c>
      <c r="Y55">
        <f t="shared" si="15"/>
        <v>0.4787715072</v>
      </c>
    </row>
    <row r="56">
      <c r="A56" s="78" t="s">
        <v>217</v>
      </c>
      <c r="B56" s="78">
        <v>46.6</v>
      </c>
      <c r="C56" s="78">
        <f t="shared" si="3"/>
        <v>5592</v>
      </c>
      <c r="D56">
        <f t="shared" si="4"/>
        <v>5.592</v>
      </c>
      <c r="E56">
        <v>10.0</v>
      </c>
      <c r="F56">
        <f t="shared" si="5"/>
        <v>0</v>
      </c>
      <c r="G56">
        <f t="shared" si="6"/>
        <v>0</v>
      </c>
      <c r="H56">
        <f>C56*Pumps!$F$18/3600</f>
        <v>238294.4423</v>
      </c>
      <c r="I56">
        <f t="shared" si="7"/>
        <v>340420.6318</v>
      </c>
      <c r="J56">
        <f t="shared" si="8"/>
        <v>383259.0136</v>
      </c>
      <c r="K56">
        <f t="shared" si="22"/>
        <v>0</v>
      </c>
      <c r="M56" s="142">
        <f t="shared" si="9"/>
        <v>0</v>
      </c>
      <c r="N56" s="142">
        <f t="shared" si="10"/>
        <v>0</v>
      </c>
      <c r="O56" s="142">
        <f t="shared" ref="O56:Q56" si="58">H56*3600/(1*10^6)</f>
        <v>857.8599921</v>
      </c>
      <c r="P56" s="142">
        <f t="shared" si="58"/>
        <v>1225.514274</v>
      </c>
      <c r="Q56" s="142">
        <f t="shared" si="58"/>
        <v>1379.732449</v>
      </c>
      <c r="R56" s="142">
        <f t="shared" si="12"/>
        <v>0</v>
      </c>
      <c r="T56">
        <f>Pumps!$F$18*D56/Pumps!$I$4/3600</f>
        <v>340.4206318</v>
      </c>
      <c r="U56">
        <f>IF('Design Specifications'!$C$30="y",Disinfection!G54*Disinfection!$N$3*(1*10^6)/3600,0)</f>
        <v>0</v>
      </c>
      <c r="V56">
        <f t="shared" si="13"/>
        <v>864</v>
      </c>
      <c r="W56">
        <f t="shared" si="18"/>
        <v>4.335914274</v>
      </c>
      <c r="X56">
        <f t="shared" si="14"/>
        <v>3.1104</v>
      </c>
      <c r="Y56">
        <f t="shared" si="15"/>
        <v>0.5411367339</v>
      </c>
    </row>
    <row r="57">
      <c r="A57" s="78" t="s">
        <v>219</v>
      </c>
      <c r="B57" s="78">
        <v>16.8</v>
      </c>
      <c r="C57" s="78">
        <f t="shared" si="3"/>
        <v>2016</v>
      </c>
      <c r="D57">
        <f t="shared" si="4"/>
        <v>2.016</v>
      </c>
      <c r="E57">
        <v>10.0</v>
      </c>
      <c r="F57">
        <f t="shared" si="5"/>
        <v>0</v>
      </c>
      <c r="G57">
        <f t="shared" si="6"/>
        <v>0</v>
      </c>
      <c r="H57">
        <f>C57*Pumps!$F$18/3600</f>
        <v>85908.72596</v>
      </c>
      <c r="I57">
        <f t="shared" si="7"/>
        <v>122726.7514</v>
      </c>
      <c r="J57">
        <f t="shared" si="8"/>
        <v>138745.2471</v>
      </c>
      <c r="K57">
        <f t="shared" si="22"/>
        <v>0</v>
      </c>
      <c r="M57" s="142">
        <f t="shared" si="9"/>
        <v>0</v>
      </c>
      <c r="N57" s="142">
        <f t="shared" si="10"/>
        <v>0</v>
      </c>
      <c r="O57" s="142">
        <f t="shared" ref="O57:Q57" si="59">H57*3600/(1*10^6)</f>
        <v>309.2714135</v>
      </c>
      <c r="P57" s="142">
        <f t="shared" si="59"/>
        <v>441.8163049</v>
      </c>
      <c r="Q57" s="142">
        <f t="shared" si="59"/>
        <v>499.4828897</v>
      </c>
      <c r="R57" s="142">
        <f t="shared" si="12"/>
        <v>0</v>
      </c>
      <c r="T57">
        <f>Pumps!$F$18*D57/Pumps!$I$4/3600</f>
        <v>122.7267514</v>
      </c>
      <c r="U57">
        <f>IF('Design Specifications'!$C$30="y",Disinfection!G55*Disinfection!$N$3*(1*10^6)/3600,0)</f>
        <v>0</v>
      </c>
      <c r="V57">
        <f t="shared" si="13"/>
        <v>864</v>
      </c>
      <c r="W57">
        <f t="shared" si="18"/>
        <v>3.552216305</v>
      </c>
      <c r="X57">
        <f t="shared" si="14"/>
        <v>3.1104</v>
      </c>
      <c r="Y57">
        <f t="shared" si="15"/>
        <v>0.4851583075</v>
      </c>
    </row>
    <row r="58">
      <c r="A58" s="78" t="s">
        <v>221</v>
      </c>
      <c r="B58" s="78">
        <v>15.6</v>
      </c>
      <c r="C58" s="78">
        <f t="shared" si="3"/>
        <v>1872</v>
      </c>
      <c r="D58">
        <f t="shared" si="4"/>
        <v>1.872</v>
      </c>
      <c r="E58">
        <v>10.0</v>
      </c>
      <c r="F58">
        <f t="shared" si="5"/>
        <v>0</v>
      </c>
      <c r="G58">
        <f t="shared" si="6"/>
        <v>0</v>
      </c>
      <c r="H58">
        <f>C58*Pumps!$F$18/3600</f>
        <v>79772.38839</v>
      </c>
      <c r="I58">
        <f t="shared" si="7"/>
        <v>113960.5548</v>
      </c>
      <c r="J58">
        <f t="shared" si="8"/>
        <v>128899.0552</v>
      </c>
      <c r="K58">
        <f t="shared" si="22"/>
        <v>0</v>
      </c>
      <c r="M58" s="142">
        <f t="shared" si="9"/>
        <v>0</v>
      </c>
      <c r="N58" s="142">
        <f t="shared" si="10"/>
        <v>0</v>
      </c>
      <c r="O58" s="142">
        <f t="shared" ref="O58:Q58" si="60">H58*3600/(1*10^6)</f>
        <v>287.1805982</v>
      </c>
      <c r="P58" s="142">
        <f t="shared" si="60"/>
        <v>410.2579975</v>
      </c>
      <c r="Q58" s="142">
        <f t="shared" si="60"/>
        <v>464.0365987</v>
      </c>
      <c r="R58" s="142">
        <f t="shared" si="12"/>
        <v>0</v>
      </c>
      <c r="T58">
        <f>Pumps!$F$18*D58/Pumps!$I$4/3600</f>
        <v>113.9605548</v>
      </c>
      <c r="U58">
        <f>IF('Design Specifications'!$C$30="y",Disinfection!G56*Disinfection!$N$3*(1*10^6)/3600,0)</f>
        <v>0</v>
      </c>
      <c r="V58">
        <f t="shared" si="13"/>
        <v>864</v>
      </c>
      <c r="W58">
        <f t="shared" si="18"/>
        <v>3.520657997</v>
      </c>
      <c r="X58">
        <f t="shared" si="14"/>
        <v>3.1104</v>
      </c>
      <c r="Y58">
        <f t="shared" si="15"/>
        <v>0.4829041427</v>
      </c>
    </row>
    <row r="59">
      <c r="A59" s="78" t="s">
        <v>223</v>
      </c>
      <c r="B59" s="78">
        <v>3.0</v>
      </c>
      <c r="C59" s="78">
        <f t="shared" si="3"/>
        <v>360</v>
      </c>
      <c r="D59">
        <f t="shared" si="4"/>
        <v>0.36</v>
      </c>
      <c r="E59">
        <v>10.0</v>
      </c>
      <c r="F59">
        <f t="shared" si="5"/>
        <v>0</v>
      </c>
      <c r="G59">
        <f t="shared" si="6"/>
        <v>0</v>
      </c>
      <c r="H59">
        <f>C59*Pumps!$F$18/3600</f>
        <v>15340.84392</v>
      </c>
      <c r="I59">
        <f t="shared" si="7"/>
        <v>21915.49132</v>
      </c>
      <c r="J59">
        <f t="shared" si="8"/>
        <v>25514.03985</v>
      </c>
      <c r="K59">
        <f t="shared" si="22"/>
        <v>0</v>
      </c>
      <c r="M59" s="142">
        <f t="shared" si="9"/>
        <v>0</v>
      </c>
      <c r="N59" s="142">
        <f t="shared" si="10"/>
        <v>0</v>
      </c>
      <c r="O59" s="142">
        <f t="shared" ref="O59:Q59" si="61">H59*3600/(1*10^6)</f>
        <v>55.22703812</v>
      </c>
      <c r="P59" s="142">
        <f t="shared" si="61"/>
        <v>78.89576874</v>
      </c>
      <c r="Q59" s="142">
        <f t="shared" si="61"/>
        <v>91.85054345</v>
      </c>
      <c r="R59" s="142">
        <f t="shared" si="12"/>
        <v>0</v>
      </c>
      <c r="T59">
        <f>Pumps!$F$18*D59/Pumps!$I$4/3600</f>
        <v>21.91549132</v>
      </c>
      <c r="U59">
        <f>IF('Design Specifications'!$C$30="y",Disinfection!G57*Disinfection!$N$3*(1*10^6)/3600,0)</f>
        <v>0</v>
      </c>
      <c r="V59">
        <f t="shared" si="13"/>
        <v>864</v>
      </c>
      <c r="W59">
        <f t="shared" si="18"/>
        <v>3.189295769</v>
      </c>
      <c r="X59">
        <f t="shared" si="14"/>
        <v>3.1104</v>
      </c>
      <c r="Y59">
        <f t="shared" si="15"/>
        <v>0.4592354121</v>
      </c>
    </row>
    <row r="60">
      <c r="A60" s="78" t="s">
        <v>225</v>
      </c>
      <c r="B60" s="78">
        <v>11.6</v>
      </c>
      <c r="C60" s="78">
        <f t="shared" si="3"/>
        <v>1392</v>
      </c>
      <c r="D60">
        <f t="shared" si="4"/>
        <v>1.392</v>
      </c>
      <c r="E60">
        <v>10.0</v>
      </c>
      <c r="F60">
        <f t="shared" si="5"/>
        <v>0</v>
      </c>
      <c r="G60">
        <f t="shared" si="6"/>
        <v>0</v>
      </c>
      <c r="H60">
        <f>C60*Pumps!$F$18/3600</f>
        <v>59317.92983</v>
      </c>
      <c r="I60">
        <f t="shared" si="7"/>
        <v>84739.89976</v>
      </c>
      <c r="J60">
        <f t="shared" si="8"/>
        <v>96078.41541</v>
      </c>
      <c r="K60">
        <f t="shared" si="22"/>
        <v>0</v>
      </c>
      <c r="M60" s="142">
        <f t="shared" si="9"/>
        <v>0</v>
      </c>
      <c r="N60" s="142">
        <f t="shared" si="10"/>
        <v>0</v>
      </c>
      <c r="O60" s="142">
        <f t="shared" ref="O60:Q60" si="62">H60*3600/(1*10^6)</f>
        <v>213.5445474</v>
      </c>
      <c r="P60" s="142">
        <f t="shared" si="62"/>
        <v>305.0636391</v>
      </c>
      <c r="Q60" s="142">
        <f t="shared" si="62"/>
        <v>345.8822955</v>
      </c>
      <c r="R60" s="142">
        <f t="shared" si="12"/>
        <v>0</v>
      </c>
      <c r="T60">
        <f>Pumps!$F$18*D60/Pumps!$I$4/3600</f>
        <v>84.73989976</v>
      </c>
      <c r="U60">
        <f>IF('Design Specifications'!$C$30="y",Disinfection!G58*Disinfection!$N$3*(1*10^6)/3600,0)</f>
        <v>0</v>
      </c>
      <c r="V60">
        <f t="shared" si="13"/>
        <v>864</v>
      </c>
      <c r="W60">
        <f t="shared" si="18"/>
        <v>3.415463639</v>
      </c>
      <c r="X60">
        <f t="shared" si="14"/>
        <v>3.1104</v>
      </c>
      <c r="Y60">
        <f t="shared" si="15"/>
        <v>0.4753902599</v>
      </c>
    </row>
    <row r="61">
      <c r="A61" s="78" t="s">
        <v>227</v>
      </c>
      <c r="B61" s="78">
        <v>19.0</v>
      </c>
      <c r="C61" s="78">
        <f t="shared" si="3"/>
        <v>2280</v>
      </c>
      <c r="D61">
        <f t="shared" si="4"/>
        <v>2.28</v>
      </c>
      <c r="E61">
        <v>10.0</v>
      </c>
      <c r="F61">
        <f t="shared" si="5"/>
        <v>0</v>
      </c>
      <c r="G61">
        <f t="shared" si="6"/>
        <v>0</v>
      </c>
      <c r="H61">
        <f>C61*Pumps!$F$18/3600</f>
        <v>97158.67817</v>
      </c>
      <c r="I61">
        <f t="shared" si="7"/>
        <v>138798.1117</v>
      </c>
      <c r="J61">
        <f t="shared" si="8"/>
        <v>156796.599</v>
      </c>
      <c r="K61">
        <f t="shared" si="22"/>
        <v>0</v>
      </c>
      <c r="M61" s="142">
        <f t="shared" si="9"/>
        <v>0</v>
      </c>
      <c r="N61" s="142">
        <f t="shared" si="10"/>
        <v>0</v>
      </c>
      <c r="O61" s="142">
        <f t="shared" ref="O61:Q61" si="63">H61*3600/(1*10^6)</f>
        <v>349.7712414</v>
      </c>
      <c r="P61" s="142">
        <f t="shared" si="63"/>
        <v>499.673202</v>
      </c>
      <c r="Q61" s="142">
        <f t="shared" si="63"/>
        <v>564.4677565</v>
      </c>
      <c r="R61" s="142">
        <f t="shared" si="12"/>
        <v>0</v>
      </c>
      <c r="T61">
        <f>Pumps!$F$18*D61/Pumps!$I$4/3600</f>
        <v>138.7981117</v>
      </c>
      <c r="U61">
        <f>IF('Design Specifications'!$C$30="y",Disinfection!G59*Disinfection!$N$3*(1*10^6)/3600,0)</f>
        <v>0</v>
      </c>
      <c r="V61">
        <f t="shared" si="13"/>
        <v>864</v>
      </c>
      <c r="W61">
        <f t="shared" si="18"/>
        <v>3.610073202</v>
      </c>
      <c r="X61">
        <f t="shared" si="14"/>
        <v>3.1104</v>
      </c>
      <c r="Y61">
        <f t="shared" si="15"/>
        <v>0.489290943</v>
      </c>
    </row>
    <row r="62">
      <c r="A62" s="78" t="s">
        <v>229</v>
      </c>
      <c r="B62" s="78">
        <v>9.2</v>
      </c>
      <c r="C62" s="78">
        <f t="shared" si="3"/>
        <v>1104</v>
      </c>
      <c r="D62">
        <f t="shared" si="4"/>
        <v>1.104</v>
      </c>
      <c r="E62">
        <v>10.0</v>
      </c>
      <c r="F62">
        <f t="shared" si="5"/>
        <v>0</v>
      </c>
      <c r="G62">
        <f t="shared" si="6"/>
        <v>0</v>
      </c>
      <c r="H62">
        <f>C62*Pumps!$F$18/3600</f>
        <v>47045.25469</v>
      </c>
      <c r="I62">
        <f t="shared" si="7"/>
        <v>67207.5067</v>
      </c>
      <c r="J62">
        <f t="shared" si="8"/>
        <v>76386.03153</v>
      </c>
      <c r="K62">
        <f t="shared" si="22"/>
        <v>0</v>
      </c>
      <c r="M62" s="142">
        <f t="shared" si="9"/>
        <v>0</v>
      </c>
      <c r="N62" s="142">
        <f t="shared" si="10"/>
        <v>0</v>
      </c>
      <c r="O62" s="142">
        <f t="shared" ref="O62:Q62" si="64">H62*3600/(1*10^6)</f>
        <v>169.3629169</v>
      </c>
      <c r="P62" s="142">
        <f t="shared" si="64"/>
        <v>241.9470241</v>
      </c>
      <c r="Q62" s="142">
        <f t="shared" si="64"/>
        <v>274.9897135</v>
      </c>
      <c r="R62" s="142">
        <f t="shared" si="12"/>
        <v>0</v>
      </c>
      <c r="T62">
        <f>Pumps!$F$18*D62/Pumps!$I$4/3600</f>
        <v>67.2075067</v>
      </c>
      <c r="U62">
        <f>IF('Design Specifications'!$C$30="y",Disinfection!G60*Disinfection!$N$3*(1*10^6)/3600,0)</f>
        <v>0</v>
      </c>
      <c r="V62">
        <f t="shared" si="13"/>
        <v>864</v>
      </c>
      <c r="W62">
        <f t="shared" si="18"/>
        <v>3.352347024</v>
      </c>
      <c r="X62">
        <f t="shared" si="14"/>
        <v>3.1104</v>
      </c>
      <c r="Y62">
        <f t="shared" si="15"/>
        <v>0.4708819303</v>
      </c>
    </row>
    <row r="63">
      <c r="A63" s="78" t="s">
        <v>231</v>
      </c>
      <c r="B63" s="78">
        <v>12.6</v>
      </c>
      <c r="C63" s="78">
        <f t="shared" si="3"/>
        <v>1512</v>
      </c>
      <c r="D63">
        <f t="shared" si="4"/>
        <v>1.512</v>
      </c>
      <c r="E63">
        <v>10.0</v>
      </c>
      <c r="F63">
        <f t="shared" si="5"/>
        <v>0</v>
      </c>
      <c r="G63">
        <f t="shared" si="6"/>
        <v>0</v>
      </c>
      <c r="H63">
        <f>C63*Pumps!$F$18/3600</f>
        <v>64431.54447</v>
      </c>
      <c r="I63">
        <f t="shared" si="7"/>
        <v>92045.06353</v>
      </c>
      <c r="J63">
        <f t="shared" si="8"/>
        <v>104283.5754</v>
      </c>
      <c r="K63">
        <f t="shared" si="22"/>
        <v>0</v>
      </c>
      <c r="M63" s="142">
        <f t="shared" si="9"/>
        <v>0</v>
      </c>
      <c r="N63" s="142">
        <f t="shared" si="10"/>
        <v>0</v>
      </c>
      <c r="O63" s="142">
        <f t="shared" ref="O63:Q63" si="65">H63*3600/(1*10^6)</f>
        <v>231.9535601</v>
      </c>
      <c r="P63" s="142">
        <f t="shared" si="65"/>
        <v>331.3622287</v>
      </c>
      <c r="Q63" s="142">
        <f t="shared" si="65"/>
        <v>375.4208713</v>
      </c>
      <c r="R63" s="142">
        <f t="shared" si="12"/>
        <v>0</v>
      </c>
      <c r="T63">
        <f>Pumps!$F$18*D63/Pumps!$I$4/3600</f>
        <v>92.04506353</v>
      </c>
      <c r="U63">
        <f>IF('Design Specifications'!$C$30="y",Disinfection!G61*Disinfection!$N$3*(1*10^6)/3600,0)</f>
        <v>0</v>
      </c>
      <c r="V63">
        <f t="shared" si="13"/>
        <v>864</v>
      </c>
      <c r="W63">
        <f t="shared" si="18"/>
        <v>3.441762229</v>
      </c>
      <c r="X63">
        <f t="shared" si="14"/>
        <v>3.1104</v>
      </c>
      <c r="Y63">
        <f t="shared" si="15"/>
        <v>0.4772687306</v>
      </c>
    </row>
    <row r="64">
      <c r="A64" s="78" t="s">
        <v>233</v>
      </c>
      <c r="B64" s="78">
        <v>21.8</v>
      </c>
      <c r="C64" s="78">
        <f t="shared" si="3"/>
        <v>2616</v>
      </c>
      <c r="D64">
        <f t="shared" si="4"/>
        <v>2.616</v>
      </c>
      <c r="E64">
        <v>10.0</v>
      </c>
      <c r="F64">
        <f t="shared" si="5"/>
        <v>0</v>
      </c>
      <c r="G64">
        <f t="shared" si="6"/>
        <v>0</v>
      </c>
      <c r="H64">
        <f>C64*Pumps!$F$18/3600</f>
        <v>111476.7992</v>
      </c>
      <c r="I64">
        <f t="shared" si="7"/>
        <v>159252.5702</v>
      </c>
      <c r="J64">
        <f t="shared" si="8"/>
        <v>179771.0469</v>
      </c>
      <c r="K64">
        <f t="shared" si="22"/>
        <v>0</v>
      </c>
      <c r="M64" s="142">
        <f t="shared" si="9"/>
        <v>0</v>
      </c>
      <c r="N64" s="142">
        <f t="shared" si="10"/>
        <v>0</v>
      </c>
      <c r="O64" s="142">
        <f t="shared" ref="O64:Q64" si="66">H64*3600/(1*10^6)</f>
        <v>401.316477</v>
      </c>
      <c r="P64" s="142">
        <f t="shared" si="66"/>
        <v>573.3092528</v>
      </c>
      <c r="Q64" s="142">
        <f t="shared" si="66"/>
        <v>647.1757688</v>
      </c>
      <c r="R64" s="142">
        <f t="shared" si="12"/>
        <v>0</v>
      </c>
      <c r="T64">
        <f>Pumps!$F$18*D64/Pumps!$I$4/3600</f>
        <v>159.2525702</v>
      </c>
      <c r="U64">
        <f>IF('Design Specifications'!$C$30="y",Disinfection!G62*Disinfection!$N$3*(1*10^6)/3600,0)</f>
        <v>0</v>
      </c>
      <c r="V64">
        <f t="shared" si="13"/>
        <v>864</v>
      </c>
      <c r="W64">
        <f t="shared" si="18"/>
        <v>3.683709253</v>
      </c>
      <c r="X64">
        <f t="shared" si="14"/>
        <v>3.1104</v>
      </c>
      <c r="Y64">
        <f t="shared" si="15"/>
        <v>0.4945506609</v>
      </c>
    </row>
    <row r="65">
      <c r="A65" s="78" t="s">
        <v>235</v>
      </c>
      <c r="B65" s="78">
        <v>2.4</v>
      </c>
      <c r="C65" s="78">
        <f t="shared" si="3"/>
        <v>288</v>
      </c>
      <c r="D65">
        <f t="shared" si="4"/>
        <v>0.288</v>
      </c>
      <c r="E65">
        <v>10.0</v>
      </c>
      <c r="F65">
        <f t="shared" si="5"/>
        <v>0</v>
      </c>
      <c r="G65">
        <f t="shared" si="6"/>
        <v>0</v>
      </c>
      <c r="H65">
        <f>C65*Pumps!$F$18/3600</f>
        <v>12272.67514</v>
      </c>
      <c r="I65">
        <f t="shared" si="7"/>
        <v>17532.39305</v>
      </c>
      <c r="J65">
        <f t="shared" si="8"/>
        <v>20590.94388</v>
      </c>
      <c r="K65">
        <f t="shared" si="22"/>
        <v>0</v>
      </c>
      <c r="M65" s="142">
        <f t="shared" si="9"/>
        <v>0</v>
      </c>
      <c r="N65" s="142">
        <f t="shared" si="10"/>
        <v>0</v>
      </c>
      <c r="O65" s="142">
        <f t="shared" ref="O65:Q65" si="67">H65*3600/(1*10^6)</f>
        <v>44.18163049</v>
      </c>
      <c r="P65" s="142">
        <f t="shared" si="67"/>
        <v>63.11661499</v>
      </c>
      <c r="Q65" s="142">
        <f t="shared" si="67"/>
        <v>74.12739796</v>
      </c>
      <c r="R65" s="142">
        <f t="shared" si="12"/>
        <v>0</v>
      </c>
      <c r="T65">
        <f>Pumps!$F$18*D65/Pumps!$I$4/3600</f>
        <v>17.53239305</v>
      </c>
      <c r="U65">
        <f>IF('Design Specifications'!$C$30="y",Disinfection!G63*Disinfection!$N$3*(1*10^6)/3600,0)</f>
        <v>0</v>
      </c>
      <c r="V65">
        <f t="shared" si="13"/>
        <v>864</v>
      </c>
      <c r="W65">
        <f t="shared" si="18"/>
        <v>3.173516615</v>
      </c>
      <c r="X65">
        <f t="shared" si="14"/>
        <v>3.1104</v>
      </c>
      <c r="Y65">
        <f t="shared" si="15"/>
        <v>0.4581083296</v>
      </c>
    </row>
    <row r="66">
      <c r="A66" s="78" t="s">
        <v>237</v>
      </c>
      <c r="B66" s="78">
        <v>0.8</v>
      </c>
      <c r="C66" s="78">
        <f t="shared" si="3"/>
        <v>96</v>
      </c>
      <c r="D66">
        <f t="shared" si="4"/>
        <v>0.096</v>
      </c>
      <c r="E66">
        <v>10.0</v>
      </c>
      <c r="F66">
        <f t="shared" si="5"/>
        <v>0</v>
      </c>
      <c r="G66">
        <f t="shared" si="6"/>
        <v>0</v>
      </c>
      <c r="H66">
        <f>C66*Pumps!$F$18/3600</f>
        <v>4090.891712</v>
      </c>
      <c r="I66">
        <f t="shared" si="7"/>
        <v>5844.131018</v>
      </c>
      <c r="J66">
        <f t="shared" si="8"/>
        <v>7462.687959</v>
      </c>
      <c r="K66">
        <f t="shared" si="22"/>
        <v>0</v>
      </c>
      <c r="M66" s="142">
        <f t="shared" si="9"/>
        <v>0</v>
      </c>
      <c r="N66" s="142">
        <f t="shared" si="10"/>
        <v>0</v>
      </c>
      <c r="O66" s="142">
        <f t="shared" ref="O66:Q66" si="68">H66*3600/(1*10^6)</f>
        <v>14.72721016</v>
      </c>
      <c r="P66" s="142">
        <f t="shared" si="68"/>
        <v>21.03887166</v>
      </c>
      <c r="Q66" s="142">
        <f t="shared" si="68"/>
        <v>26.86567665</v>
      </c>
      <c r="R66" s="142">
        <f t="shared" si="12"/>
        <v>0</v>
      </c>
      <c r="T66">
        <f>Pumps!$F$18*D66/Pumps!$I$4/3600</f>
        <v>5.844131018</v>
      </c>
      <c r="U66">
        <f>IF('Design Specifications'!$C$30="y",Disinfection!G64*Disinfection!$N$3*(1*10^6)/3600,0)</f>
        <v>0</v>
      </c>
      <c r="V66">
        <f t="shared" si="13"/>
        <v>864</v>
      </c>
      <c r="W66">
        <f t="shared" si="18"/>
        <v>3.131438872</v>
      </c>
      <c r="X66">
        <f t="shared" si="14"/>
        <v>3.1104</v>
      </c>
      <c r="Y66">
        <f t="shared" si="15"/>
        <v>0.4551027765</v>
      </c>
    </row>
    <row r="67">
      <c r="A67" s="78" t="s">
        <v>239</v>
      </c>
      <c r="B67" s="78">
        <v>4.8</v>
      </c>
      <c r="C67" s="78">
        <f t="shared" si="3"/>
        <v>576</v>
      </c>
      <c r="D67">
        <f t="shared" si="4"/>
        <v>0.576</v>
      </c>
      <c r="E67">
        <v>10.0</v>
      </c>
      <c r="F67">
        <f t="shared" si="5"/>
        <v>0</v>
      </c>
      <c r="G67">
        <f t="shared" si="6"/>
        <v>0</v>
      </c>
      <c r="H67">
        <f>C67*Pumps!$F$18/3600</f>
        <v>24545.35027</v>
      </c>
      <c r="I67">
        <f t="shared" si="7"/>
        <v>35064.78611</v>
      </c>
      <c r="J67">
        <f t="shared" si="8"/>
        <v>40283.32776</v>
      </c>
      <c r="K67">
        <f t="shared" si="22"/>
        <v>0</v>
      </c>
      <c r="M67" s="142">
        <f t="shared" si="9"/>
        <v>0</v>
      </c>
      <c r="N67" s="142">
        <f t="shared" si="10"/>
        <v>0</v>
      </c>
      <c r="O67" s="142">
        <f t="shared" ref="O67:Q67" si="69">H67*3600/(1*10^6)</f>
        <v>88.36326099</v>
      </c>
      <c r="P67" s="142">
        <f t="shared" si="69"/>
        <v>126.23323</v>
      </c>
      <c r="Q67" s="142">
        <f t="shared" si="69"/>
        <v>145.0199799</v>
      </c>
      <c r="R67" s="142">
        <f t="shared" si="12"/>
        <v>0</v>
      </c>
      <c r="T67">
        <f>Pumps!$F$18*D67/Pumps!$I$4/3600</f>
        <v>35.06478611</v>
      </c>
      <c r="U67">
        <f>IF('Design Specifications'!$C$30="y",Disinfection!G65*Disinfection!$N$3*(1*10^6)/3600,0)</f>
        <v>0</v>
      </c>
      <c r="V67">
        <f t="shared" si="13"/>
        <v>864</v>
      </c>
      <c r="W67">
        <f t="shared" si="18"/>
        <v>3.23663323</v>
      </c>
      <c r="X67">
        <f t="shared" si="14"/>
        <v>3.1104</v>
      </c>
      <c r="Y67">
        <f t="shared" si="15"/>
        <v>0.4626166593</v>
      </c>
    </row>
    <row r="68">
      <c r="A68" s="78" t="s">
        <v>241</v>
      </c>
      <c r="B68" s="78">
        <v>14.6</v>
      </c>
      <c r="C68" s="78">
        <f t="shared" si="3"/>
        <v>1752</v>
      </c>
      <c r="D68">
        <f t="shared" si="4"/>
        <v>1.752</v>
      </c>
      <c r="E68">
        <v>10.0</v>
      </c>
      <c r="F68">
        <f t="shared" si="5"/>
        <v>0</v>
      </c>
      <c r="G68">
        <f t="shared" si="6"/>
        <v>0</v>
      </c>
      <c r="H68">
        <f>C68*Pumps!$F$18/3600</f>
        <v>74658.77375</v>
      </c>
      <c r="I68">
        <f t="shared" si="7"/>
        <v>106655.3911</v>
      </c>
      <c r="J68">
        <f t="shared" si="8"/>
        <v>120693.8953</v>
      </c>
      <c r="K68">
        <f t="shared" si="22"/>
        <v>0</v>
      </c>
      <c r="M68" s="142">
        <f t="shared" si="9"/>
        <v>0</v>
      </c>
      <c r="N68" s="142">
        <f t="shared" si="10"/>
        <v>0</v>
      </c>
      <c r="O68" s="142">
        <f t="shared" ref="O68:Q68" si="70">H68*3600/(1*10^6)</f>
        <v>268.7715855</v>
      </c>
      <c r="P68" s="142">
        <f t="shared" si="70"/>
        <v>383.9594079</v>
      </c>
      <c r="Q68" s="142">
        <f t="shared" si="70"/>
        <v>434.4980229</v>
      </c>
      <c r="R68" s="142">
        <f t="shared" si="12"/>
        <v>0</v>
      </c>
      <c r="T68">
        <f>Pumps!$F$18*D68/Pumps!$I$4/3600</f>
        <v>106.6553911</v>
      </c>
      <c r="U68">
        <f>IF('Design Specifications'!$C$30="y",Disinfection!G66*Disinfection!$N$3*(1*10^6)/3600,0)</f>
        <v>0</v>
      </c>
      <c r="V68">
        <f t="shared" si="13"/>
        <v>864</v>
      </c>
      <c r="W68">
        <f t="shared" si="18"/>
        <v>3.494359408</v>
      </c>
      <c r="X68">
        <f t="shared" si="14"/>
        <v>3.1104</v>
      </c>
      <c r="Y68">
        <f t="shared" si="15"/>
        <v>0.481025672</v>
      </c>
    </row>
    <row r="69">
      <c r="A69" s="78" t="s">
        <v>243</v>
      </c>
      <c r="B69" s="78">
        <v>6.8</v>
      </c>
      <c r="C69" s="78">
        <f t="shared" si="3"/>
        <v>816</v>
      </c>
      <c r="D69">
        <f t="shared" si="4"/>
        <v>0.816</v>
      </c>
      <c r="E69">
        <v>10.0</v>
      </c>
      <c r="F69">
        <f t="shared" si="5"/>
        <v>0</v>
      </c>
      <c r="G69">
        <f t="shared" si="6"/>
        <v>0</v>
      </c>
      <c r="H69">
        <f>C69*Pumps!$F$18/3600</f>
        <v>34772.57956</v>
      </c>
      <c r="I69">
        <f t="shared" si="7"/>
        <v>49675.11365</v>
      </c>
      <c r="J69">
        <f t="shared" si="8"/>
        <v>56693.64765</v>
      </c>
      <c r="K69">
        <f t="shared" si="22"/>
        <v>0</v>
      </c>
      <c r="M69" s="142">
        <f t="shared" si="9"/>
        <v>0</v>
      </c>
      <c r="N69" s="142">
        <f t="shared" si="10"/>
        <v>0</v>
      </c>
      <c r="O69" s="142">
        <f t="shared" ref="O69:Q69" si="71">H69*3600/(1*10^6)</f>
        <v>125.1812864</v>
      </c>
      <c r="P69" s="142">
        <f t="shared" si="71"/>
        <v>178.8304091</v>
      </c>
      <c r="Q69" s="142">
        <f t="shared" si="71"/>
        <v>204.0971316</v>
      </c>
      <c r="R69" s="142">
        <f t="shared" si="12"/>
        <v>0</v>
      </c>
      <c r="T69">
        <f>Pumps!$F$18*D69/Pumps!$I$4/3600</f>
        <v>49.67511365</v>
      </c>
      <c r="U69">
        <f>IF('Design Specifications'!$C$30="y",Disinfection!G67*Disinfection!$N$3*(1*10^6)/3600,0)</f>
        <v>0</v>
      </c>
      <c r="V69">
        <f t="shared" si="13"/>
        <v>864</v>
      </c>
      <c r="W69">
        <f t="shared" si="18"/>
        <v>3.289230409</v>
      </c>
      <c r="X69">
        <f t="shared" si="14"/>
        <v>3.1104</v>
      </c>
      <c r="Y69">
        <f t="shared" si="15"/>
        <v>0.4663736007</v>
      </c>
    </row>
    <row r="70">
      <c r="A70" s="78" t="s">
        <v>245</v>
      </c>
      <c r="B70" s="78">
        <v>0.0</v>
      </c>
      <c r="C70" s="78">
        <f t="shared" si="3"/>
        <v>0</v>
      </c>
      <c r="D70">
        <f t="shared" si="4"/>
        <v>0</v>
      </c>
      <c r="E70">
        <v>10.0</v>
      </c>
      <c r="F70">
        <f t="shared" si="5"/>
        <v>0</v>
      </c>
      <c r="G70">
        <f t="shared" si="6"/>
        <v>0</v>
      </c>
      <c r="H70">
        <f>C70*Pumps!$F$18/3600</f>
        <v>0</v>
      </c>
      <c r="I70">
        <f t="shared" si="7"/>
        <v>0</v>
      </c>
      <c r="J70">
        <f t="shared" si="8"/>
        <v>898.56</v>
      </c>
      <c r="K70">
        <f t="shared" si="22"/>
        <v>0</v>
      </c>
      <c r="M70" s="142">
        <f t="shared" si="9"/>
        <v>0</v>
      </c>
      <c r="N70" s="142">
        <f t="shared" si="10"/>
        <v>0</v>
      </c>
      <c r="O70" s="142">
        <f t="shared" ref="O70:Q70" si="72">H70*3600/(1*10^6)</f>
        <v>0</v>
      </c>
      <c r="P70" s="142">
        <f t="shared" si="72"/>
        <v>0</v>
      </c>
      <c r="Q70" s="142">
        <f t="shared" si="72"/>
        <v>3.234816</v>
      </c>
      <c r="R70" s="142">
        <f t="shared" si="12"/>
        <v>0</v>
      </c>
      <c r="T70">
        <f>Pumps!$F$18*D70/Pumps!$I$4/3600</f>
        <v>0</v>
      </c>
      <c r="U70">
        <f>IF('Design Specifications'!$C$30="y",Disinfection!G68*Disinfection!$N$3*(1*10^6)/3600,0)</f>
        <v>0</v>
      </c>
      <c r="V70">
        <f t="shared" si="13"/>
        <v>864</v>
      </c>
      <c r="W70">
        <f t="shared" si="18"/>
        <v>3.1104</v>
      </c>
      <c r="X70">
        <f t="shared" si="14"/>
        <v>3.1104</v>
      </c>
      <c r="Y70">
        <f t="shared" si="15"/>
        <v>0.4536</v>
      </c>
    </row>
    <row r="71">
      <c r="A71" s="78" t="s">
        <v>247</v>
      </c>
      <c r="B71" s="78">
        <v>0.8</v>
      </c>
      <c r="C71" s="78">
        <f t="shared" si="3"/>
        <v>96</v>
      </c>
      <c r="D71">
        <f t="shared" si="4"/>
        <v>0.096</v>
      </c>
      <c r="E71">
        <v>10.0</v>
      </c>
      <c r="F71">
        <f t="shared" si="5"/>
        <v>0</v>
      </c>
      <c r="G71">
        <f t="shared" si="6"/>
        <v>0</v>
      </c>
      <c r="H71">
        <f>C71*Pumps!$F$18/3600</f>
        <v>4090.891712</v>
      </c>
      <c r="I71">
        <f t="shared" si="7"/>
        <v>5844.131018</v>
      </c>
      <c r="J71">
        <f t="shared" si="8"/>
        <v>7462.687959</v>
      </c>
      <c r="K71">
        <f t="shared" si="22"/>
        <v>0</v>
      </c>
      <c r="M71" s="142">
        <f t="shared" si="9"/>
        <v>0</v>
      </c>
      <c r="N71" s="142">
        <f t="shared" si="10"/>
        <v>0</v>
      </c>
      <c r="O71" s="142">
        <f t="shared" ref="O71:Q71" si="73">H71*3600/(1*10^6)</f>
        <v>14.72721016</v>
      </c>
      <c r="P71" s="142">
        <f t="shared" si="73"/>
        <v>21.03887166</v>
      </c>
      <c r="Q71" s="142">
        <f t="shared" si="73"/>
        <v>26.86567665</v>
      </c>
      <c r="R71" s="142">
        <f t="shared" si="12"/>
        <v>0</v>
      </c>
      <c r="T71">
        <f>Pumps!$F$18*D71/Pumps!$I$4/3600</f>
        <v>5.844131018</v>
      </c>
      <c r="U71">
        <f>IF('Design Specifications'!$C$30="y",Disinfection!G69*Disinfection!$N$3*(1*10^6)/3600,0)</f>
        <v>0</v>
      </c>
      <c r="V71">
        <f t="shared" si="13"/>
        <v>864</v>
      </c>
      <c r="W71">
        <f t="shared" si="18"/>
        <v>3.131438872</v>
      </c>
      <c r="X71">
        <f t="shared" si="14"/>
        <v>3.1104</v>
      </c>
      <c r="Y71">
        <f t="shared" si="15"/>
        <v>0.4551027765</v>
      </c>
    </row>
    <row r="72">
      <c r="A72" s="78" t="s">
        <v>249</v>
      </c>
      <c r="B72" s="78">
        <v>0.0</v>
      </c>
      <c r="C72" s="78">
        <f t="shared" si="3"/>
        <v>0</v>
      </c>
      <c r="D72">
        <f t="shared" si="4"/>
        <v>0</v>
      </c>
      <c r="E72">
        <v>10.0</v>
      </c>
      <c r="F72">
        <f t="shared" si="5"/>
        <v>0</v>
      </c>
      <c r="G72">
        <f t="shared" si="6"/>
        <v>0</v>
      </c>
      <c r="H72">
        <f>C72*Pumps!$F$18/3600</f>
        <v>0</v>
      </c>
      <c r="I72">
        <f t="shared" si="7"/>
        <v>0</v>
      </c>
      <c r="J72">
        <f t="shared" si="8"/>
        <v>898.56</v>
      </c>
      <c r="K72">
        <f t="shared" si="22"/>
        <v>0</v>
      </c>
      <c r="M72" s="142">
        <f t="shared" si="9"/>
        <v>0</v>
      </c>
      <c r="N72" s="142">
        <f t="shared" si="10"/>
        <v>0</v>
      </c>
      <c r="O72" s="142">
        <f t="shared" ref="O72:Q72" si="74">H72*3600/(1*10^6)</f>
        <v>0</v>
      </c>
      <c r="P72" s="142">
        <f t="shared" si="74"/>
        <v>0</v>
      </c>
      <c r="Q72" s="142">
        <f t="shared" si="74"/>
        <v>3.234816</v>
      </c>
      <c r="R72" s="142">
        <f t="shared" si="12"/>
        <v>0</v>
      </c>
      <c r="T72">
        <f>Pumps!$F$18*D72/Pumps!$I$4/3600</f>
        <v>0</v>
      </c>
      <c r="U72">
        <f>IF('Design Specifications'!$C$30="y",Disinfection!G70*Disinfection!$N$3*(1*10^6)/3600,0)</f>
        <v>0</v>
      </c>
      <c r="V72">
        <f t="shared" si="13"/>
        <v>864</v>
      </c>
      <c r="W72">
        <f t="shared" si="18"/>
        <v>3.1104</v>
      </c>
      <c r="X72">
        <f t="shared" si="14"/>
        <v>3.1104</v>
      </c>
      <c r="Y72">
        <f t="shared" si="15"/>
        <v>0.4536</v>
      </c>
    </row>
    <row r="73">
      <c r="A73" s="78" t="s">
        <v>251</v>
      </c>
      <c r="B73" s="78">
        <v>0.4</v>
      </c>
      <c r="C73" s="78">
        <f t="shared" si="3"/>
        <v>48</v>
      </c>
      <c r="D73">
        <f t="shared" si="4"/>
        <v>0.048</v>
      </c>
      <c r="E73">
        <v>10.0</v>
      </c>
      <c r="F73">
        <f t="shared" si="5"/>
        <v>0</v>
      </c>
      <c r="G73">
        <f t="shared" si="6"/>
        <v>0</v>
      </c>
      <c r="H73">
        <f>C73*Pumps!$F$18/3600</f>
        <v>2045.445856</v>
      </c>
      <c r="I73">
        <f t="shared" si="7"/>
        <v>2922.065509</v>
      </c>
      <c r="J73">
        <f t="shared" si="8"/>
        <v>4180.62398</v>
      </c>
      <c r="K73">
        <f t="shared" si="22"/>
        <v>0</v>
      </c>
      <c r="M73" s="142">
        <f t="shared" si="9"/>
        <v>0</v>
      </c>
      <c r="N73" s="142">
        <f t="shared" si="10"/>
        <v>0</v>
      </c>
      <c r="O73" s="142">
        <f t="shared" ref="O73:Q73" si="75">H73*3600/(1*10^6)</f>
        <v>7.363605082</v>
      </c>
      <c r="P73" s="142">
        <f t="shared" si="75"/>
        <v>10.51943583</v>
      </c>
      <c r="Q73" s="142">
        <f t="shared" si="75"/>
        <v>15.05024633</v>
      </c>
      <c r="R73" s="142">
        <f t="shared" si="12"/>
        <v>0</v>
      </c>
      <c r="T73">
        <f>Pumps!$F$18*D73/Pumps!$I$4/3600</f>
        <v>2.922065509</v>
      </c>
      <c r="U73">
        <f>IF('Design Specifications'!$C$30="y",Disinfection!G71*Disinfection!$N$3*(1*10^6)/3600,0)</f>
        <v>0</v>
      </c>
      <c r="V73">
        <f t="shared" si="13"/>
        <v>864</v>
      </c>
      <c r="W73">
        <f t="shared" si="18"/>
        <v>3.120919436</v>
      </c>
      <c r="X73">
        <f t="shared" si="14"/>
        <v>3.1104</v>
      </c>
      <c r="Y73">
        <f t="shared" si="15"/>
        <v>0.4543513883</v>
      </c>
    </row>
    <row r="74">
      <c r="A74" s="78" t="s">
        <v>253</v>
      </c>
      <c r="B74" s="78">
        <v>2.0</v>
      </c>
      <c r="C74" s="78">
        <f t="shared" si="3"/>
        <v>240</v>
      </c>
      <c r="D74">
        <f t="shared" si="4"/>
        <v>0.24</v>
      </c>
      <c r="E74">
        <v>12.0</v>
      </c>
      <c r="F74">
        <f t="shared" si="5"/>
        <v>0</v>
      </c>
      <c r="G74">
        <f t="shared" si="6"/>
        <v>0</v>
      </c>
      <c r="H74">
        <f>C74*Pumps!$F$18/3600</f>
        <v>10227.22928</v>
      </c>
      <c r="I74">
        <f t="shared" si="7"/>
        <v>14610.32754</v>
      </c>
      <c r="J74">
        <f t="shared" si="8"/>
        <v>17308.8799</v>
      </c>
      <c r="K74">
        <f t="shared" si="22"/>
        <v>0</v>
      </c>
      <c r="M74" s="142">
        <f t="shared" si="9"/>
        <v>0</v>
      </c>
      <c r="N74" s="142">
        <f t="shared" si="10"/>
        <v>0</v>
      </c>
      <c r="O74" s="142">
        <f t="shared" ref="O74:Q74" si="76">H74*3600/(1*10^6)</f>
        <v>36.81802541</v>
      </c>
      <c r="P74" s="142">
        <f t="shared" si="76"/>
        <v>52.59717916</v>
      </c>
      <c r="Q74" s="142">
        <f t="shared" si="76"/>
        <v>62.31196763</v>
      </c>
      <c r="R74" s="142">
        <f t="shared" si="12"/>
        <v>0</v>
      </c>
      <c r="T74">
        <f>Pumps!$F$18*D74/Pumps!$I$4/3600</f>
        <v>14.61032754</v>
      </c>
      <c r="U74">
        <f>IF('Design Specifications'!$C$30="y",Disinfection!G72*Disinfection!$N$3*(1*10^6)/3600,0)</f>
        <v>0</v>
      </c>
      <c r="V74">
        <f t="shared" si="13"/>
        <v>864</v>
      </c>
      <c r="W74">
        <f t="shared" si="18"/>
        <v>3.162997179</v>
      </c>
      <c r="X74">
        <f t="shared" si="14"/>
        <v>3.1104</v>
      </c>
      <c r="Y74">
        <f t="shared" si="15"/>
        <v>0.4573569414</v>
      </c>
    </row>
    <row r="75">
      <c r="A75" s="78" t="s">
        <v>255</v>
      </c>
      <c r="B75" s="78">
        <v>19.0</v>
      </c>
      <c r="C75" s="78">
        <f t="shared" si="3"/>
        <v>2280</v>
      </c>
      <c r="D75">
        <f t="shared" si="4"/>
        <v>2.28</v>
      </c>
      <c r="E75">
        <v>12.0</v>
      </c>
      <c r="F75">
        <f t="shared" si="5"/>
        <v>0</v>
      </c>
      <c r="G75">
        <f t="shared" si="6"/>
        <v>0</v>
      </c>
      <c r="H75">
        <f>C75*Pumps!$F$18/3600</f>
        <v>97158.67817</v>
      </c>
      <c r="I75">
        <f t="shared" si="7"/>
        <v>138798.1117</v>
      </c>
      <c r="J75">
        <f t="shared" si="8"/>
        <v>156796.599</v>
      </c>
      <c r="K75">
        <f t="shared" si="22"/>
        <v>0</v>
      </c>
      <c r="M75" s="142">
        <f t="shared" si="9"/>
        <v>0</v>
      </c>
      <c r="N75" s="142">
        <f t="shared" si="10"/>
        <v>0</v>
      </c>
      <c r="O75" s="142">
        <f t="shared" ref="O75:Q75" si="77">H75*3600/(1*10^6)</f>
        <v>349.7712414</v>
      </c>
      <c r="P75" s="142">
        <f t="shared" si="77"/>
        <v>499.673202</v>
      </c>
      <c r="Q75" s="142">
        <f t="shared" si="77"/>
        <v>564.4677565</v>
      </c>
      <c r="R75" s="142">
        <f t="shared" si="12"/>
        <v>0</v>
      </c>
      <c r="T75">
        <f>Pumps!$F$18*D75/Pumps!$I$4/3600</f>
        <v>138.7981117</v>
      </c>
      <c r="U75">
        <f>IF('Design Specifications'!$C$30="y",Disinfection!G73*Disinfection!$N$3*(1*10^6)/3600,0)</f>
        <v>0</v>
      </c>
      <c r="V75">
        <f t="shared" si="13"/>
        <v>864</v>
      </c>
      <c r="W75">
        <f t="shared" si="18"/>
        <v>3.610073202</v>
      </c>
      <c r="X75">
        <f t="shared" si="14"/>
        <v>3.1104</v>
      </c>
      <c r="Y75">
        <f t="shared" si="15"/>
        <v>0.489290943</v>
      </c>
    </row>
    <row r="76">
      <c r="A76" s="78" t="s">
        <v>257</v>
      </c>
      <c r="B76" s="78">
        <v>1.0</v>
      </c>
      <c r="C76" s="78">
        <f t="shared" si="3"/>
        <v>120</v>
      </c>
      <c r="D76">
        <f t="shared" si="4"/>
        <v>0.12</v>
      </c>
      <c r="E76">
        <v>12.0</v>
      </c>
      <c r="F76">
        <f t="shared" si="5"/>
        <v>0</v>
      </c>
      <c r="G76">
        <f t="shared" si="6"/>
        <v>0</v>
      </c>
      <c r="H76">
        <f>C76*Pumps!$F$18/3600</f>
        <v>5113.614641</v>
      </c>
      <c r="I76">
        <f t="shared" si="7"/>
        <v>7305.163772</v>
      </c>
      <c r="J76">
        <f t="shared" si="8"/>
        <v>9103.719949</v>
      </c>
      <c r="K76">
        <f t="shared" si="22"/>
        <v>0</v>
      </c>
      <c r="M76" s="142">
        <f t="shared" si="9"/>
        <v>0</v>
      </c>
      <c r="N76" s="142">
        <f t="shared" si="10"/>
        <v>0</v>
      </c>
      <c r="O76" s="142">
        <f t="shared" ref="O76:Q76" si="78">H76*3600/(1*10^6)</f>
        <v>18.40901271</v>
      </c>
      <c r="P76" s="142">
        <f t="shared" si="78"/>
        <v>26.29858958</v>
      </c>
      <c r="Q76" s="142">
        <f t="shared" si="78"/>
        <v>32.77339182</v>
      </c>
      <c r="R76" s="142">
        <f t="shared" si="12"/>
        <v>0</v>
      </c>
      <c r="T76">
        <f>Pumps!$F$18*D76/Pumps!$I$4/3600</f>
        <v>7.305163772</v>
      </c>
      <c r="U76">
        <f>IF('Design Specifications'!$C$30="y",Disinfection!G74*Disinfection!$N$3*(1*10^6)/3600,0)</f>
        <v>0</v>
      </c>
      <c r="V76">
        <f t="shared" si="13"/>
        <v>864</v>
      </c>
      <c r="W76">
        <f t="shared" si="18"/>
        <v>3.13669859</v>
      </c>
      <c r="X76">
        <f t="shared" si="14"/>
        <v>3.1104</v>
      </c>
      <c r="Y76">
        <f t="shared" si="15"/>
        <v>0.4554784707</v>
      </c>
    </row>
    <row r="77">
      <c r="A77" s="78" t="s">
        <v>259</v>
      </c>
      <c r="B77" s="78">
        <v>2.4</v>
      </c>
      <c r="C77" s="78">
        <f t="shared" si="3"/>
        <v>288</v>
      </c>
      <c r="D77">
        <f t="shared" si="4"/>
        <v>0.288</v>
      </c>
      <c r="E77">
        <v>12.0</v>
      </c>
      <c r="F77">
        <f t="shared" si="5"/>
        <v>0</v>
      </c>
      <c r="G77">
        <f t="shared" si="6"/>
        <v>0</v>
      </c>
      <c r="H77">
        <f>C77*Pumps!$F$18/3600</f>
        <v>12272.67514</v>
      </c>
      <c r="I77">
        <f t="shared" si="7"/>
        <v>17532.39305</v>
      </c>
      <c r="J77">
        <f t="shared" si="8"/>
        <v>20590.94388</v>
      </c>
      <c r="K77">
        <f t="shared" si="22"/>
        <v>0</v>
      </c>
      <c r="M77" s="142">
        <f t="shared" si="9"/>
        <v>0</v>
      </c>
      <c r="N77" s="142">
        <f t="shared" si="10"/>
        <v>0</v>
      </c>
      <c r="O77" s="142">
        <f t="shared" ref="O77:Q77" si="79">H77*3600/(1*10^6)</f>
        <v>44.18163049</v>
      </c>
      <c r="P77" s="142">
        <f t="shared" si="79"/>
        <v>63.11661499</v>
      </c>
      <c r="Q77" s="142">
        <f t="shared" si="79"/>
        <v>74.12739796</v>
      </c>
      <c r="R77" s="142">
        <f t="shared" si="12"/>
        <v>0</v>
      </c>
      <c r="T77">
        <f>Pumps!$F$18*D77/Pumps!$I$4/3600</f>
        <v>17.53239305</v>
      </c>
      <c r="U77">
        <f>IF('Design Specifications'!$C$30="y",Disinfection!G75*Disinfection!$N$3*(1*10^6)/3600,0)</f>
        <v>0</v>
      </c>
      <c r="V77">
        <f t="shared" si="13"/>
        <v>864</v>
      </c>
      <c r="W77">
        <f t="shared" si="18"/>
        <v>3.173516615</v>
      </c>
      <c r="X77">
        <f t="shared" si="14"/>
        <v>3.1104</v>
      </c>
      <c r="Y77">
        <f t="shared" si="15"/>
        <v>0.4581083296</v>
      </c>
    </row>
    <row r="78">
      <c r="A78" s="78" t="s">
        <v>261</v>
      </c>
      <c r="B78" s="78">
        <v>23.8</v>
      </c>
      <c r="C78" s="78">
        <f t="shared" si="3"/>
        <v>2856</v>
      </c>
      <c r="D78">
        <f t="shared" si="4"/>
        <v>2.856</v>
      </c>
      <c r="E78">
        <v>12.0</v>
      </c>
      <c r="F78">
        <f t="shared" si="5"/>
        <v>0</v>
      </c>
      <c r="G78">
        <f t="shared" si="6"/>
        <v>0</v>
      </c>
      <c r="H78">
        <f>C78*Pumps!$F$18/3600</f>
        <v>121704.0284</v>
      </c>
      <c r="I78">
        <f t="shared" si="7"/>
        <v>173862.8978</v>
      </c>
      <c r="J78">
        <f t="shared" si="8"/>
        <v>196181.3668</v>
      </c>
      <c r="K78">
        <f t="shared" si="22"/>
        <v>0</v>
      </c>
      <c r="M78" s="142">
        <f t="shared" si="9"/>
        <v>0</v>
      </c>
      <c r="N78" s="142">
        <f t="shared" si="10"/>
        <v>0</v>
      </c>
      <c r="O78" s="142">
        <f t="shared" ref="O78:Q78" si="80">H78*3600/(1*10^6)</f>
        <v>438.1345024</v>
      </c>
      <c r="P78" s="142">
        <f t="shared" si="80"/>
        <v>625.906432</v>
      </c>
      <c r="Q78" s="142">
        <f t="shared" si="80"/>
        <v>706.2529204</v>
      </c>
      <c r="R78" s="142">
        <f t="shared" si="12"/>
        <v>0</v>
      </c>
      <c r="T78">
        <f>Pumps!$F$18*D78/Pumps!$I$4/3600</f>
        <v>173.8628978</v>
      </c>
      <c r="U78">
        <f>IF('Design Specifications'!$C$30="y",Disinfection!G76*Disinfection!$N$3*(1*10^6)/3600,0)</f>
        <v>0</v>
      </c>
      <c r="V78">
        <f t="shared" si="13"/>
        <v>864</v>
      </c>
      <c r="W78">
        <f t="shared" si="18"/>
        <v>3.736306432</v>
      </c>
      <c r="X78">
        <f t="shared" si="14"/>
        <v>3.1104</v>
      </c>
      <c r="Y78">
        <f t="shared" si="15"/>
        <v>0.4983076023</v>
      </c>
    </row>
    <row r="79">
      <c r="A79" s="78" t="s">
        <v>263</v>
      </c>
      <c r="B79" s="78">
        <v>8.6</v>
      </c>
      <c r="C79" s="78">
        <f t="shared" si="3"/>
        <v>1032</v>
      </c>
      <c r="D79">
        <f t="shared" si="4"/>
        <v>1.032</v>
      </c>
      <c r="E79">
        <v>12.0</v>
      </c>
      <c r="F79">
        <f t="shared" si="5"/>
        <v>0</v>
      </c>
      <c r="G79">
        <f t="shared" si="6"/>
        <v>0</v>
      </c>
      <c r="H79">
        <f>C79*Pumps!$F$18/3600</f>
        <v>43977.08591</v>
      </c>
      <c r="I79">
        <f t="shared" si="7"/>
        <v>62824.40844</v>
      </c>
      <c r="J79">
        <f t="shared" si="8"/>
        <v>71462.93556</v>
      </c>
      <c r="K79">
        <f t="shared" si="22"/>
        <v>0</v>
      </c>
      <c r="M79" s="142">
        <f t="shared" si="9"/>
        <v>0</v>
      </c>
      <c r="N79" s="142">
        <f t="shared" si="10"/>
        <v>0</v>
      </c>
      <c r="O79" s="142">
        <f t="shared" ref="O79:Q79" si="81">H79*3600/(1*10^6)</f>
        <v>158.3175093</v>
      </c>
      <c r="P79" s="142">
        <f t="shared" si="81"/>
        <v>226.1678704</v>
      </c>
      <c r="Q79" s="142">
        <f t="shared" si="81"/>
        <v>257.266568</v>
      </c>
      <c r="R79" s="142">
        <f t="shared" si="12"/>
        <v>0</v>
      </c>
      <c r="T79">
        <f>Pumps!$F$18*D79/Pumps!$I$4/3600</f>
        <v>62.82440844</v>
      </c>
      <c r="U79">
        <f>IF('Design Specifications'!$C$30="y",Disinfection!G77*Disinfection!$N$3*(1*10^6)/3600,0)</f>
        <v>0</v>
      </c>
      <c r="V79">
        <f t="shared" si="13"/>
        <v>864</v>
      </c>
      <c r="W79">
        <f t="shared" si="18"/>
        <v>3.33656787</v>
      </c>
      <c r="X79">
        <f t="shared" si="14"/>
        <v>3.1104</v>
      </c>
      <c r="Y79">
        <f t="shared" si="15"/>
        <v>0.4697548479</v>
      </c>
    </row>
    <row r="80">
      <c r="A80" s="78" t="s">
        <v>265</v>
      </c>
      <c r="B80" s="78">
        <v>34.0</v>
      </c>
      <c r="C80" s="78">
        <f t="shared" si="3"/>
        <v>4080</v>
      </c>
      <c r="D80">
        <f t="shared" si="4"/>
        <v>4.08</v>
      </c>
      <c r="E80">
        <v>12.0</v>
      </c>
      <c r="F80">
        <f t="shared" si="5"/>
        <v>0</v>
      </c>
      <c r="G80">
        <f t="shared" si="6"/>
        <v>0</v>
      </c>
      <c r="H80">
        <f>C80*Pumps!$F$18/3600</f>
        <v>173862.8978</v>
      </c>
      <c r="I80">
        <f t="shared" si="7"/>
        <v>248375.5683</v>
      </c>
      <c r="J80">
        <f t="shared" si="8"/>
        <v>279873.9983</v>
      </c>
      <c r="K80">
        <f t="shared" si="22"/>
        <v>0</v>
      </c>
      <c r="M80" s="142">
        <f t="shared" si="9"/>
        <v>0</v>
      </c>
      <c r="N80" s="142">
        <f t="shared" si="10"/>
        <v>0</v>
      </c>
      <c r="O80" s="142">
        <f t="shared" ref="O80:Q80" si="82">H80*3600/(1*10^6)</f>
        <v>625.906432</v>
      </c>
      <c r="P80" s="142">
        <f t="shared" si="82"/>
        <v>894.1520457</v>
      </c>
      <c r="Q80" s="142">
        <f t="shared" si="82"/>
        <v>1007.546394</v>
      </c>
      <c r="R80" s="142">
        <f t="shared" si="12"/>
        <v>0</v>
      </c>
      <c r="T80">
        <f>Pumps!$F$18*D80/Pumps!$I$4/3600</f>
        <v>248.3755683</v>
      </c>
      <c r="U80">
        <f>IF('Design Specifications'!$C$30="y",Disinfection!G78*Disinfection!$N$3*(1*10^6)/3600,0)</f>
        <v>0</v>
      </c>
      <c r="V80">
        <f t="shared" si="13"/>
        <v>864</v>
      </c>
      <c r="W80">
        <f t="shared" si="18"/>
        <v>4.004552046</v>
      </c>
      <c r="X80">
        <f t="shared" si="14"/>
        <v>3.1104</v>
      </c>
      <c r="Y80">
        <f t="shared" si="15"/>
        <v>0.5174680033</v>
      </c>
    </row>
    <row r="81">
      <c r="A81" s="78" t="s">
        <v>267</v>
      </c>
      <c r="B81" s="78">
        <v>52.4</v>
      </c>
      <c r="C81" s="78">
        <f t="shared" si="3"/>
        <v>6288</v>
      </c>
      <c r="D81">
        <f t="shared" si="4"/>
        <v>6.288</v>
      </c>
      <c r="E81">
        <v>12.0</v>
      </c>
      <c r="F81">
        <f t="shared" si="5"/>
        <v>0</v>
      </c>
      <c r="G81">
        <f t="shared" si="6"/>
        <v>0</v>
      </c>
      <c r="H81">
        <f>C81*Pumps!$F$18/3600</f>
        <v>267953.4072</v>
      </c>
      <c r="I81">
        <f t="shared" si="7"/>
        <v>382790.5817</v>
      </c>
      <c r="J81">
        <f t="shared" si="8"/>
        <v>430848.9413</v>
      </c>
      <c r="K81">
        <f t="shared" si="22"/>
        <v>0</v>
      </c>
      <c r="M81" s="142">
        <f t="shared" si="9"/>
        <v>0</v>
      </c>
      <c r="N81" s="142">
        <f t="shared" si="10"/>
        <v>0</v>
      </c>
      <c r="O81" s="142">
        <f t="shared" ref="O81:Q81" si="83">H81*3600/(1*10^6)</f>
        <v>964.6322658</v>
      </c>
      <c r="P81" s="142">
        <f t="shared" si="83"/>
        <v>1378.046094</v>
      </c>
      <c r="Q81" s="142">
        <f t="shared" si="83"/>
        <v>1551.056189</v>
      </c>
      <c r="R81" s="142">
        <f t="shared" si="12"/>
        <v>0</v>
      </c>
      <c r="T81">
        <f>Pumps!$F$18*D81/Pumps!$I$4/3600</f>
        <v>382.7905817</v>
      </c>
      <c r="U81">
        <f>IF('Design Specifications'!$C$30="y",Disinfection!G79*Disinfection!$N$3*(1*10^6)/3600,0)</f>
        <v>0</v>
      </c>
      <c r="V81">
        <f t="shared" si="13"/>
        <v>864</v>
      </c>
      <c r="W81">
        <f t="shared" si="18"/>
        <v>4.488446094</v>
      </c>
      <c r="X81">
        <f t="shared" si="14"/>
        <v>3.1104</v>
      </c>
      <c r="Y81">
        <f t="shared" si="15"/>
        <v>0.5520318639</v>
      </c>
    </row>
    <row r="82">
      <c r="A82" s="78" t="s">
        <v>269</v>
      </c>
      <c r="B82" s="78">
        <v>10.6</v>
      </c>
      <c r="C82" s="78">
        <f t="shared" si="3"/>
        <v>1272</v>
      </c>
      <c r="D82">
        <f t="shared" si="4"/>
        <v>1.272</v>
      </c>
      <c r="E82">
        <v>12.0</v>
      </c>
      <c r="F82">
        <f t="shared" si="5"/>
        <v>0</v>
      </c>
      <c r="G82">
        <f t="shared" si="6"/>
        <v>0</v>
      </c>
      <c r="H82">
        <f>C82*Pumps!$F$18/3600</f>
        <v>54204.31519</v>
      </c>
      <c r="I82">
        <f t="shared" si="7"/>
        <v>77434.73599</v>
      </c>
      <c r="J82">
        <f t="shared" si="8"/>
        <v>87873.25546</v>
      </c>
      <c r="K82">
        <f t="shared" si="22"/>
        <v>0</v>
      </c>
      <c r="M82" s="142">
        <f t="shared" si="9"/>
        <v>0</v>
      </c>
      <c r="N82" s="142">
        <f t="shared" si="10"/>
        <v>0</v>
      </c>
      <c r="O82" s="142">
        <f t="shared" ref="O82:Q82" si="84">H82*3600/(1*10^6)</f>
        <v>195.1355347</v>
      </c>
      <c r="P82" s="142">
        <f t="shared" si="84"/>
        <v>278.7650495</v>
      </c>
      <c r="Q82" s="142">
        <f t="shared" si="84"/>
        <v>316.3437197</v>
      </c>
      <c r="R82" s="142">
        <f t="shared" si="12"/>
        <v>0</v>
      </c>
      <c r="T82">
        <f>Pumps!$F$18*D82/Pumps!$I$4/3600</f>
        <v>77.43473599</v>
      </c>
      <c r="U82">
        <f>IF('Design Specifications'!$C$30="y",Disinfection!G80*Disinfection!$N$3*(1*10^6)/3600,0)</f>
        <v>0</v>
      </c>
      <c r="V82">
        <f t="shared" si="13"/>
        <v>864</v>
      </c>
      <c r="W82">
        <f t="shared" si="18"/>
        <v>3.38916505</v>
      </c>
      <c r="X82">
        <f t="shared" si="14"/>
        <v>3.1104</v>
      </c>
      <c r="Y82">
        <f t="shared" si="15"/>
        <v>0.4735117893</v>
      </c>
    </row>
    <row r="83">
      <c r="A83" s="78" t="s">
        <v>271</v>
      </c>
      <c r="B83" s="78">
        <v>2.4</v>
      </c>
      <c r="C83" s="78">
        <f t="shared" si="3"/>
        <v>288</v>
      </c>
      <c r="D83">
        <f t="shared" si="4"/>
        <v>0.288</v>
      </c>
      <c r="E83">
        <v>12.0</v>
      </c>
      <c r="F83">
        <f t="shared" si="5"/>
        <v>0</v>
      </c>
      <c r="G83">
        <f t="shared" si="6"/>
        <v>0</v>
      </c>
      <c r="H83">
        <f>C83*Pumps!$F$18/3600</f>
        <v>12272.67514</v>
      </c>
      <c r="I83">
        <f t="shared" si="7"/>
        <v>17532.39305</v>
      </c>
      <c r="J83">
        <f t="shared" si="8"/>
        <v>20590.94388</v>
      </c>
      <c r="K83">
        <f t="shared" si="22"/>
        <v>0</v>
      </c>
      <c r="M83" s="142">
        <f t="shared" si="9"/>
        <v>0</v>
      </c>
      <c r="N83" s="142">
        <f t="shared" si="10"/>
        <v>0</v>
      </c>
      <c r="O83" s="142">
        <f t="shared" ref="O83:Q83" si="85">H83*3600/(1*10^6)</f>
        <v>44.18163049</v>
      </c>
      <c r="P83" s="142">
        <f t="shared" si="85"/>
        <v>63.11661499</v>
      </c>
      <c r="Q83" s="142">
        <f t="shared" si="85"/>
        <v>74.12739796</v>
      </c>
      <c r="R83" s="142">
        <f t="shared" si="12"/>
        <v>0</v>
      </c>
      <c r="T83">
        <f>Pumps!$F$18*D83/Pumps!$I$4/3600</f>
        <v>17.53239305</v>
      </c>
      <c r="U83">
        <f>IF('Design Specifications'!$C$30="y",Disinfection!G81*Disinfection!$N$3*(1*10^6)/3600,0)</f>
        <v>0</v>
      </c>
      <c r="V83">
        <f t="shared" si="13"/>
        <v>864</v>
      </c>
      <c r="W83">
        <f t="shared" si="18"/>
        <v>3.173516615</v>
      </c>
      <c r="X83">
        <f t="shared" si="14"/>
        <v>3.1104</v>
      </c>
      <c r="Y83">
        <f t="shared" si="15"/>
        <v>0.4581083296</v>
      </c>
    </row>
    <row r="84">
      <c r="A84" s="78" t="s">
        <v>273</v>
      </c>
      <c r="B84" s="78">
        <v>0.0</v>
      </c>
      <c r="C84" s="78">
        <f t="shared" si="3"/>
        <v>0</v>
      </c>
      <c r="D84">
        <f t="shared" si="4"/>
        <v>0</v>
      </c>
      <c r="E84">
        <v>12.0</v>
      </c>
      <c r="F84">
        <f t="shared" si="5"/>
        <v>0</v>
      </c>
      <c r="G84">
        <f t="shared" si="6"/>
        <v>0</v>
      </c>
      <c r="H84">
        <f>C84*Pumps!$F$18/3600</f>
        <v>0</v>
      </c>
      <c r="I84">
        <f t="shared" si="7"/>
        <v>0</v>
      </c>
      <c r="J84">
        <f t="shared" si="8"/>
        <v>898.56</v>
      </c>
      <c r="K84">
        <f t="shared" si="22"/>
        <v>0</v>
      </c>
      <c r="M84" s="142">
        <f t="shared" si="9"/>
        <v>0</v>
      </c>
      <c r="N84" s="142">
        <f t="shared" si="10"/>
        <v>0</v>
      </c>
      <c r="O84" s="142">
        <f t="shared" ref="O84:Q84" si="86">H84*3600/(1*10^6)</f>
        <v>0</v>
      </c>
      <c r="P84" s="142">
        <f t="shared" si="86"/>
        <v>0</v>
      </c>
      <c r="Q84" s="142">
        <f t="shared" si="86"/>
        <v>3.234816</v>
      </c>
      <c r="R84" s="142">
        <f t="shared" si="12"/>
        <v>0</v>
      </c>
      <c r="T84">
        <f>Pumps!$F$18*D84/Pumps!$I$4/3600</f>
        <v>0</v>
      </c>
      <c r="U84">
        <f>IF('Design Specifications'!$C$30="y",Disinfection!G82*Disinfection!$N$3*(1*10^6)/3600,0)</f>
        <v>0</v>
      </c>
      <c r="V84">
        <f t="shared" si="13"/>
        <v>864</v>
      </c>
      <c r="W84">
        <f t="shared" si="18"/>
        <v>3.1104</v>
      </c>
      <c r="X84">
        <f t="shared" si="14"/>
        <v>3.1104</v>
      </c>
      <c r="Y84">
        <f t="shared" si="15"/>
        <v>0.4536</v>
      </c>
    </row>
    <row r="85">
      <c r="A85" s="78" t="s">
        <v>275</v>
      </c>
      <c r="B85" s="78">
        <v>2.8</v>
      </c>
      <c r="C85" s="78">
        <f t="shared" si="3"/>
        <v>336</v>
      </c>
      <c r="D85">
        <f t="shared" si="4"/>
        <v>0.336</v>
      </c>
      <c r="E85">
        <v>12.0</v>
      </c>
      <c r="F85">
        <f t="shared" si="5"/>
        <v>0</v>
      </c>
      <c r="G85">
        <f t="shared" si="6"/>
        <v>0</v>
      </c>
      <c r="H85">
        <f>C85*Pumps!$F$18/3600</f>
        <v>14318.12099</v>
      </c>
      <c r="I85">
        <f t="shared" si="7"/>
        <v>20454.45856</v>
      </c>
      <c r="J85">
        <f t="shared" si="8"/>
        <v>23873.00786</v>
      </c>
      <c r="K85">
        <f t="shared" si="22"/>
        <v>0</v>
      </c>
      <c r="M85" s="142">
        <f t="shared" si="9"/>
        <v>0</v>
      </c>
      <c r="N85" s="142">
        <f t="shared" si="10"/>
        <v>0</v>
      </c>
      <c r="O85" s="142">
        <f t="shared" ref="O85:Q85" si="87">H85*3600/(1*10^6)</f>
        <v>51.54523558</v>
      </c>
      <c r="P85" s="142">
        <f t="shared" si="87"/>
        <v>73.63605082</v>
      </c>
      <c r="Q85" s="142">
        <f t="shared" si="87"/>
        <v>85.94282829</v>
      </c>
      <c r="R85" s="142">
        <f t="shared" si="12"/>
        <v>0</v>
      </c>
      <c r="T85">
        <f>Pumps!$F$18*D85/Pumps!$I$4/3600</f>
        <v>20.45445856</v>
      </c>
      <c r="U85">
        <f>IF('Design Specifications'!$C$30="y",Disinfection!G83*Disinfection!$N$3*(1*10^6)/3600,0)</f>
        <v>0</v>
      </c>
      <c r="V85">
        <f t="shared" si="13"/>
        <v>864</v>
      </c>
      <c r="W85">
        <f t="shared" si="18"/>
        <v>3.184036051</v>
      </c>
      <c r="X85">
        <f t="shared" si="14"/>
        <v>3.1104</v>
      </c>
      <c r="Y85">
        <f t="shared" si="15"/>
        <v>0.4588597179</v>
      </c>
    </row>
    <row r="86">
      <c r="A86" s="78" t="s">
        <v>277</v>
      </c>
      <c r="B86" s="78">
        <v>20.2</v>
      </c>
      <c r="C86" s="78">
        <f t="shared" si="3"/>
        <v>2424</v>
      </c>
      <c r="D86">
        <f t="shared" si="4"/>
        <v>2.424</v>
      </c>
      <c r="E86">
        <v>12.0</v>
      </c>
      <c r="F86">
        <f t="shared" si="5"/>
        <v>0</v>
      </c>
      <c r="G86">
        <f t="shared" si="6"/>
        <v>0</v>
      </c>
      <c r="H86">
        <f>C86*Pumps!$F$18/3600</f>
        <v>103295.0157</v>
      </c>
      <c r="I86">
        <f t="shared" si="7"/>
        <v>147564.3082</v>
      </c>
      <c r="J86">
        <f t="shared" si="8"/>
        <v>166642.791</v>
      </c>
      <c r="K86">
        <f t="shared" si="22"/>
        <v>0</v>
      </c>
      <c r="M86" s="142">
        <f t="shared" si="9"/>
        <v>0</v>
      </c>
      <c r="N86" s="142">
        <f t="shared" si="10"/>
        <v>0</v>
      </c>
      <c r="O86" s="142">
        <f t="shared" ref="O86:Q86" si="88">H86*3600/(1*10^6)</f>
        <v>371.8620567</v>
      </c>
      <c r="P86" s="142">
        <f t="shared" si="88"/>
        <v>531.2315095</v>
      </c>
      <c r="Q86" s="142">
        <f t="shared" si="88"/>
        <v>599.9140475</v>
      </c>
      <c r="R86" s="142">
        <f t="shared" si="12"/>
        <v>0</v>
      </c>
      <c r="T86">
        <f>Pumps!$F$18*D86/Pumps!$I$4/3600</f>
        <v>147.5643082</v>
      </c>
      <c r="U86">
        <f>IF('Design Specifications'!$C$30="y",Disinfection!G84*Disinfection!$N$3*(1*10^6)/3600,0)</f>
        <v>0</v>
      </c>
      <c r="V86">
        <f t="shared" si="13"/>
        <v>864</v>
      </c>
      <c r="W86">
        <f t="shared" si="18"/>
        <v>3.64163151</v>
      </c>
      <c r="X86">
        <f t="shared" si="14"/>
        <v>3.1104</v>
      </c>
      <c r="Y86">
        <f t="shared" si="15"/>
        <v>0.4915451078</v>
      </c>
    </row>
    <row r="87">
      <c r="A87" s="78" t="s">
        <v>279</v>
      </c>
      <c r="B87" s="78">
        <v>13.8</v>
      </c>
      <c r="C87" s="78">
        <f t="shared" si="3"/>
        <v>1656</v>
      </c>
      <c r="D87">
        <f t="shared" si="4"/>
        <v>1.656</v>
      </c>
      <c r="E87">
        <v>12.0</v>
      </c>
      <c r="F87">
        <f t="shared" si="5"/>
        <v>0</v>
      </c>
      <c r="G87">
        <f t="shared" si="6"/>
        <v>0</v>
      </c>
      <c r="H87">
        <f>C87*Pumps!$F$18/3600</f>
        <v>70567.88204</v>
      </c>
      <c r="I87">
        <f t="shared" si="7"/>
        <v>100811.2601</v>
      </c>
      <c r="J87">
        <f t="shared" si="8"/>
        <v>114129.7673</v>
      </c>
      <c r="K87">
        <f t="shared" si="22"/>
        <v>0</v>
      </c>
      <c r="M87" s="142">
        <f t="shared" si="9"/>
        <v>0</v>
      </c>
      <c r="N87" s="142">
        <f t="shared" si="10"/>
        <v>0</v>
      </c>
      <c r="O87" s="142">
        <f t="shared" ref="O87:Q87" si="89">H87*3600/(1*10^6)</f>
        <v>254.0443753</v>
      </c>
      <c r="P87" s="142">
        <f t="shared" si="89"/>
        <v>362.9205362</v>
      </c>
      <c r="Q87" s="142">
        <f t="shared" si="89"/>
        <v>410.8671623</v>
      </c>
      <c r="R87" s="142">
        <f t="shared" si="12"/>
        <v>0</v>
      </c>
      <c r="T87">
        <f>Pumps!$F$18*D87/Pumps!$I$4/3600</f>
        <v>100.8112601</v>
      </c>
      <c r="U87">
        <f>IF('Design Specifications'!$C$30="y",Disinfection!G85*Disinfection!$N$3*(1*10^6)/3600,0)</f>
        <v>0</v>
      </c>
      <c r="V87">
        <f t="shared" si="13"/>
        <v>864</v>
      </c>
      <c r="W87">
        <f t="shared" si="18"/>
        <v>3.473320536</v>
      </c>
      <c r="X87">
        <f t="shared" si="14"/>
        <v>3.1104</v>
      </c>
      <c r="Y87">
        <f t="shared" si="15"/>
        <v>0.4795228954</v>
      </c>
    </row>
    <row r="88">
      <c r="A88" s="78" t="s">
        <v>281</v>
      </c>
      <c r="B88" s="78">
        <v>22.8</v>
      </c>
      <c r="C88" s="78">
        <f t="shared" si="3"/>
        <v>2736</v>
      </c>
      <c r="D88">
        <f t="shared" si="4"/>
        <v>2.736</v>
      </c>
      <c r="E88">
        <v>12.0</v>
      </c>
      <c r="F88">
        <f t="shared" si="5"/>
        <v>0</v>
      </c>
      <c r="G88">
        <f t="shared" si="6"/>
        <v>0</v>
      </c>
      <c r="H88">
        <f>C88*Pumps!$F$18/3600</f>
        <v>116590.4138</v>
      </c>
      <c r="I88">
        <f t="shared" si="7"/>
        <v>166557.734</v>
      </c>
      <c r="J88">
        <f t="shared" si="8"/>
        <v>187976.2068</v>
      </c>
      <c r="K88">
        <f t="shared" si="22"/>
        <v>0</v>
      </c>
      <c r="M88" s="142">
        <f t="shared" si="9"/>
        <v>0</v>
      </c>
      <c r="N88" s="142">
        <f t="shared" si="10"/>
        <v>0</v>
      </c>
      <c r="O88" s="142">
        <f t="shared" ref="O88:Q88" si="90">H88*3600/(1*10^6)</f>
        <v>419.7254897</v>
      </c>
      <c r="P88" s="142">
        <f t="shared" si="90"/>
        <v>599.6078424</v>
      </c>
      <c r="Q88" s="142">
        <f t="shared" si="90"/>
        <v>676.7143446</v>
      </c>
      <c r="R88" s="142">
        <f t="shared" si="12"/>
        <v>0</v>
      </c>
      <c r="T88">
        <f>Pumps!$F$18*D88/Pumps!$I$4/3600</f>
        <v>166.557734</v>
      </c>
      <c r="U88">
        <f>IF('Design Specifications'!$C$30="y",Disinfection!G86*Disinfection!$N$3*(1*10^6)/3600,0)</f>
        <v>0</v>
      </c>
      <c r="V88">
        <f t="shared" si="13"/>
        <v>864</v>
      </c>
      <c r="W88">
        <f t="shared" si="18"/>
        <v>3.710007842</v>
      </c>
      <c r="X88">
        <f t="shared" si="14"/>
        <v>3.1104</v>
      </c>
      <c r="Y88">
        <f t="shared" si="15"/>
        <v>0.4964291316</v>
      </c>
    </row>
    <row r="89">
      <c r="A89" s="78" t="s">
        <v>283</v>
      </c>
      <c r="B89" s="78">
        <v>5.4</v>
      </c>
      <c r="C89" s="78">
        <f t="shared" si="3"/>
        <v>648</v>
      </c>
      <c r="D89">
        <f t="shared" si="4"/>
        <v>0.648</v>
      </c>
      <c r="E89">
        <v>12.0</v>
      </c>
      <c r="F89">
        <f t="shared" si="5"/>
        <v>0</v>
      </c>
      <c r="G89">
        <f t="shared" si="6"/>
        <v>0</v>
      </c>
      <c r="H89">
        <f>C89*Pumps!$F$18/3600</f>
        <v>27613.51906</v>
      </c>
      <c r="I89">
        <f t="shared" si="7"/>
        <v>39447.88437</v>
      </c>
      <c r="J89">
        <f t="shared" si="8"/>
        <v>45206.42372</v>
      </c>
      <c r="K89">
        <f t="shared" si="22"/>
        <v>0</v>
      </c>
      <c r="M89" s="142">
        <f t="shared" si="9"/>
        <v>0</v>
      </c>
      <c r="N89" s="142">
        <f t="shared" si="10"/>
        <v>0</v>
      </c>
      <c r="O89" s="142">
        <f t="shared" ref="O89:Q89" si="91">H89*3600/(1*10^6)</f>
        <v>99.40866861</v>
      </c>
      <c r="P89" s="142">
        <f t="shared" si="91"/>
        <v>142.0123837</v>
      </c>
      <c r="Q89" s="142">
        <f t="shared" si="91"/>
        <v>162.7431254</v>
      </c>
      <c r="R89" s="142">
        <f t="shared" si="12"/>
        <v>0</v>
      </c>
      <c r="T89">
        <f>Pumps!$F$18*D89/Pumps!$I$4/3600</f>
        <v>39.44788437</v>
      </c>
      <c r="U89">
        <f>IF('Design Specifications'!$C$30="y",Disinfection!G87*Disinfection!$N$3*(1*10^6)/3600,0)</f>
        <v>0</v>
      </c>
      <c r="V89">
        <f t="shared" si="13"/>
        <v>864</v>
      </c>
      <c r="W89">
        <f t="shared" si="18"/>
        <v>3.252412384</v>
      </c>
      <c r="X89">
        <f t="shared" si="14"/>
        <v>3.1104</v>
      </c>
      <c r="Y89">
        <f t="shared" si="15"/>
        <v>0.4637437417</v>
      </c>
    </row>
    <row r="90">
      <c r="A90" s="78" t="s">
        <v>285</v>
      </c>
      <c r="B90" s="78">
        <v>0.4</v>
      </c>
      <c r="C90" s="78">
        <f t="shared" si="3"/>
        <v>48</v>
      </c>
      <c r="D90">
        <f t="shared" si="4"/>
        <v>0.048</v>
      </c>
      <c r="E90">
        <v>12.0</v>
      </c>
      <c r="F90">
        <f t="shared" si="5"/>
        <v>0</v>
      </c>
      <c r="G90">
        <f t="shared" si="6"/>
        <v>0</v>
      </c>
      <c r="H90">
        <f>C90*Pumps!$F$18/3600</f>
        <v>2045.445856</v>
      </c>
      <c r="I90">
        <f t="shared" si="7"/>
        <v>2922.065509</v>
      </c>
      <c r="J90">
        <f t="shared" si="8"/>
        <v>4180.62398</v>
      </c>
      <c r="K90">
        <f t="shared" si="22"/>
        <v>0</v>
      </c>
      <c r="M90" s="142">
        <f t="shared" si="9"/>
        <v>0</v>
      </c>
      <c r="N90" s="142">
        <f t="shared" si="10"/>
        <v>0</v>
      </c>
      <c r="O90" s="142">
        <f t="shared" ref="O90:Q90" si="92">H90*3600/(1*10^6)</f>
        <v>7.363605082</v>
      </c>
      <c r="P90" s="142">
        <f t="shared" si="92"/>
        <v>10.51943583</v>
      </c>
      <c r="Q90" s="142">
        <f t="shared" si="92"/>
        <v>15.05024633</v>
      </c>
      <c r="R90" s="142">
        <f t="shared" si="12"/>
        <v>0</v>
      </c>
      <c r="T90">
        <f>Pumps!$F$18*D90/Pumps!$I$4/3600</f>
        <v>2.922065509</v>
      </c>
      <c r="U90">
        <f>IF('Design Specifications'!$C$30="y",Disinfection!G88*Disinfection!$N$3*(1*10^6)/3600,0)</f>
        <v>0</v>
      </c>
      <c r="V90">
        <f t="shared" si="13"/>
        <v>864</v>
      </c>
      <c r="W90">
        <f t="shared" si="18"/>
        <v>3.120919436</v>
      </c>
      <c r="X90">
        <f t="shared" si="14"/>
        <v>3.1104</v>
      </c>
      <c r="Y90">
        <f t="shared" si="15"/>
        <v>0.4543513883</v>
      </c>
    </row>
    <row r="91">
      <c r="A91" s="78" t="s">
        <v>287</v>
      </c>
      <c r="B91" s="78">
        <v>31.0</v>
      </c>
      <c r="C91" s="78">
        <f t="shared" si="3"/>
        <v>3720</v>
      </c>
      <c r="D91">
        <f t="shared" si="4"/>
        <v>3.72</v>
      </c>
      <c r="E91">
        <v>12.0</v>
      </c>
      <c r="F91">
        <f t="shared" si="5"/>
        <v>0</v>
      </c>
      <c r="G91">
        <f t="shared" si="6"/>
        <v>0</v>
      </c>
      <c r="H91">
        <f>C91*Pumps!$F$18/3600</f>
        <v>158522.0539</v>
      </c>
      <c r="I91">
        <f t="shared" si="7"/>
        <v>226460.0769</v>
      </c>
      <c r="J91">
        <f t="shared" si="8"/>
        <v>255258.5184</v>
      </c>
      <c r="K91">
        <f t="shared" si="22"/>
        <v>0</v>
      </c>
      <c r="M91" s="142">
        <f t="shared" si="9"/>
        <v>0</v>
      </c>
      <c r="N91" s="142">
        <f t="shared" si="10"/>
        <v>0</v>
      </c>
      <c r="O91" s="142">
        <f t="shared" ref="O91:Q91" si="93">H91*3600/(1*10^6)</f>
        <v>570.6793939</v>
      </c>
      <c r="P91" s="142">
        <f t="shared" si="93"/>
        <v>815.256277</v>
      </c>
      <c r="Q91" s="142">
        <f t="shared" si="93"/>
        <v>918.9306663</v>
      </c>
      <c r="R91" s="142">
        <f t="shared" si="12"/>
        <v>0</v>
      </c>
      <c r="T91">
        <f>Pumps!$F$18*D91/Pumps!$I$4/3600</f>
        <v>226.4600769</v>
      </c>
      <c r="U91">
        <f>IF('Design Specifications'!$C$30="y",Disinfection!G89*Disinfection!$N$3*(1*10^6)/3600,0)</f>
        <v>0</v>
      </c>
      <c r="V91">
        <f t="shared" si="13"/>
        <v>864</v>
      </c>
      <c r="W91">
        <f t="shared" si="18"/>
        <v>3.925656277</v>
      </c>
      <c r="X91">
        <f t="shared" si="14"/>
        <v>3.1104</v>
      </c>
      <c r="Y91">
        <f t="shared" si="15"/>
        <v>0.5118325912</v>
      </c>
    </row>
    <row r="92">
      <c r="A92" s="78" t="s">
        <v>289</v>
      </c>
      <c r="B92" s="78">
        <v>1.6</v>
      </c>
      <c r="C92" s="78">
        <f t="shared" si="3"/>
        <v>192</v>
      </c>
      <c r="D92">
        <f t="shared" si="4"/>
        <v>0.192</v>
      </c>
      <c r="E92">
        <v>12.0</v>
      </c>
      <c r="F92">
        <f t="shared" si="5"/>
        <v>0</v>
      </c>
      <c r="G92">
        <f t="shared" si="6"/>
        <v>0</v>
      </c>
      <c r="H92">
        <f>C92*Pumps!$F$18/3600</f>
        <v>8181.783425</v>
      </c>
      <c r="I92">
        <f t="shared" si="7"/>
        <v>11688.26204</v>
      </c>
      <c r="J92">
        <f t="shared" si="8"/>
        <v>14026.81592</v>
      </c>
      <c r="K92">
        <f t="shared" si="22"/>
        <v>0</v>
      </c>
      <c r="M92" s="142">
        <f t="shared" si="9"/>
        <v>0</v>
      </c>
      <c r="N92" s="142">
        <f t="shared" si="10"/>
        <v>0</v>
      </c>
      <c r="O92" s="142">
        <f t="shared" ref="O92:Q92" si="94">H92*3600/(1*10^6)</f>
        <v>29.45442033</v>
      </c>
      <c r="P92" s="142">
        <f t="shared" si="94"/>
        <v>42.07774333</v>
      </c>
      <c r="Q92" s="142">
        <f t="shared" si="94"/>
        <v>50.49653731</v>
      </c>
      <c r="R92" s="142">
        <f t="shared" si="12"/>
        <v>0</v>
      </c>
      <c r="T92">
        <f>Pumps!$F$18*D92/Pumps!$I$4/3600</f>
        <v>11.68826204</v>
      </c>
      <c r="U92">
        <f>IF('Design Specifications'!$C$30="y",Disinfection!G90*Disinfection!$N$3*(1*10^6)/3600,0)</f>
        <v>0</v>
      </c>
      <c r="V92">
        <f t="shared" si="13"/>
        <v>864</v>
      </c>
      <c r="W92">
        <f t="shared" si="18"/>
        <v>3.152477743</v>
      </c>
      <c r="X92">
        <f t="shared" si="14"/>
        <v>3.1104</v>
      </c>
      <c r="Y92">
        <f t="shared" si="15"/>
        <v>0.4566055531</v>
      </c>
    </row>
    <row r="93">
      <c r="A93" s="78" t="s">
        <v>291</v>
      </c>
      <c r="B93" s="78">
        <v>1.6</v>
      </c>
      <c r="C93" s="78">
        <f t="shared" si="3"/>
        <v>192</v>
      </c>
      <c r="D93">
        <f t="shared" si="4"/>
        <v>0.192</v>
      </c>
      <c r="E93">
        <v>12.0</v>
      </c>
      <c r="F93">
        <f t="shared" si="5"/>
        <v>0</v>
      </c>
      <c r="G93">
        <f t="shared" si="6"/>
        <v>0</v>
      </c>
      <c r="H93">
        <f>C93*Pumps!$F$18/3600</f>
        <v>8181.783425</v>
      </c>
      <c r="I93">
        <f t="shared" si="7"/>
        <v>11688.26204</v>
      </c>
      <c r="J93">
        <f t="shared" si="8"/>
        <v>14026.81592</v>
      </c>
      <c r="K93">
        <f t="shared" si="22"/>
        <v>0</v>
      </c>
      <c r="M93" s="142">
        <f t="shared" si="9"/>
        <v>0</v>
      </c>
      <c r="N93" s="142">
        <f t="shared" si="10"/>
        <v>0</v>
      </c>
      <c r="O93" s="142">
        <f t="shared" ref="O93:Q93" si="95">H93*3600/(1*10^6)</f>
        <v>29.45442033</v>
      </c>
      <c r="P93" s="142">
        <f t="shared" si="95"/>
        <v>42.07774333</v>
      </c>
      <c r="Q93" s="142">
        <f t="shared" si="95"/>
        <v>50.49653731</v>
      </c>
      <c r="R93" s="142">
        <f t="shared" si="12"/>
        <v>0</v>
      </c>
      <c r="T93">
        <f>Pumps!$F$18*D93/Pumps!$I$4/3600</f>
        <v>11.68826204</v>
      </c>
      <c r="U93">
        <f>IF('Design Specifications'!$C$30="y",Disinfection!G91*Disinfection!$N$3*(1*10^6)/3600,0)</f>
        <v>0</v>
      </c>
      <c r="V93">
        <f t="shared" si="13"/>
        <v>864</v>
      </c>
      <c r="W93">
        <f t="shared" si="18"/>
        <v>3.152477743</v>
      </c>
      <c r="X93">
        <f t="shared" si="14"/>
        <v>3.1104</v>
      </c>
      <c r="Y93">
        <f t="shared" si="15"/>
        <v>0.4566055531</v>
      </c>
    </row>
    <row r="94">
      <c r="A94" s="78" t="s">
        <v>293</v>
      </c>
      <c r="B94" s="78">
        <v>7.6</v>
      </c>
      <c r="C94" s="78">
        <f t="shared" si="3"/>
        <v>912</v>
      </c>
      <c r="D94">
        <f t="shared" si="4"/>
        <v>0.912</v>
      </c>
      <c r="E94">
        <v>12.0</v>
      </c>
      <c r="F94">
        <f t="shared" si="5"/>
        <v>0</v>
      </c>
      <c r="G94">
        <f t="shared" si="6"/>
        <v>0</v>
      </c>
      <c r="H94">
        <f>C94*Pumps!$F$18/3600</f>
        <v>38863.47127</v>
      </c>
      <c r="I94">
        <f t="shared" si="7"/>
        <v>55519.24467</v>
      </c>
      <c r="J94">
        <f t="shared" si="8"/>
        <v>63257.77561</v>
      </c>
      <c r="K94">
        <f t="shared" si="22"/>
        <v>0</v>
      </c>
      <c r="M94" s="142">
        <f t="shared" si="9"/>
        <v>0</v>
      </c>
      <c r="N94" s="142">
        <f t="shared" si="10"/>
        <v>0</v>
      </c>
      <c r="O94" s="142">
        <f t="shared" ref="O94:Q94" si="96">H94*3600/(1*10^6)</f>
        <v>139.9084966</v>
      </c>
      <c r="P94" s="142">
        <f t="shared" si="96"/>
        <v>199.8692808</v>
      </c>
      <c r="Q94" s="142">
        <f t="shared" si="96"/>
        <v>227.7279922</v>
      </c>
      <c r="R94" s="142">
        <f t="shared" si="12"/>
        <v>0</v>
      </c>
      <c r="T94">
        <f>Pumps!$F$18*D94/Pumps!$I$4/3600</f>
        <v>55.51924467</v>
      </c>
      <c r="U94">
        <f>IF('Design Specifications'!$C$30="y",Disinfection!G92*Disinfection!$N$3*(1*10^6)/3600,0)</f>
        <v>0</v>
      </c>
      <c r="V94">
        <f t="shared" si="13"/>
        <v>864</v>
      </c>
      <c r="W94">
        <f t="shared" si="18"/>
        <v>3.310269281</v>
      </c>
      <c r="X94">
        <f t="shared" si="14"/>
        <v>3.1104</v>
      </c>
      <c r="Y94">
        <f t="shared" si="15"/>
        <v>0.4678763772</v>
      </c>
    </row>
    <row r="95">
      <c r="A95" s="78" t="s">
        <v>295</v>
      </c>
      <c r="B95" s="78">
        <v>2.6</v>
      </c>
      <c r="C95" s="78">
        <f t="shared" si="3"/>
        <v>312</v>
      </c>
      <c r="D95">
        <f t="shared" si="4"/>
        <v>0.312</v>
      </c>
      <c r="E95">
        <v>12.0</v>
      </c>
      <c r="F95">
        <f t="shared" si="5"/>
        <v>0</v>
      </c>
      <c r="G95">
        <f t="shared" si="6"/>
        <v>0</v>
      </c>
      <c r="H95">
        <f>C95*Pumps!$F$18/3600</f>
        <v>13295.39807</v>
      </c>
      <c r="I95">
        <f t="shared" si="7"/>
        <v>18993.42581</v>
      </c>
      <c r="J95">
        <f t="shared" si="8"/>
        <v>22231.97587</v>
      </c>
      <c r="K95">
        <f t="shared" si="22"/>
        <v>0</v>
      </c>
      <c r="M95" s="142">
        <f t="shared" si="9"/>
        <v>0</v>
      </c>
      <c r="N95" s="142">
        <f t="shared" si="10"/>
        <v>0</v>
      </c>
      <c r="O95" s="142">
        <f t="shared" ref="O95:Q95" si="97">H95*3600/(1*10^6)</f>
        <v>47.86343304</v>
      </c>
      <c r="P95" s="142">
        <f t="shared" si="97"/>
        <v>68.37633291</v>
      </c>
      <c r="Q95" s="142">
        <f t="shared" si="97"/>
        <v>80.03511312</v>
      </c>
      <c r="R95" s="142">
        <f t="shared" si="12"/>
        <v>0</v>
      </c>
      <c r="T95">
        <f>Pumps!$F$18*D95/Pumps!$I$4/3600</f>
        <v>18.99342581</v>
      </c>
      <c r="U95">
        <f>IF('Design Specifications'!$C$30="y",Disinfection!G93*Disinfection!$N$3*(1*10^6)/3600,0)</f>
        <v>0</v>
      </c>
      <c r="V95">
        <f t="shared" si="13"/>
        <v>864</v>
      </c>
      <c r="W95">
        <f t="shared" si="18"/>
        <v>3.178776333</v>
      </c>
      <c r="X95">
        <f t="shared" si="14"/>
        <v>3.1104</v>
      </c>
      <c r="Y95">
        <f t="shared" si="15"/>
        <v>0.4584840238</v>
      </c>
    </row>
    <row r="96">
      <c r="A96" s="78" t="s">
        <v>297</v>
      </c>
      <c r="B96" s="78">
        <v>0.0</v>
      </c>
      <c r="C96" s="78">
        <f t="shared" si="3"/>
        <v>0</v>
      </c>
      <c r="D96">
        <f t="shared" si="4"/>
        <v>0</v>
      </c>
      <c r="E96">
        <v>12.0</v>
      </c>
      <c r="F96">
        <f t="shared" si="5"/>
        <v>0</v>
      </c>
      <c r="G96">
        <f t="shared" si="6"/>
        <v>0</v>
      </c>
      <c r="H96">
        <f>C96*Pumps!$F$18/3600</f>
        <v>0</v>
      </c>
      <c r="I96">
        <f t="shared" si="7"/>
        <v>0</v>
      </c>
      <c r="J96">
        <f t="shared" si="8"/>
        <v>898.56</v>
      </c>
      <c r="K96">
        <f t="shared" si="22"/>
        <v>0</v>
      </c>
      <c r="M96" s="142">
        <f t="shared" si="9"/>
        <v>0</v>
      </c>
      <c r="N96" s="142">
        <f t="shared" si="10"/>
        <v>0</v>
      </c>
      <c r="O96" s="142">
        <f t="shared" ref="O96:Q96" si="98">H96*3600/(1*10^6)</f>
        <v>0</v>
      </c>
      <c r="P96" s="142">
        <f t="shared" si="98"/>
        <v>0</v>
      </c>
      <c r="Q96" s="142">
        <f t="shared" si="98"/>
        <v>3.234816</v>
      </c>
      <c r="R96" s="142">
        <f t="shared" si="12"/>
        <v>0</v>
      </c>
      <c r="T96">
        <f>Pumps!$F$18*D96/Pumps!$I$4/3600</f>
        <v>0</v>
      </c>
      <c r="U96">
        <f>IF('Design Specifications'!$C$30="y",Disinfection!G94*Disinfection!$N$3*(1*10^6)/3600,0)</f>
        <v>0</v>
      </c>
      <c r="V96">
        <f t="shared" si="13"/>
        <v>864</v>
      </c>
      <c r="W96">
        <f t="shared" si="18"/>
        <v>3.1104</v>
      </c>
      <c r="X96">
        <f t="shared" si="14"/>
        <v>3.1104</v>
      </c>
      <c r="Y96">
        <f t="shared" si="15"/>
        <v>0.4536</v>
      </c>
    </row>
    <row r="97">
      <c r="A97" s="78" t="s">
        <v>299</v>
      </c>
      <c r="B97" s="78">
        <v>4.0</v>
      </c>
      <c r="C97" s="78">
        <f t="shared" si="3"/>
        <v>480</v>
      </c>
      <c r="D97">
        <f t="shared" si="4"/>
        <v>0.48</v>
      </c>
      <c r="E97">
        <v>12.0</v>
      </c>
      <c r="F97">
        <f t="shared" si="5"/>
        <v>0</v>
      </c>
      <c r="G97">
        <f t="shared" si="6"/>
        <v>0</v>
      </c>
      <c r="H97">
        <f>C97*Pumps!$F$18/3600</f>
        <v>20454.45856</v>
      </c>
      <c r="I97">
        <f t="shared" si="7"/>
        <v>29220.65509</v>
      </c>
      <c r="J97">
        <f t="shared" si="8"/>
        <v>33719.1998</v>
      </c>
      <c r="K97">
        <f t="shared" si="22"/>
        <v>0</v>
      </c>
      <c r="M97" s="142">
        <f t="shared" si="9"/>
        <v>0</v>
      </c>
      <c r="N97" s="142">
        <f t="shared" si="10"/>
        <v>0</v>
      </c>
      <c r="O97" s="142">
        <f t="shared" ref="O97:Q97" si="99">H97*3600/(1*10^6)</f>
        <v>73.63605082</v>
      </c>
      <c r="P97" s="142">
        <f t="shared" si="99"/>
        <v>105.1943583</v>
      </c>
      <c r="Q97" s="142">
        <f t="shared" si="99"/>
        <v>121.3891193</v>
      </c>
      <c r="R97" s="142">
        <f t="shared" si="12"/>
        <v>0</v>
      </c>
      <c r="T97">
        <f>Pumps!$F$18*D97/Pumps!$I$4/3600</f>
        <v>29.22065509</v>
      </c>
      <c r="U97">
        <f>IF('Design Specifications'!$C$30="y",Disinfection!G95*Disinfection!$N$3*(1*10^6)/3600,0)</f>
        <v>0</v>
      </c>
      <c r="V97">
        <f t="shared" si="13"/>
        <v>864</v>
      </c>
      <c r="W97">
        <f t="shared" si="18"/>
        <v>3.215594358</v>
      </c>
      <c r="X97">
        <f t="shared" si="14"/>
        <v>3.1104</v>
      </c>
      <c r="Y97">
        <f t="shared" si="15"/>
        <v>0.4611138827</v>
      </c>
    </row>
    <row r="98">
      <c r="A98" s="78" t="s">
        <v>301</v>
      </c>
      <c r="B98" s="78">
        <v>31.0</v>
      </c>
      <c r="C98" s="78">
        <f t="shared" si="3"/>
        <v>3720</v>
      </c>
      <c r="D98">
        <f t="shared" si="4"/>
        <v>3.72</v>
      </c>
      <c r="E98">
        <v>12.0</v>
      </c>
      <c r="F98">
        <f t="shared" si="5"/>
        <v>0</v>
      </c>
      <c r="G98">
        <f t="shared" si="6"/>
        <v>0</v>
      </c>
      <c r="H98">
        <f>C98*Pumps!$F$18/3600</f>
        <v>158522.0539</v>
      </c>
      <c r="I98">
        <f t="shared" si="7"/>
        <v>226460.0769</v>
      </c>
      <c r="J98">
        <f t="shared" si="8"/>
        <v>255258.5184</v>
      </c>
      <c r="K98">
        <f t="shared" si="22"/>
        <v>0</v>
      </c>
      <c r="M98" s="142">
        <f t="shared" si="9"/>
        <v>0</v>
      </c>
      <c r="N98" s="142">
        <f t="shared" si="10"/>
        <v>0</v>
      </c>
      <c r="O98" s="142">
        <f t="shared" ref="O98:Q98" si="100">H98*3600/(1*10^6)</f>
        <v>570.6793939</v>
      </c>
      <c r="P98" s="142">
        <f t="shared" si="100"/>
        <v>815.256277</v>
      </c>
      <c r="Q98" s="142">
        <f t="shared" si="100"/>
        <v>918.9306663</v>
      </c>
      <c r="R98" s="142">
        <f t="shared" si="12"/>
        <v>0</v>
      </c>
      <c r="T98">
        <f>Pumps!$F$18*D98/Pumps!$I$4/3600</f>
        <v>226.4600769</v>
      </c>
      <c r="U98">
        <f>IF('Design Specifications'!$C$30="y",Disinfection!G96*Disinfection!$N$3*(1*10^6)/3600,0)</f>
        <v>0</v>
      </c>
      <c r="V98">
        <f t="shared" si="13"/>
        <v>864</v>
      </c>
      <c r="W98">
        <f t="shared" si="18"/>
        <v>3.925656277</v>
      </c>
      <c r="X98">
        <f t="shared" si="14"/>
        <v>3.1104</v>
      </c>
      <c r="Y98">
        <f t="shared" si="15"/>
        <v>0.5118325912</v>
      </c>
    </row>
    <row r="99">
      <c r="A99" s="78" t="s">
        <v>303</v>
      </c>
      <c r="B99" s="78">
        <v>0.2</v>
      </c>
      <c r="C99" s="78">
        <f t="shared" si="3"/>
        <v>24</v>
      </c>
      <c r="D99">
        <f t="shared" si="4"/>
        <v>0.024</v>
      </c>
      <c r="E99">
        <v>12.0</v>
      </c>
      <c r="F99">
        <f t="shared" si="5"/>
        <v>0</v>
      </c>
      <c r="G99">
        <f t="shared" si="6"/>
        <v>0</v>
      </c>
      <c r="H99">
        <f>C99*Pumps!$F$18/3600</f>
        <v>1022.722928</v>
      </c>
      <c r="I99">
        <f t="shared" si="7"/>
        <v>1461.032754</v>
      </c>
      <c r="J99">
        <f t="shared" si="8"/>
        <v>2539.59199</v>
      </c>
      <c r="K99">
        <f t="shared" si="22"/>
        <v>0</v>
      </c>
      <c r="M99" s="142">
        <f t="shared" si="9"/>
        <v>0</v>
      </c>
      <c r="N99" s="142">
        <f t="shared" si="10"/>
        <v>0</v>
      </c>
      <c r="O99" s="142">
        <f t="shared" ref="O99:Q99" si="101">H99*3600/(1*10^6)</f>
        <v>3.681802541</v>
      </c>
      <c r="P99" s="142">
        <f t="shared" si="101"/>
        <v>5.259717916</v>
      </c>
      <c r="Q99" s="142">
        <f t="shared" si="101"/>
        <v>9.142531163</v>
      </c>
      <c r="R99" s="142">
        <f t="shared" si="12"/>
        <v>0</v>
      </c>
      <c r="T99">
        <f>Pumps!$F$18*D99/Pumps!$I$4/3600</f>
        <v>1.461032754</v>
      </c>
      <c r="U99">
        <f>IF('Design Specifications'!$C$30="y",Disinfection!G97*Disinfection!$N$3*(1*10^6)/3600,0)</f>
        <v>0</v>
      </c>
      <c r="V99">
        <f t="shared" si="13"/>
        <v>864</v>
      </c>
      <c r="W99">
        <f t="shared" si="18"/>
        <v>3.115659718</v>
      </c>
      <c r="X99">
        <f t="shared" si="14"/>
        <v>3.1104</v>
      </c>
      <c r="Y99">
        <f t="shared" si="15"/>
        <v>0.4539756941</v>
      </c>
    </row>
    <row r="100">
      <c r="A100" s="78" t="s">
        <v>305</v>
      </c>
      <c r="B100" s="78">
        <v>4.4</v>
      </c>
      <c r="C100" s="78">
        <f t="shared" si="3"/>
        <v>528</v>
      </c>
      <c r="D100">
        <f t="shared" si="4"/>
        <v>0.528</v>
      </c>
      <c r="E100">
        <v>12.0</v>
      </c>
      <c r="F100">
        <f t="shared" si="5"/>
        <v>0</v>
      </c>
      <c r="G100">
        <f t="shared" si="6"/>
        <v>0</v>
      </c>
      <c r="H100">
        <f>C100*Pumps!$F$18/3600</f>
        <v>22499.90442</v>
      </c>
      <c r="I100">
        <f t="shared" si="7"/>
        <v>32142.7206</v>
      </c>
      <c r="J100">
        <f t="shared" si="8"/>
        <v>37001.26378</v>
      </c>
      <c r="K100">
        <f t="shared" si="22"/>
        <v>0</v>
      </c>
      <c r="M100" s="142">
        <f t="shared" si="9"/>
        <v>0</v>
      </c>
      <c r="N100" s="142">
        <f t="shared" si="10"/>
        <v>0</v>
      </c>
      <c r="O100" s="142">
        <f t="shared" ref="O100:Q100" si="102">H100*3600/(1*10^6)</f>
        <v>80.99965591</v>
      </c>
      <c r="P100" s="142">
        <f t="shared" si="102"/>
        <v>115.7137942</v>
      </c>
      <c r="Q100" s="142">
        <f t="shared" si="102"/>
        <v>133.2045496</v>
      </c>
      <c r="R100" s="142">
        <f t="shared" si="12"/>
        <v>0</v>
      </c>
      <c r="T100">
        <f>Pumps!$F$18*D100/Pumps!$I$4/3600</f>
        <v>32.1427206</v>
      </c>
      <c r="U100">
        <f>IF('Design Specifications'!$C$30="y",Disinfection!G98*Disinfection!$N$3*(1*10^6)/3600,0)</f>
        <v>0</v>
      </c>
      <c r="V100">
        <f t="shared" si="13"/>
        <v>864</v>
      </c>
      <c r="W100">
        <f t="shared" si="18"/>
        <v>3.226113794</v>
      </c>
      <c r="X100">
        <f t="shared" si="14"/>
        <v>3.1104</v>
      </c>
      <c r="Y100">
        <f t="shared" si="15"/>
        <v>0.461865271</v>
      </c>
    </row>
    <row r="101">
      <c r="A101" s="78" t="s">
        <v>307</v>
      </c>
      <c r="B101" s="78">
        <v>23.6</v>
      </c>
      <c r="C101" s="78">
        <f t="shared" si="3"/>
        <v>2832</v>
      </c>
      <c r="D101">
        <f t="shared" si="4"/>
        <v>2.832</v>
      </c>
      <c r="E101">
        <v>12.0</v>
      </c>
      <c r="F101">
        <f t="shared" si="5"/>
        <v>0</v>
      </c>
      <c r="G101">
        <f t="shared" si="6"/>
        <v>0</v>
      </c>
      <c r="H101">
        <f>C101*Pumps!$F$18/3600</f>
        <v>120681.3055</v>
      </c>
      <c r="I101">
        <f t="shared" si="7"/>
        <v>172401.865</v>
      </c>
      <c r="J101">
        <f t="shared" si="8"/>
        <v>194540.3348</v>
      </c>
      <c r="K101">
        <f t="shared" si="22"/>
        <v>0</v>
      </c>
      <c r="M101" s="142">
        <f t="shared" si="9"/>
        <v>0</v>
      </c>
      <c r="N101" s="142">
        <f t="shared" si="10"/>
        <v>0</v>
      </c>
      <c r="O101" s="142">
        <f t="shared" ref="O101:Q101" si="103">H101*3600/(1*10^6)</f>
        <v>434.4526999</v>
      </c>
      <c r="P101" s="142">
        <f t="shared" si="103"/>
        <v>620.6467141</v>
      </c>
      <c r="Q101" s="142">
        <f t="shared" si="103"/>
        <v>700.3452053</v>
      </c>
      <c r="R101" s="142">
        <f t="shared" si="12"/>
        <v>0</v>
      </c>
      <c r="T101">
        <f>Pumps!$F$18*D101/Pumps!$I$4/3600</f>
        <v>172.401865</v>
      </c>
      <c r="U101">
        <f>IF('Design Specifications'!$C$30="y",Disinfection!G99*Disinfection!$N$3*(1*10^6)/3600,0)</f>
        <v>0</v>
      </c>
      <c r="V101">
        <f t="shared" si="13"/>
        <v>864</v>
      </c>
      <c r="W101">
        <f t="shared" si="18"/>
        <v>3.731046714</v>
      </c>
      <c r="X101">
        <f t="shared" si="14"/>
        <v>3.1104</v>
      </c>
      <c r="Y101">
        <f t="shared" si="15"/>
        <v>0.4979319081</v>
      </c>
    </row>
    <row r="102">
      <c r="A102" s="78" t="s">
        <v>309</v>
      </c>
      <c r="B102" s="78">
        <v>41.6</v>
      </c>
      <c r="C102" s="78">
        <f t="shared" si="3"/>
        <v>4992</v>
      </c>
      <c r="D102">
        <f t="shared" si="4"/>
        <v>4.992</v>
      </c>
      <c r="E102">
        <v>12.0</v>
      </c>
      <c r="F102">
        <f t="shared" si="5"/>
        <v>0</v>
      </c>
      <c r="G102">
        <f t="shared" si="6"/>
        <v>0</v>
      </c>
      <c r="H102">
        <f>C102*Pumps!$F$18/3600</f>
        <v>212726.369</v>
      </c>
      <c r="I102">
        <f t="shared" si="7"/>
        <v>303894.8129</v>
      </c>
      <c r="J102">
        <f t="shared" si="8"/>
        <v>342233.2139</v>
      </c>
      <c r="K102">
        <f t="shared" si="22"/>
        <v>0</v>
      </c>
      <c r="M102" s="142">
        <f t="shared" si="9"/>
        <v>0</v>
      </c>
      <c r="N102" s="142">
        <f t="shared" si="10"/>
        <v>0</v>
      </c>
      <c r="O102" s="142">
        <f t="shared" ref="O102:Q102" si="104">H102*3600/(1*10^6)</f>
        <v>765.8149286</v>
      </c>
      <c r="P102" s="142">
        <f t="shared" si="104"/>
        <v>1094.021327</v>
      </c>
      <c r="Q102" s="142">
        <f t="shared" si="104"/>
        <v>1232.03957</v>
      </c>
      <c r="R102" s="142">
        <f t="shared" si="12"/>
        <v>0</v>
      </c>
      <c r="T102">
        <f>Pumps!$F$18*D102/Pumps!$I$4/3600</f>
        <v>303.8948129</v>
      </c>
      <c r="U102">
        <f>IF('Design Specifications'!$C$30="y",Disinfection!G100*Disinfection!$N$3*(1*10^6)/3600,0)</f>
        <v>0</v>
      </c>
      <c r="V102">
        <f t="shared" si="13"/>
        <v>864</v>
      </c>
      <c r="W102">
        <f t="shared" si="18"/>
        <v>4.204421327</v>
      </c>
      <c r="X102">
        <f t="shared" si="14"/>
        <v>3.1104</v>
      </c>
      <c r="Y102">
        <f t="shared" si="15"/>
        <v>0.5317443805</v>
      </c>
    </row>
    <row r="103">
      <c r="A103" s="78" t="s">
        <v>311</v>
      </c>
      <c r="B103" s="78">
        <v>3.0</v>
      </c>
      <c r="C103" s="78">
        <f t="shared" si="3"/>
        <v>360</v>
      </c>
      <c r="D103">
        <f t="shared" si="4"/>
        <v>0.36</v>
      </c>
      <c r="E103">
        <v>12.0</v>
      </c>
      <c r="F103">
        <f t="shared" si="5"/>
        <v>0</v>
      </c>
      <c r="G103">
        <f t="shared" si="6"/>
        <v>0</v>
      </c>
      <c r="H103">
        <f>C103*Pumps!$F$18/3600</f>
        <v>15340.84392</v>
      </c>
      <c r="I103">
        <f t="shared" si="7"/>
        <v>21915.49132</v>
      </c>
      <c r="J103">
        <f t="shared" si="8"/>
        <v>25514.03985</v>
      </c>
      <c r="K103">
        <f t="shared" si="22"/>
        <v>0</v>
      </c>
      <c r="M103" s="142">
        <f t="shared" si="9"/>
        <v>0</v>
      </c>
      <c r="N103" s="142">
        <f t="shared" si="10"/>
        <v>0</v>
      </c>
      <c r="O103" s="142">
        <f t="shared" ref="O103:Q103" si="105">H103*3600/(1*10^6)</f>
        <v>55.22703812</v>
      </c>
      <c r="P103" s="142">
        <f t="shared" si="105"/>
        <v>78.89576874</v>
      </c>
      <c r="Q103" s="142">
        <f t="shared" si="105"/>
        <v>91.85054345</v>
      </c>
      <c r="R103" s="142">
        <f t="shared" si="12"/>
        <v>0</v>
      </c>
      <c r="T103">
        <f>Pumps!$F$18*D103/Pumps!$I$4/3600</f>
        <v>21.91549132</v>
      </c>
      <c r="U103">
        <f>IF('Design Specifications'!$C$30="y",Disinfection!G101*Disinfection!$N$3*(1*10^6)/3600,0)</f>
        <v>0</v>
      </c>
      <c r="V103">
        <f t="shared" si="13"/>
        <v>864</v>
      </c>
      <c r="W103">
        <f t="shared" si="18"/>
        <v>3.189295769</v>
      </c>
      <c r="X103">
        <f t="shared" si="14"/>
        <v>3.1104</v>
      </c>
      <c r="Y103">
        <f t="shared" si="15"/>
        <v>0.4592354121</v>
      </c>
    </row>
    <row r="104">
      <c r="A104" s="78" t="s">
        <v>313</v>
      </c>
      <c r="B104" s="78">
        <v>0.0</v>
      </c>
      <c r="C104" s="78">
        <f t="shared" si="3"/>
        <v>0</v>
      </c>
      <c r="D104">
        <f t="shared" si="4"/>
        <v>0</v>
      </c>
      <c r="E104">
        <v>12.0</v>
      </c>
      <c r="F104">
        <f t="shared" si="5"/>
        <v>0</v>
      </c>
      <c r="G104">
        <f t="shared" si="6"/>
        <v>0</v>
      </c>
      <c r="H104">
        <f>C104*Pumps!$F$18/3600</f>
        <v>0</v>
      </c>
      <c r="I104">
        <f t="shared" si="7"/>
        <v>0</v>
      </c>
      <c r="J104">
        <f t="shared" si="8"/>
        <v>898.56</v>
      </c>
      <c r="K104">
        <f t="shared" si="22"/>
        <v>0</v>
      </c>
      <c r="M104" s="142">
        <f t="shared" si="9"/>
        <v>0</v>
      </c>
      <c r="N104" s="142">
        <f t="shared" si="10"/>
        <v>0</v>
      </c>
      <c r="O104" s="142">
        <f t="shared" ref="O104:Q104" si="106">H104*3600/(1*10^6)</f>
        <v>0</v>
      </c>
      <c r="P104" s="142">
        <f t="shared" si="106"/>
        <v>0</v>
      </c>
      <c r="Q104" s="142">
        <f t="shared" si="106"/>
        <v>3.234816</v>
      </c>
      <c r="R104" s="142">
        <f t="shared" si="12"/>
        <v>0</v>
      </c>
      <c r="T104">
        <f>Pumps!$F$18*D104/Pumps!$I$4/3600</f>
        <v>0</v>
      </c>
      <c r="U104">
        <f>IF('Design Specifications'!$C$30="y",Disinfection!G102*Disinfection!$N$3*(1*10^6)/3600,0)</f>
        <v>0</v>
      </c>
      <c r="V104">
        <f t="shared" si="13"/>
        <v>864</v>
      </c>
      <c r="W104">
        <f t="shared" si="18"/>
        <v>3.1104</v>
      </c>
      <c r="X104">
        <f t="shared" si="14"/>
        <v>3.1104</v>
      </c>
      <c r="Y104">
        <f t="shared" si="15"/>
        <v>0.4536</v>
      </c>
    </row>
    <row r="105">
      <c r="A105" s="78" t="s">
        <v>315</v>
      </c>
      <c r="B105" s="78">
        <v>0.0</v>
      </c>
      <c r="C105" s="78">
        <f t="shared" si="3"/>
        <v>0</v>
      </c>
      <c r="D105">
        <f t="shared" si="4"/>
        <v>0</v>
      </c>
      <c r="E105">
        <v>14.0</v>
      </c>
      <c r="F105">
        <f t="shared" si="5"/>
        <v>0</v>
      </c>
      <c r="G105">
        <f t="shared" si="6"/>
        <v>0</v>
      </c>
      <c r="H105">
        <f>C105*Pumps!$F$18/3600</f>
        <v>0</v>
      </c>
      <c r="I105">
        <f t="shared" si="7"/>
        <v>0</v>
      </c>
      <c r="J105">
        <f t="shared" si="8"/>
        <v>898.56</v>
      </c>
      <c r="K105">
        <f t="shared" si="22"/>
        <v>0</v>
      </c>
      <c r="M105" s="142">
        <f t="shared" si="9"/>
        <v>0</v>
      </c>
      <c r="N105" s="142">
        <f t="shared" si="10"/>
        <v>0</v>
      </c>
      <c r="O105" s="142">
        <f t="shared" ref="O105:Q105" si="107">H105*3600/(1*10^6)</f>
        <v>0</v>
      </c>
      <c r="P105" s="142">
        <f t="shared" si="107"/>
        <v>0</v>
      </c>
      <c r="Q105" s="142">
        <f t="shared" si="107"/>
        <v>3.234816</v>
      </c>
      <c r="R105" s="142">
        <f t="shared" si="12"/>
        <v>0</v>
      </c>
      <c r="T105">
        <f>Pumps!$F$18*D105/Pumps!$I$4/3600</f>
        <v>0</v>
      </c>
      <c r="U105">
        <f>IF('Design Specifications'!$C$30="y",Disinfection!G103*Disinfection!$N$3*(1*10^6)/3600,0)</f>
        <v>0</v>
      </c>
      <c r="V105">
        <f t="shared" si="13"/>
        <v>864</v>
      </c>
      <c r="W105">
        <f t="shared" si="18"/>
        <v>3.1104</v>
      </c>
      <c r="X105">
        <f t="shared" si="14"/>
        <v>3.1104</v>
      </c>
      <c r="Y105">
        <f t="shared" si="15"/>
        <v>0.4536</v>
      </c>
    </row>
    <row r="106">
      <c r="A106" s="78" t="s">
        <v>317</v>
      </c>
      <c r="B106" s="78">
        <v>5.6</v>
      </c>
      <c r="C106" s="78">
        <f t="shared" si="3"/>
        <v>672</v>
      </c>
      <c r="D106">
        <f t="shared" si="4"/>
        <v>0.672</v>
      </c>
      <c r="E106">
        <v>14.0</v>
      </c>
      <c r="F106">
        <f t="shared" si="5"/>
        <v>0</v>
      </c>
      <c r="G106">
        <f t="shared" si="6"/>
        <v>0</v>
      </c>
      <c r="H106">
        <f>C106*Pumps!$F$18/3600</f>
        <v>28636.24199</v>
      </c>
      <c r="I106">
        <f t="shared" si="7"/>
        <v>40908.91712</v>
      </c>
      <c r="J106">
        <f t="shared" si="8"/>
        <v>46847.45571</v>
      </c>
      <c r="K106">
        <f t="shared" si="22"/>
        <v>0</v>
      </c>
      <c r="M106" s="142">
        <f t="shared" si="9"/>
        <v>0</v>
      </c>
      <c r="N106" s="142">
        <f t="shared" si="10"/>
        <v>0</v>
      </c>
      <c r="O106" s="142">
        <f t="shared" ref="O106:Q106" si="108">H106*3600/(1*10^6)</f>
        <v>103.0904712</v>
      </c>
      <c r="P106" s="142">
        <f t="shared" si="108"/>
        <v>147.2721016</v>
      </c>
      <c r="Q106" s="142">
        <f t="shared" si="108"/>
        <v>168.6508406</v>
      </c>
      <c r="R106" s="142">
        <f t="shared" si="12"/>
        <v>0</v>
      </c>
      <c r="T106">
        <f>Pumps!$F$18*D106/Pumps!$I$4/3600</f>
        <v>40.90891712</v>
      </c>
      <c r="U106">
        <f>IF('Design Specifications'!$C$30="y",Disinfection!G104*Disinfection!$N$3*(1*10^6)/3600,0)</f>
        <v>0</v>
      </c>
      <c r="V106">
        <f t="shared" si="13"/>
        <v>864</v>
      </c>
      <c r="W106">
        <f t="shared" si="18"/>
        <v>3.257672102</v>
      </c>
      <c r="X106">
        <f t="shared" si="14"/>
        <v>3.1104</v>
      </c>
      <c r="Y106">
        <f t="shared" si="15"/>
        <v>0.4641194358</v>
      </c>
    </row>
    <row r="107">
      <c r="A107" s="78" t="s">
        <v>319</v>
      </c>
      <c r="B107" s="78">
        <v>20.4</v>
      </c>
      <c r="C107" s="78">
        <f t="shared" si="3"/>
        <v>2448</v>
      </c>
      <c r="D107">
        <f t="shared" si="4"/>
        <v>2.448</v>
      </c>
      <c r="E107">
        <v>14.0</v>
      </c>
      <c r="F107">
        <f t="shared" si="5"/>
        <v>0</v>
      </c>
      <c r="G107">
        <f t="shared" si="6"/>
        <v>0</v>
      </c>
      <c r="H107">
        <f>C107*Pumps!$F$18/3600</f>
        <v>104317.7387</v>
      </c>
      <c r="I107">
        <f t="shared" si="7"/>
        <v>149025.341</v>
      </c>
      <c r="J107">
        <f t="shared" si="8"/>
        <v>168283.823</v>
      </c>
      <c r="K107">
        <f t="shared" si="22"/>
        <v>0</v>
      </c>
      <c r="M107" s="142">
        <f t="shared" si="9"/>
        <v>0</v>
      </c>
      <c r="N107" s="142">
        <f t="shared" si="10"/>
        <v>0</v>
      </c>
      <c r="O107" s="142">
        <f t="shared" ref="O107:Q107" si="109">H107*3600/(1*10^6)</f>
        <v>375.5438592</v>
      </c>
      <c r="P107" s="142">
        <f t="shared" si="109"/>
        <v>536.4912274</v>
      </c>
      <c r="Q107" s="142">
        <f t="shared" si="109"/>
        <v>605.8217627</v>
      </c>
      <c r="R107" s="142">
        <f t="shared" si="12"/>
        <v>0</v>
      </c>
      <c r="T107">
        <f>Pumps!$F$18*D107/Pumps!$I$4/3600</f>
        <v>149.025341</v>
      </c>
      <c r="U107">
        <f>IF('Design Specifications'!$C$30="y",Disinfection!G105*Disinfection!$N$3*(1*10^6)/3600,0)</f>
        <v>0</v>
      </c>
      <c r="V107">
        <f t="shared" si="13"/>
        <v>864</v>
      </c>
      <c r="W107">
        <f t="shared" si="18"/>
        <v>3.646891227</v>
      </c>
      <c r="X107">
        <f t="shared" si="14"/>
        <v>3.1104</v>
      </c>
      <c r="Y107">
        <f t="shared" si="15"/>
        <v>0.491920802</v>
      </c>
    </row>
    <row r="108">
      <c r="A108" s="78" t="s">
        <v>321</v>
      </c>
      <c r="B108" s="78">
        <v>2.6</v>
      </c>
      <c r="C108" s="78">
        <f t="shared" si="3"/>
        <v>312</v>
      </c>
      <c r="D108">
        <f t="shared" si="4"/>
        <v>0.312</v>
      </c>
      <c r="E108">
        <v>14.0</v>
      </c>
      <c r="F108">
        <f t="shared" si="5"/>
        <v>0</v>
      </c>
      <c r="G108">
        <f t="shared" si="6"/>
        <v>0</v>
      </c>
      <c r="H108">
        <f>C108*Pumps!$F$18/3600</f>
        <v>13295.39807</v>
      </c>
      <c r="I108">
        <f t="shared" si="7"/>
        <v>18993.42581</v>
      </c>
      <c r="J108">
        <f t="shared" si="8"/>
        <v>22231.97587</v>
      </c>
      <c r="K108">
        <f t="shared" si="22"/>
        <v>0</v>
      </c>
      <c r="M108" s="142">
        <f t="shared" si="9"/>
        <v>0</v>
      </c>
      <c r="N108" s="142">
        <f t="shared" si="10"/>
        <v>0</v>
      </c>
      <c r="O108" s="142">
        <f t="shared" ref="O108:Q108" si="110">H108*3600/(1*10^6)</f>
        <v>47.86343304</v>
      </c>
      <c r="P108" s="142">
        <f t="shared" si="110"/>
        <v>68.37633291</v>
      </c>
      <c r="Q108" s="142">
        <f t="shared" si="110"/>
        <v>80.03511312</v>
      </c>
      <c r="R108" s="142">
        <f t="shared" si="12"/>
        <v>0</v>
      </c>
      <c r="T108">
        <f>Pumps!$F$18*D108/Pumps!$I$4/3600</f>
        <v>18.99342581</v>
      </c>
      <c r="U108">
        <f>IF('Design Specifications'!$C$30="y",Disinfection!G106*Disinfection!$N$3*(1*10^6)/3600,0)</f>
        <v>0</v>
      </c>
      <c r="V108">
        <f t="shared" si="13"/>
        <v>864</v>
      </c>
      <c r="W108">
        <f t="shared" si="18"/>
        <v>3.178776333</v>
      </c>
      <c r="X108">
        <f t="shared" si="14"/>
        <v>3.1104</v>
      </c>
      <c r="Y108">
        <f t="shared" si="15"/>
        <v>0.4584840238</v>
      </c>
    </row>
    <row r="109">
      <c r="A109" s="78" t="s">
        <v>323</v>
      </c>
      <c r="B109" s="78">
        <v>15.9</v>
      </c>
      <c r="C109" s="78">
        <f t="shared" si="3"/>
        <v>1908</v>
      </c>
      <c r="D109">
        <f t="shared" si="4"/>
        <v>1.908</v>
      </c>
      <c r="E109">
        <v>14.0</v>
      </c>
      <c r="F109">
        <f t="shared" si="5"/>
        <v>0</v>
      </c>
      <c r="G109">
        <f t="shared" si="6"/>
        <v>0</v>
      </c>
      <c r="H109">
        <f>C109*Pumps!$F$18/3600</f>
        <v>81306.47279</v>
      </c>
      <c r="I109">
        <f t="shared" si="7"/>
        <v>116152.104</v>
      </c>
      <c r="J109">
        <f t="shared" si="8"/>
        <v>131360.6032</v>
      </c>
      <c r="K109">
        <f t="shared" si="22"/>
        <v>0</v>
      </c>
      <c r="M109" s="142">
        <f t="shared" si="9"/>
        <v>0</v>
      </c>
      <c r="N109" s="142">
        <f t="shared" si="10"/>
        <v>0</v>
      </c>
      <c r="O109" s="142">
        <f t="shared" ref="O109:Q109" si="111">H109*3600/(1*10^6)</f>
        <v>292.703302</v>
      </c>
      <c r="P109" s="142">
        <f t="shared" si="111"/>
        <v>418.1475743</v>
      </c>
      <c r="Q109" s="142">
        <f t="shared" si="111"/>
        <v>472.8981715</v>
      </c>
      <c r="R109" s="142">
        <f t="shared" si="12"/>
        <v>0</v>
      </c>
      <c r="T109">
        <f>Pumps!$F$18*D109/Pumps!$I$4/3600</f>
        <v>116.152104</v>
      </c>
      <c r="U109">
        <f>IF('Design Specifications'!$C$30="y",Disinfection!G107*Disinfection!$N$3*(1*10^6)/3600,0)</f>
        <v>0</v>
      </c>
      <c r="V109">
        <f t="shared" si="13"/>
        <v>864</v>
      </c>
      <c r="W109">
        <f t="shared" si="18"/>
        <v>3.528547574</v>
      </c>
      <c r="X109">
        <f t="shared" si="14"/>
        <v>3.1104</v>
      </c>
      <c r="Y109">
        <f t="shared" si="15"/>
        <v>0.4834676839</v>
      </c>
    </row>
    <row r="110">
      <c r="A110" s="78" t="s">
        <v>325</v>
      </c>
      <c r="B110" s="78">
        <v>9.4</v>
      </c>
      <c r="C110" s="78">
        <f t="shared" si="3"/>
        <v>1128</v>
      </c>
      <c r="D110">
        <f t="shared" si="4"/>
        <v>1.128</v>
      </c>
      <c r="E110">
        <v>14.0</v>
      </c>
      <c r="F110">
        <f t="shared" si="5"/>
        <v>0</v>
      </c>
      <c r="G110">
        <f t="shared" si="6"/>
        <v>0</v>
      </c>
      <c r="H110">
        <f>C110*Pumps!$F$18/3600</f>
        <v>48067.97762</v>
      </c>
      <c r="I110">
        <f t="shared" si="7"/>
        <v>68668.53946</v>
      </c>
      <c r="J110">
        <f t="shared" si="8"/>
        <v>78027.06352</v>
      </c>
      <c r="K110">
        <f t="shared" si="22"/>
        <v>0</v>
      </c>
      <c r="M110" s="142">
        <f t="shared" si="9"/>
        <v>0</v>
      </c>
      <c r="N110" s="142">
        <f t="shared" si="10"/>
        <v>0</v>
      </c>
      <c r="O110" s="142">
        <f t="shared" ref="O110:Q110" si="112">H110*3600/(1*10^6)</f>
        <v>173.0447194</v>
      </c>
      <c r="P110" s="142">
        <f t="shared" si="112"/>
        <v>247.2067421</v>
      </c>
      <c r="Q110" s="142">
        <f t="shared" si="112"/>
        <v>280.8974287</v>
      </c>
      <c r="R110" s="142">
        <f t="shared" si="12"/>
        <v>0</v>
      </c>
      <c r="T110">
        <f>Pumps!$F$18*D110/Pumps!$I$4/3600</f>
        <v>68.66853946</v>
      </c>
      <c r="U110">
        <f>IF('Design Specifications'!$C$30="y",Disinfection!G108*Disinfection!$N$3*(1*10^6)/3600,0)</f>
        <v>0</v>
      </c>
      <c r="V110">
        <f t="shared" si="13"/>
        <v>864</v>
      </c>
      <c r="W110">
        <f t="shared" si="18"/>
        <v>3.357606742</v>
      </c>
      <c r="X110">
        <f t="shared" si="14"/>
        <v>3.1104</v>
      </c>
      <c r="Y110">
        <f t="shared" si="15"/>
        <v>0.4712576244</v>
      </c>
    </row>
    <row r="111">
      <c r="A111" s="78" t="s">
        <v>327</v>
      </c>
      <c r="B111" s="78">
        <v>13.6</v>
      </c>
      <c r="C111" s="78">
        <f t="shared" si="3"/>
        <v>1632</v>
      </c>
      <c r="D111">
        <f t="shared" si="4"/>
        <v>1.632</v>
      </c>
      <c r="E111">
        <v>14.0</v>
      </c>
      <c r="F111">
        <f t="shared" si="5"/>
        <v>0</v>
      </c>
      <c r="G111">
        <f t="shared" si="6"/>
        <v>0</v>
      </c>
      <c r="H111">
        <f>C111*Pumps!$F$18/3600</f>
        <v>69545.15911</v>
      </c>
      <c r="I111">
        <f t="shared" si="7"/>
        <v>99350.2273</v>
      </c>
      <c r="J111">
        <f t="shared" si="8"/>
        <v>112488.7353</v>
      </c>
      <c r="K111">
        <f t="shared" si="22"/>
        <v>0</v>
      </c>
      <c r="M111" s="142">
        <f t="shared" si="9"/>
        <v>0</v>
      </c>
      <c r="N111" s="142">
        <f t="shared" si="10"/>
        <v>0</v>
      </c>
      <c r="O111" s="142">
        <f t="shared" ref="O111:Q111" si="113">H111*3600/(1*10^6)</f>
        <v>250.3625728</v>
      </c>
      <c r="P111" s="142">
        <f t="shared" si="113"/>
        <v>357.6608183</v>
      </c>
      <c r="Q111" s="142">
        <f t="shared" si="113"/>
        <v>404.9594471</v>
      </c>
      <c r="R111" s="142">
        <f t="shared" si="12"/>
        <v>0</v>
      </c>
      <c r="T111">
        <f>Pumps!$F$18*D111/Pumps!$I$4/3600</f>
        <v>99.3502273</v>
      </c>
      <c r="U111">
        <f>IF('Design Specifications'!$C$30="y",Disinfection!G109*Disinfection!$N$3*(1*10^6)/3600,0)</f>
        <v>0</v>
      </c>
      <c r="V111">
        <f t="shared" si="13"/>
        <v>864</v>
      </c>
      <c r="W111">
        <f t="shared" si="18"/>
        <v>3.468060818</v>
      </c>
      <c r="X111">
        <f t="shared" si="14"/>
        <v>3.1104</v>
      </c>
      <c r="Y111">
        <f t="shared" si="15"/>
        <v>0.4791472013</v>
      </c>
    </row>
    <row r="112">
      <c r="A112" s="78" t="s">
        <v>329</v>
      </c>
      <c r="B112" s="78">
        <v>5.6</v>
      </c>
      <c r="C112" s="78">
        <f t="shared" si="3"/>
        <v>672</v>
      </c>
      <c r="D112">
        <f t="shared" si="4"/>
        <v>0.672</v>
      </c>
      <c r="E112">
        <v>14.0</v>
      </c>
      <c r="F112">
        <f t="shared" si="5"/>
        <v>0</v>
      </c>
      <c r="G112">
        <f t="shared" si="6"/>
        <v>0</v>
      </c>
      <c r="H112">
        <f>C112*Pumps!$F$18/3600</f>
        <v>28636.24199</v>
      </c>
      <c r="I112">
        <f t="shared" si="7"/>
        <v>40908.91712</v>
      </c>
      <c r="J112">
        <f t="shared" si="8"/>
        <v>46847.45571</v>
      </c>
      <c r="K112">
        <f t="shared" si="22"/>
        <v>0</v>
      </c>
      <c r="M112" s="142">
        <f t="shared" si="9"/>
        <v>0</v>
      </c>
      <c r="N112" s="142">
        <f t="shared" si="10"/>
        <v>0</v>
      </c>
      <c r="O112" s="142">
        <f t="shared" ref="O112:Q112" si="114">H112*3600/(1*10^6)</f>
        <v>103.0904712</v>
      </c>
      <c r="P112" s="142">
        <f t="shared" si="114"/>
        <v>147.2721016</v>
      </c>
      <c r="Q112" s="142">
        <f t="shared" si="114"/>
        <v>168.6508406</v>
      </c>
      <c r="R112" s="142">
        <f t="shared" si="12"/>
        <v>0</v>
      </c>
      <c r="T112">
        <f>Pumps!$F$18*D112/Pumps!$I$4/3600</f>
        <v>40.90891712</v>
      </c>
      <c r="U112">
        <f>IF('Design Specifications'!$C$30="y",Disinfection!G110*Disinfection!$N$3*(1*10^6)/3600,0)</f>
        <v>0</v>
      </c>
      <c r="V112">
        <f t="shared" si="13"/>
        <v>864</v>
      </c>
      <c r="W112">
        <f t="shared" si="18"/>
        <v>3.257672102</v>
      </c>
      <c r="X112">
        <f t="shared" si="14"/>
        <v>3.1104</v>
      </c>
      <c r="Y112">
        <f t="shared" si="15"/>
        <v>0.4641194358</v>
      </c>
    </row>
    <row r="113">
      <c r="A113" s="78" t="s">
        <v>331</v>
      </c>
      <c r="B113" s="78">
        <v>0.0</v>
      </c>
      <c r="C113" s="78">
        <f t="shared" si="3"/>
        <v>0</v>
      </c>
      <c r="D113">
        <f t="shared" si="4"/>
        <v>0</v>
      </c>
      <c r="E113">
        <v>14.0</v>
      </c>
      <c r="F113">
        <f t="shared" si="5"/>
        <v>0</v>
      </c>
      <c r="G113">
        <f t="shared" si="6"/>
        <v>0</v>
      </c>
      <c r="H113">
        <f>C113*Pumps!$F$18/3600</f>
        <v>0</v>
      </c>
      <c r="I113">
        <f t="shared" si="7"/>
        <v>0</v>
      </c>
      <c r="J113">
        <f t="shared" si="8"/>
        <v>898.56</v>
      </c>
      <c r="K113">
        <f t="shared" si="22"/>
        <v>0</v>
      </c>
      <c r="M113" s="142">
        <f t="shared" si="9"/>
        <v>0</v>
      </c>
      <c r="N113" s="142">
        <f t="shared" si="10"/>
        <v>0</v>
      </c>
      <c r="O113" s="142">
        <f t="shared" ref="O113:Q113" si="115">H113*3600/(1*10^6)</f>
        <v>0</v>
      </c>
      <c r="P113" s="142">
        <f t="shared" si="115"/>
        <v>0</v>
      </c>
      <c r="Q113" s="142">
        <f t="shared" si="115"/>
        <v>3.234816</v>
      </c>
      <c r="R113" s="142">
        <f t="shared" si="12"/>
        <v>0</v>
      </c>
      <c r="T113">
        <f>Pumps!$F$18*D113/Pumps!$I$4/3600</f>
        <v>0</v>
      </c>
      <c r="U113">
        <f>IF('Design Specifications'!$C$30="y",Disinfection!G111*Disinfection!$N$3*(1*10^6)/3600,0)</f>
        <v>0</v>
      </c>
      <c r="V113">
        <f t="shared" si="13"/>
        <v>864</v>
      </c>
      <c r="W113">
        <f t="shared" si="18"/>
        <v>3.1104</v>
      </c>
      <c r="X113">
        <f t="shared" si="14"/>
        <v>3.1104</v>
      </c>
      <c r="Y113">
        <f t="shared" si="15"/>
        <v>0.4536</v>
      </c>
    </row>
    <row r="114">
      <c r="A114" s="78" t="s">
        <v>333</v>
      </c>
      <c r="B114" s="78">
        <v>16.6</v>
      </c>
      <c r="C114" s="78">
        <f t="shared" si="3"/>
        <v>1992</v>
      </c>
      <c r="D114">
        <f t="shared" si="4"/>
        <v>1.992</v>
      </c>
      <c r="E114">
        <v>14.0</v>
      </c>
      <c r="F114">
        <f t="shared" si="5"/>
        <v>0</v>
      </c>
      <c r="G114">
        <f t="shared" si="6"/>
        <v>0</v>
      </c>
      <c r="H114">
        <f>C114*Pumps!$F$18/3600</f>
        <v>84886.00303</v>
      </c>
      <c r="I114">
        <f t="shared" si="7"/>
        <v>121265.7186</v>
      </c>
      <c r="J114">
        <f t="shared" si="8"/>
        <v>137104.2152</v>
      </c>
      <c r="K114">
        <f t="shared" si="22"/>
        <v>0</v>
      </c>
      <c r="M114" s="142">
        <f t="shared" si="9"/>
        <v>0</v>
      </c>
      <c r="N114" s="142">
        <f t="shared" si="10"/>
        <v>0</v>
      </c>
      <c r="O114" s="142">
        <f t="shared" ref="O114:Q114" si="116">H114*3600/(1*10^6)</f>
        <v>305.5896109</v>
      </c>
      <c r="P114" s="142">
        <f t="shared" si="116"/>
        <v>436.556587</v>
      </c>
      <c r="Q114" s="142">
        <f t="shared" si="116"/>
        <v>493.5751746</v>
      </c>
      <c r="R114" s="142">
        <f t="shared" si="12"/>
        <v>0</v>
      </c>
      <c r="T114">
        <f>Pumps!$F$18*D114/Pumps!$I$4/3600</f>
        <v>121.2657186</v>
      </c>
      <c r="U114">
        <f>IF('Design Specifications'!$C$30="y",Disinfection!G112*Disinfection!$N$3*(1*10^6)/3600,0)</f>
        <v>0</v>
      </c>
      <c r="V114">
        <f t="shared" si="13"/>
        <v>864</v>
      </c>
      <c r="W114">
        <f t="shared" si="18"/>
        <v>3.546956587</v>
      </c>
      <c r="X114">
        <f t="shared" si="14"/>
        <v>3.1104</v>
      </c>
      <c r="Y114">
        <f t="shared" si="15"/>
        <v>0.4847826134</v>
      </c>
    </row>
    <row r="115">
      <c r="A115" s="78" t="s">
        <v>335</v>
      </c>
      <c r="B115" s="78">
        <v>0.0</v>
      </c>
      <c r="C115" s="78">
        <f t="shared" si="3"/>
        <v>0</v>
      </c>
      <c r="D115">
        <f t="shared" si="4"/>
        <v>0</v>
      </c>
      <c r="E115">
        <v>14.0</v>
      </c>
      <c r="F115">
        <f t="shared" si="5"/>
        <v>0</v>
      </c>
      <c r="G115">
        <f t="shared" si="6"/>
        <v>0</v>
      </c>
      <c r="H115">
        <f>C115*Pumps!$F$18/3600</f>
        <v>0</v>
      </c>
      <c r="I115">
        <f t="shared" si="7"/>
        <v>0</v>
      </c>
      <c r="J115">
        <f t="shared" si="8"/>
        <v>898.56</v>
      </c>
      <c r="K115">
        <f t="shared" si="22"/>
        <v>0</v>
      </c>
      <c r="M115" s="142">
        <f t="shared" si="9"/>
        <v>0</v>
      </c>
      <c r="N115" s="142">
        <f t="shared" si="10"/>
        <v>0</v>
      </c>
      <c r="O115" s="142">
        <f t="shared" ref="O115:Q115" si="117">H115*3600/(1*10^6)</f>
        <v>0</v>
      </c>
      <c r="P115" s="142">
        <f t="shared" si="117"/>
        <v>0</v>
      </c>
      <c r="Q115" s="142">
        <f t="shared" si="117"/>
        <v>3.234816</v>
      </c>
      <c r="R115" s="142">
        <f t="shared" si="12"/>
        <v>0</v>
      </c>
      <c r="T115">
        <f>Pumps!$F$18*D115/Pumps!$I$4/3600</f>
        <v>0</v>
      </c>
      <c r="U115">
        <f>IF('Design Specifications'!$C$30="y",Disinfection!G113*Disinfection!$N$3*(1*10^6)/3600,0)</f>
        <v>0</v>
      </c>
      <c r="V115">
        <f t="shared" si="13"/>
        <v>864</v>
      </c>
      <c r="W115">
        <f t="shared" si="18"/>
        <v>3.1104</v>
      </c>
      <c r="X115">
        <f t="shared" si="14"/>
        <v>3.1104</v>
      </c>
      <c r="Y115">
        <f t="shared" si="15"/>
        <v>0.4536</v>
      </c>
    </row>
    <row r="116">
      <c r="A116" s="78" t="s">
        <v>337</v>
      </c>
      <c r="B116" s="78">
        <v>0.0</v>
      </c>
      <c r="C116" s="78">
        <f t="shared" si="3"/>
        <v>0</v>
      </c>
      <c r="D116">
        <f t="shared" si="4"/>
        <v>0</v>
      </c>
      <c r="E116">
        <v>14.0</v>
      </c>
      <c r="F116">
        <f t="shared" si="5"/>
        <v>0</v>
      </c>
      <c r="G116">
        <f t="shared" si="6"/>
        <v>0</v>
      </c>
      <c r="H116">
        <f>C116*Pumps!$F$18/3600</f>
        <v>0</v>
      </c>
      <c r="I116">
        <f t="shared" si="7"/>
        <v>0</v>
      </c>
      <c r="J116">
        <f t="shared" si="8"/>
        <v>898.56</v>
      </c>
      <c r="K116">
        <f t="shared" si="22"/>
        <v>0</v>
      </c>
      <c r="M116" s="142">
        <f t="shared" si="9"/>
        <v>0</v>
      </c>
      <c r="N116" s="142">
        <f t="shared" si="10"/>
        <v>0</v>
      </c>
      <c r="O116" s="142">
        <f t="shared" ref="O116:Q116" si="118">H116*3600/(1*10^6)</f>
        <v>0</v>
      </c>
      <c r="P116" s="142">
        <f t="shared" si="118"/>
        <v>0</v>
      </c>
      <c r="Q116" s="142">
        <f t="shared" si="118"/>
        <v>3.234816</v>
      </c>
      <c r="R116" s="142">
        <f t="shared" si="12"/>
        <v>0</v>
      </c>
      <c r="T116">
        <f>Pumps!$F$18*D116/Pumps!$I$4/3600</f>
        <v>0</v>
      </c>
      <c r="U116">
        <f>IF('Design Specifications'!$C$30="y",Disinfection!G114*Disinfection!$N$3*(1*10^6)/3600,0)</f>
        <v>0</v>
      </c>
      <c r="V116">
        <f t="shared" si="13"/>
        <v>864</v>
      </c>
      <c r="W116">
        <f t="shared" si="18"/>
        <v>3.1104</v>
      </c>
      <c r="X116">
        <f t="shared" si="14"/>
        <v>3.1104</v>
      </c>
      <c r="Y116">
        <f t="shared" si="15"/>
        <v>0.4536</v>
      </c>
    </row>
    <row r="117">
      <c r="A117" s="78" t="s">
        <v>339</v>
      </c>
      <c r="B117" s="78">
        <v>0.0</v>
      </c>
      <c r="C117" s="78">
        <f t="shared" si="3"/>
        <v>0</v>
      </c>
      <c r="D117">
        <f t="shared" si="4"/>
        <v>0</v>
      </c>
      <c r="E117">
        <v>14.0</v>
      </c>
      <c r="F117">
        <f t="shared" si="5"/>
        <v>0</v>
      </c>
      <c r="G117">
        <f t="shared" si="6"/>
        <v>0</v>
      </c>
      <c r="H117">
        <f>C117*Pumps!$F$18/3600</f>
        <v>0</v>
      </c>
      <c r="I117">
        <f t="shared" si="7"/>
        <v>0</v>
      </c>
      <c r="J117">
        <f t="shared" si="8"/>
        <v>898.56</v>
      </c>
      <c r="K117">
        <f t="shared" si="22"/>
        <v>0</v>
      </c>
      <c r="M117" s="142">
        <f t="shared" si="9"/>
        <v>0</v>
      </c>
      <c r="N117" s="142">
        <f t="shared" si="10"/>
        <v>0</v>
      </c>
      <c r="O117" s="142">
        <f t="shared" ref="O117:Q117" si="119">H117*3600/(1*10^6)</f>
        <v>0</v>
      </c>
      <c r="P117" s="142">
        <f t="shared" si="119"/>
        <v>0</v>
      </c>
      <c r="Q117" s="142">
        <f t="shared" si="119"/>
        <v>3.234816</v>
      </c>
      <c r="R117" s="142">
        <f t="shared" si="12"/>
        <v>0</v>
      </c>
      <c r="T117">
        <f>Pumps!$F$18*D117/Pumps!$I$4/3600</f>
        <v>0</v>
      </c>
      <c r="U117">
        <f>IF('Design Specifications'!$C$30="y",Disinfection!G115*Disinfection!$N$3*(1*10^6)/3600,0)</f>
        <v>0</v>
      </c>
      <c r="V117">
        <f t="shared" si="13"/>
        <v>864</v>
      </c>
      <c r="W117">
        <f t="shared" si="18"/>
        <v>3.1104</v>
      </c>
      <c r="X117">
        <f t="shared" si="14"/>
        <v>3.1104</v>
      </c>
      <c r="Y117">
        <f t="shared" si="15"/>
        <v>0.4536</v>
      </c>
    </row>
    <row r="118">
      <c r="A118" s="78" t="s">
        <v>341</v>
      </c>
      <c r="B118" s="78">
        <v>14.8</v>
      </c>
      <c r="C118" s="78">
        <f t="shared" si="3"/>
        <v>1776</v>
      </c>
      <c r="D118">
        <f t="shared" si="4"/>
        <v>1.776</v>
      </c>
      <c r="E118">
        <v>14.0</v>
      </c>
      <c r="F118">
        <f t="shared" si="5"/>
        <v>0</v>
      </c>
      <c r="G118">
        <f t="shared" si="6"/>
        <v>0</v>
      </c>
      <c r="H118">
        <f>C118*Pumps!$F$18/3600</f>
        <v>75681.49668</v>
      </c>
      <c r="I118">
        <f t="shared" si="7"/>
        <v>108116.4238</v>
      </c>
      <c r="J118">
        <f t="shared" si="8"/>
        <v>122334.9272</v>
      </c>
      <c r="K118">
        <f t="shared" si="22"/>
        <v>0</v>
      </c>
      <c r="M118" s="142">
        <f t="shared" si="9"/>
        <v>0</v>
      </c>
      <c r="N118" s="142">
        <f t="shared" si="10"/>
        <v>0</v>
      </c>
      <c r="O118" s="142">
        <f t="shared" ref="O118:Q118" si="120">H118*3600/(1*10^6)</f>
        <v>272.4533881</v>
      </c>
      <c r="P118" s="142">
        <f t="shared" si="120"/>
        <v>389.2191258</v>
      </c>
      <c r="Q118" s="142">
        <f t="shared" si="120"/>
        <v>440.4057381</v>
      </c>
      <c r="R118" s="142">
        <f t="shared" si="12"/>
        <v>0</v>
      </c>
      <c r="T118">
        <f>Pumps!$F$18*D118/Pumps!$I$4/3600</f>
        <v>108.1164238</v>
      </c>
      <c r="U118">
        <f>IF('Design Specifications'!$C$30="y",Disinfection!G116*Disinfection!$N$3*(1*10^6)/3600,0)</f>
        <v>0</v>
      </c>
      <c r="V118">
        <f t="shared" si="13"/>
        <v>864</v>
      </c>
      <c r="W118">
        <f t="shared" si="18"/>
        <v>3.499619126</v>
      </c>
      <c r="X118">
        <f t="shared" si="14"/>
        <v>3.1104</v>
      </c>
      <c r="Y118">
        <f t="shared" si="15"/>
        <v>0.4814013661</v>
      </c>
    </row>
    <row r="119">
      <c r="A119" s="78" t="s">
        <v>343</v>
      </c>
      <c r="B119" s="78">
        <v>20.8</v>
      </c>
      <c r="C119" s="78">
        <f t="shared" si="3"/>
        <v>2496</v>
      </c>
      <c r="D119">
        <f t="shared" si="4"/>
        <v>2.496</v>
      </c>
      <c r="E119">
        <v>14.0</v>
      </c>
      <c r="F119">
        <f t="shared" si="5"/>
        <v>0</v>
      </c>
      <c r="G119">
        <f t="shared" si="6"/>
        <v>0</v>
      </c>
      <c r="H119">
        <f>C119*Pumps!$F$18/3600</f>
        <v>106363.1845</v>
      </c>
      <c r="I119">
        <f t="shared" si="7"/>
        <v>151947.4065</v>
      </c>
      <c r="J119">
        <f t="shared" si="8"/>
        <v>171565.8869</v>
      </c>
      <c r="K119">
        <f t="shared" si="22"/>
        <v>0</v>
      </c>
      <c r="M119" s="142">
        <f t="shared" si="9"/>
        <v>0</v>
      </c>
      <c r="N119" s="142">
        <f t="shared" si="10"/>
        <v>0</v>
      </c>
      <c r="O119" s="142">
        <f t="shared" ref="O119:Q119" si="121">H119*3600/(1*10^6)</f>
        <v>382.9074643</v>
      </c>
      <c r="P119" s="142">
        <f t="shared" si="121"/>
        <v>547.0106633</v>
      </c>
      <c r="Q119" s="142">
        <f t="shared" si="121"/>
        <v>617.637193</v>
      </c>
      <c r="R119" s="142">
        <f t="shared" si="12"/>
        <v>0</v>
      </c>
      <c r="T119">
        <f>Pumps!$F$18*D119/Pumps!$I$4/3600</f>
        <v>151.9474065</v>
      </c>
      <c r="U119">
        <f>IF('Design Specifications'!$C$30="y",Disinfection!G117*Disinfection!$N$3*(1*10^6)/3600,0)</f>
        <v>0</v>
      </c>
      <c r="V119">
        <f t="shared" si="13"/>
        <v>864</v>
      </c>
      <c r="W119">
        <f t="shared" si="18"/>
        <v>3.657410663</v>
      </c>
      <c r="X119">
        <f t="shared" si="14"/>
        <v>3.1104</v>
      </c>
      <c r="Y119">
        <f t="shared" si="15"/>
        <v>0.4926721902</v>
      </c>
    </row>
    <row r="120">
      <c r="A120" s="78" t="s">
        <v>345</v>
      </c>
      <c r="B120" s="78">
        <v>37.4</v>
      </c>
      <c r="C120" s="78">
        <f t="shared" si="3"/>
        <v>4488</v>
      </c>
      <c r="D120">
        <f t="shared" si="4"/>
        <v>4.488</v>
      </c>
      <c r="E120">
        <v>14.0</v>
      </c>
      <c r="F120">
        <f t="shared" si="5"/>
        <v>0</v>
      </c>
      <c r="G120">
        <f t="shared" si="6"/>
        <v>0</v>
      </c>
      <c r="H120">
        <f>C120*Pumps!$F$18/3600</f>
        <v>191249.1876</v>
      </c>
      <c r="I120">
        <f t="shared" si="7"/>
        <v>273213.1251</v>
      </c>
      <c r="J120">
        <f t="shared" si="8"/>
        <v>307771.5421</v>
      </c>
      <c r="K120">
        <f t="shared" si="22"/>
        <v>0</v>
      </c>
      <c r="M120" s="142">
        <f t="shared" si="9"/>
        <v>0</v>
      </c>
      <c r="N120" s="142">
        <f t="shared" si="10"/>
        <v>0</v>
      </c>
      <c r="O120" s="142">
        <f t="shared" ref="O120:Q120" si="122">H120*3600/(1*10^6)</f>
        <v>688.4970752</v>
      </c>
      <c r="P120" s="142">
        <f t="shared" si="122"/>
        <v>983.5672503</v>
      </c>
      <c r="Q120" s="142">
        <f t="shared" si="122"/>
        <v>1107.977552</v>
      </c>
      <c r="R120" s="142">
        <f t="shared" si="12"/>
        <v>0</v>
      </c>
      <c r="T120">
        <f>Pumps!$F$18*D120/Pumps!$I$4/3600</f>
        <v>273.2131251</v>
      </c>
      <c r="U120">
        <f>IF('Design Specifications'!$C$30="y",Disinfection!G118*Disinfection!$N$3*(1*10^6)/3600,0)</f>
        <v>0</v>
      </c>
      <c r="V120">
        <f t="shared" si="13"/>
        <v>864</v>
      </c>
      <c r="W120">
        <f t="shared" si="18"/>
        <v>4.09396725</v>
      </c>
      <c r="X120">
        <f t="shared" si="14"/>
        <v>3.1104</v>
      </c>
      <c r="Y120">
        <f t="shared" si="15"/>
        <v>0.5238548036</v>
      </c>
    </row>
    <row r="121">
      <c r="A121" s="78" t="s">
        <v>347</v>
      </c>
      <c r="B121" s="78">
        <v>9.8</v>
      </c>
      <c r="C121" s="78">
        <f t="shared" si="3"/>
        <v>1176</v>
      </c>
      <c r="D121">
        <f t="shared" si="4"/>
        <v>1.176</v>
      </c>
      <c r="E121">
        <v>14.0</v>
      </c>
      <c r="F121">
        <f t="shared" si="5"/>
        <v>0</v>
      </c>
      <c r="G121">
        <f t="shared" si="6"/>
        <v>0</v>
      </c>
      <c r="H121">
        <f>C121*Pumps!$F$18/3600</f>
        <v>50113.42348</v>
      </c>
      <c r="I121">
        <f t="shared" si="7"/>
        <v>71590.60497</v>
      </c>
      <c r="J121">
        <f t="shared" si="8"/>
        <v>81309.1275</v>
      </c>
      <c r="K121">
        <f t="shared" si="22"/>
        <v>0</v>
      </c>
      <c r="M121" s="142">
        <f t="shared" si="9"/>
        <v>0</v>
      </c>
      <c r="N121" s="142">
        <f t="shared" si="10"/>
        <v>0</v>
      </c>
      <c r="O121" s="142">
        <f t="shared" ref="O121:Q121" si="123">H121*3600/(1*10^6)</f>
        <v>180.4083245</v>
      </c>
      <c r="P121" s="142">
        <f t="shared" si="123"/>
        <v>257.7261779</v>
      </c>
      <c r="Q121" s="142">
        <f t="shared" si="123"/>
        <v>292.712859</v>
      </c>
      <c r="R121" s="142">
        <f t="shared" si="12"/>
        <v>0</v>
      </c>
      <c r="T121">
        <f>Pumps!$F$18*D121/Pumps!$I$4/3600</f>
        <v>71.59060497</v>
      </c>
      <c r="U121">
        <f>IF('Design Specifications'!$C$30="y",Disinfection!G119*Disinfection!$N$3*(1*10^6)/3600,0)</f>
        <v>0</v>
      </c>
      <c r="V121">
        <f t="shared" si="13"/>
        <v>864</v>
      </c>
      <c r="W121">
        <f t="shared" si="18"/>
        <v>3.368126178</v>
      </c>
      <c r="X121">
        <f t="shared" si="14"/>
        <v>3.1104</v>
      </c>
      <c r="Y121">
        <f t="shared" si="15"/>
        <v>0.4720090127</v>
      </c>
    </row>
    <row r="122">
      <c r="A122" s="78" t="s">
        <v>349</v>
      </c>
      <c r="B122" s="78">
        <v>1.9</v>
      </c>
      <c r="C122" s="78">
        <f t="shared" si="3"/>
        <v>228</v>
      </c>
      <c r="D122">
        <f t="shared" si="4"/>
        <v>0.228</v>
      </c>
      <c r="E122">
        <v>14.0</v>
      </c>
      <c r="F122">
        <f t="shared" si="5"/>
        <v>0</v>
      </c>
      <c r="G122">
        <f t="shared" si="6"/>
        <v>0</v>
      </c>
      <c r="H122">
        <f>C122*Pumps!$F$18/3600</f>
        <v>9715.867817</v>
      </c>
      <c r="I122">
        <f t="shared" si="7"/>
        <v>13879.81117</v>
      </c>
      <c r="J122">
        <f t="shared" si="8"/>
        <v>16488.3639</v>
      </c>
      <c r="K122">
        <f t="shared" si="22"/>
        <v>0</v>
      </c>
      <c r="M122" s="142">
        <f t="shared" si="9"/>
        <v>0</v>
      </c>
      <c r="N122" s="142">
        <f t="shared" si="10"/>
        <v>0</v>
      </c>
      <c r="O122" s="142">
        <f t="shared" ref="O122:Q122" si="124">H122*3600/(1*10^6)</f>
        <v>34.97712414</v>
      </c>
      <c r="P122" s="142">
        <f t="shared" si="124"/>
        <v>49.9673202</v>
      </c>
      <c r="Q122" s="142">
        <f t="shared" si="124"/>
        <v>59.35811005</v>
      </c>
      <c r="R122" s="142">
        <f t="shared" si="12"/>
        <v>0</v>
      </c>
      <c r="T122">
        <f>Pumps!$F$18*D122/Pumps!$I$4/3600</f>
        <v>13.87981117</v>
      </c>
      <c r="U122">
        <f>IF('Design Specifications'!$C$30="y",Disinfection!G120*Disinfection!$N$3*(1*10^6)/3600,0)</f>
        <v>0</v>
      </c>
      <c r="V122">
        <f t="shared" si="13"/>
        <v>864</v>
      </c>
      <c r="W122">
        <f t="shared" si="18"/>
        <v>3.16036732</v>
      </c>
      <c r="X122">
        <f t="shared" si="14"/>
        <v>3.1104</v>
      </c>
      <c r="Y122">
        <f t="shared" si="15"/>
        <v>0.4571690943</v>
      </c>
    </row>
    <row r="123">
      <c r="A123" s="78" t="s">
        <v>351</v>
      </c>
      <c r="B123" s="78">
        <v>21.0</v>
      </c>
      <c r="C123" s="78">
        <f t="shared" si="3"/>
        <v>2520</v>
      </c>
      <c r="D123">
        <f t="shared" si="4"/>
        <v>2.52</v>
      </c>
      <c r="E123">
        <v>14.0</v>
      </c>
      <c r="F123">
        <f t="shared" si="5"/>
        <v>0</v>
      </c>
      <c r="G123">
        <f t="shared" si="6"/>
        <v>0</v>
      </c>
      <c r="H123">
        <f>C123*Pumps!$F$18/3600</f>
        <v>107385.9075</v>
      </c>
      <c r="I123">
        <f t="shared" si="7"/>
        <v>153408.4392</v>
      </c>
      <c r="J123">
        <f t="shared" si="8"/>
        <v>173206.9189</v>
      </c>
      <c r="K123">
        <f t="shared" si="22"/>
        <v>0</v>
      </c>
      <c r="M123" s="142">
        <f t="shared" si="9"/>
        <v>0</v>
      </c>
      <c r="N123" s="142">
        <f t="shared" si="10"/>
        <v>0</v>
      </c>
      <c r="O123" s="142">
        <f t="shared" ref="O123:Q123" si="125">H123*3600/(1*10^6)</f>
        <v>386.5892668</v>
      </c>
      <c r="P123" s="142">
        <f t="shared" si="125"/>
        <v>552.2703812</v>
      </c>
      <c r="Q123" s="142">
        <f t="shared" si="125"/>
        <v>623.5449081</v>
      </c>
      <c r="R123" s="142">
        <f t="shared" si="12"/>
        <v>0</v>
      </c>
      <c r="T123">
        <f>Pumps!$F$18*D123/Pumps!$I$4/3600</f>
        <v>153.4084392</v>
      </c>
      <c r="U123">
        <f>IF('Design Specifications'!$C$30="y",Disinfection!G121*Disinfection!$N$3*(1*10^6)/3600,0)</f>
        <v>0</v>
      </c>
      <c r="V123">
        <f t="shared" si="13"/>
        <v>864</v>
      </c>
      <c r="W123">
        <f t="shared" si="18"/>
        <v>3.662670381</v>
      </c>
      <c r="X123">
        <f t="shared" si="14"/>
        <v>3.1104</v>
      </c>
      <c r="Y123">
        <f t="shared" si="15"/>
        <v>0.4930478844</v>
      </c>
    </row>
    <row r="124">
      <c r="A124" s="78" t="s">
        <v>353</v>
      </c>
      <c r="B124" s="78">
        <v>30.0</v>
      </c>
      <c r="C124" s="78">
        <f t="shared" si="3"/>
        <v>3600</v>
      </c>
      <c r="D124">
        <f t="shared" si="4"/>
        <v>3.6</v>
      </c>
      <c r="E124">
        <v>14.0</v>
      </c>
      <c r="F124">
        <f t="shared" si="5"/>
        <v>0</v>
      </c>
      <c r="G124">
        <f t="shared" si="6"/>
        <v>0</v>
      </c>
      <c r="H124">
        <f>C124*Pumps!$F$18/3600</f>
        <v>153408.4392</v>
      </c>
      <c r="I124">
        <f t="shared" si="7"/>
        <v>219154.9132</v>
      </c>
      <c r="J124">
        <f t="shared" si="8"/>
        <v>247053.3585</v>
      </c>
      <c r="K124">
        <f t="shared" si="22"/>
        <v>0</v>
      </c>
      <c r="M124" s="142">
        <f t="shared" si="9"/>
        <v>0</v>
      </c>
      <c r="N124" s="142">
        <f t="shared" si="10"/>
        <v>0</v>
      </c>
      <c r="O124" s="142">
        <f t="shared" ref="O124:Q124" si="126">H124*3600/(1*10^6)</f>
        <v>552.2703812</v>
      </c>
      <c r="P124" s="142">
        <f t="shared" si="126"/>
        <v>788.9576874</v>
      </c>
      <c r="Q124" s="142">
        <f t="shared" si="126"/>
        <v>889.3920905</v>
      </c>
      <c r="R124" s="142">
        <f t="shared" si="12"/>
        <v>0</v>
      </c>
      <c r="T124">
        <f>Pumps!$F$18*D124/Pumps!$I$4/3600</f>
        <v>219.1549132</v>
      </c>
      <c r="U124">
        <f>IF('Design Specifications'!$C$30="y",Disinfection!G122*Disinfection!$N$3*(1*10^6)/3600,0)</f>
        <v>0</v>
      </c>
      <c r="V124">
        <f t="shared" si="13"/>
        <v>864</v>
      </c>
      <c r="W124">
        <f t="shared" si="18"/>
        <v>3.899357687</v>
      </c>
      <c r="X124">
        <f t="shared" si="14"/>
        <v>3.1104</v>
      </c>
      <c r="Y124">
        <f t="shared" si="15"/>
        <v>0.5099541205</v>
      </c>
    </row>
    <row r="125">
      <c r="A125" s="78" t="s">
        <v>355</v>
      </c>
      <c r="B125" s="78">
        <v>0.0</v>
      </c>
      <c r="C125" s="78">
        <f t="shared" si="3"/>
        <v>0</v>
      </c>
      <c r="D125">
        <f t="shared" si="4"/>
        <v>0</v>
      </c>
      <c r="E125">
        <v>14.0</v>
      </c>
      <c r="F125">
        <f t="shared" si="5"/>
        <v>0</v>
      </c>
      <c r="G125">
        <f t="shared" si="6"/>
        <v>0</v>
      </c>
      <c r="H125">
        <f>C125*Pumps!$F$18/3600</f>
        <v>0</v>
      </c>
      <c r="I125">
        <f t="shared" si="7"/>
        <v>0</v>
      </c>
      <c r="J125">
        <f t="shared" si="8"/>
        <v>898.56</v>
      </c>
      <c r="K125">
        <f t="shared" si="22"/>
        <v>0</v>
      </c>
      <c r="M125" s="142">
        <f t="shared" si="9"/>
        <v>0</v>
      </c>
      <c r="N125" s="142">
        <f t="shared" si="10"/>
        <v>0</v>
      </c>
      <c r="O125" s="142">
        <f t="shared" ref="O125:Q125" si="127">H125*3600/(1*10^6)</f>
        <v>0</v>
      </c>
      <c r="P125" s="142">
        <f t="shared" si="127"/>
        <v>0</v>
      </c>
      <c r="Q125" s="142">
        <f t="shared" si="127"/>
        <v>3.234816</v>
      </c>
      <c r="R125" s="142">
        <f t="shared" si="12"/>
        <v>0</v>
      </c>
      <c r="T125">
        <f>Pumps!$F$18*D125/Pumps!$I$4/3600</f>
        <v>0</v>
      </c>
      <c r="U125">
        <f>IF('Design Specifications'!$C$30="y",Disinfection!G123*Disinfection!$N$3*(1*10^6)/3600,0)</f>
        <v>0</v>
      </c>
      <c r="V125">
        <f t="shared" si="13"/>
        <v>864</v>
      </c>
      <c r="W125">
        <f t="shared" si="18"/>
        <v>3.1104</v>
      </c>
      <c r="X125">
        <f t="shared" si="14"/>
        <v>3.1104</v>
      </c>
      <c r="Y125">
        <f t="shared" si="15"/>
        <v>0.4536</v>
      </c>
    </row>
    <row r="126">
      <c r="A126" s="78" t="s">
        <v>357</v>
      </c>
      <c r="B126" s="78">
        <v>4.4</v>
      </c>
      <c r="C126" s="78">
        <f t="shared" si="3"/>
        <v>528</v>
      </c>
      <c r="D126">
        <f t="shared" si="4"/>
        <v>0.528</v>
      </c>
      <c r="E126">
        <v>14.0</v>
      </c>
      <c r="F126">
        <f t="shared" si="5"/>
        <v>0</v>
      </c>
      <c r="G126">
        <f t="shared" si="6"/>
        <v>0</v>
      </c>
      <c r="H126">
        <f>C126*Pumps!$F$18/3600</f>
        <v>22499.90442</v>
      </c>
      <c r="I126">
        <f t="shared" si="7"/>
        <v>32142.7206</v>
      </c>
      <c r="J126">
        <f t="shared" si="8"/>
        <v>37001.26378</v>
      </c>
      <c r="K126">
        <f t="shared" si="22"/>
        <v>0</v>
      </c>
      <c r="M126" s="142">
        <f t="shared" si="9"/>
        <v>0</v>
      </c>
      <c r="N126" s="142">
        <f t="shared" si="10"/>
        <v>0</v>
      </c>
      <c r="O126" s="142">
        <f t="shared" ref="O126:Q126" si="128">H126*3600/(1*10^6)</f>
        <v>80.99965591</v>
      </c>
      <c r="P126" s="142">
        <f t="shared" si="128"/>
        <v>115.7137942</v>
      </c>
      <c r="Q126" s="142">
        <f t="shared" si="128"/>
        <v>133.2045496</v>
      </c>
      <c r="R126" s="142">
        <f t="shared" si="12"/>
        <v>0</v>
      </c>
      <c r="T126">
        <f>Pumps!$F$18*D126/Pumps!$I$4/3600</f>
        <v>32.1427206</v>
      </c>
      <c r="U126">
        <f>IF('Design Specifications'!$C$30="y",Disinfection!G124*Disinfection!$N$3*(1*10^6)/3600,0)</f>
        <v>0</v>
      </c>
      <c r="V126">
        <f t="shared" si="13"/>
        <v>864</v>
      </c>
      <c r="W126">
        <f t="shared" si="18"/>
        <v>3.226113794</v>
      </c>
      <c r="X126">
        <f t="shared" si="14"/>
        <v>3.1104</v>
      </c>
      <c r="Y126">
        <f t="shared" si="15"/>
        <v>0.461865271</v>
      </c>
    </row>
    <row r="127">
      <c r="A127" s="78" t="s">
        <v>359</v>
      </c>
      <c r="B127" s="78">
        <v>12.8</v>
      </c>
      <c r="C127" s="78">
        <f t="shared" si="3"/>
        <v>1536</v>
      </c>
      <c r="D127">
        <f t="shared" si="4"/>
        <v>1.536</v>
      </c>
      <c r="E127">
        <v>14.0</v>
      </c>
      <c r="F127">
        <f t="shared" si="5"/>
        <v>0</v>
      </c>
      <c r="G127">
        <f t="shared" si="6"/>
        <v>0</v>
      </c>
      <c r="H127">
        <f>C127*Pumps!$F$18/3600</f>
        <v>65454.2674</v>
      </c>
      <c r="I127">
        <f t="shared" si="7"/>
        <v>93506.09628</v>
      </c>
      <c r="J127">
        <f t="shared" si="8"/>
        <v>105924.6073</v>
      </c>
      <c r="K127">
        <f t="shared" si="22"/>
        <v>0</v>
      </c>
      <c r="M127" s="142">
        <f t="shared" si="9"/>
        <v>0</v>
      </c>
      <c r="N127" s="142">
        <f t="shared" si="10"/>
        <v>0</v>
      </c>
      <c r="O127" s="142">
        <f t="shared" ref="O127:Q127" si="129">H127*3600/(1*10^6)</f>
        <v>235.6353626</v>
      </c>
      <c r="P127" s="142">
        <f t="shared" si="129"/>
        <v>336.6219466</v>
      </c>
      <c r="Q127" s="142">
        <f t="shared" si="129"/>
        <v>381.3285865</v>
      </c>
      <c r="R127" s="142">
        <f t="shared" si="12"/>
        <v>0</v>
      </c>
      <c r="T127">
        <f>Pumps!$F$18*D127/Pumps!$I$4/3600</f>
        <v>93.50609628</v>
      </c>
      <c r="U127">
        <f>IF('Design Specifications'!$C$30="y",Disinfection!G125*Disinfection!$N$3*(1*10^6)/3600,0)</f>
        <v>0</v>
      </c>
      <c r="V127">
        <f t="shared" si="13"/>
        <v>864</v>
      </c>
      <c r="W127">
        <f t="shared" si="18"/>
        <v>3.447021947</v>
      </c>
      <c r="X127">
        <f t="shared" si="14"/>
        <v>3.1104</v>
      </c>
      <c r="Y127">
        <f t="shared" si="15"/>
        <v>0.4776444248</v>
      </c>
    </row>
    <row r="128">
      <c r="A128" s="78" t="s">
        <v>361</v>
      </c>
      <c r="B128" s="78">
        <v>26.0</v>
      </c>
      <c r="C128" s="78">
        <f t="shared" si="3"/>
        <v>3120</v>
      </c>
      <c r="D128">
        <f t="shared" si="4"/>
        <v>3.12</v>
      </c>
      <c r="E128">
        <v>14.0</v>
      </c>
      <c r="F128">
        <f t="shared" si="5"/>
        <v>0</v>
      </c>
      <c r="G128">
        <f t="shared" si="6"/>
        <v>0</v>
      </c>
      <c r="H128">
        <f>C128*Pumps!$F$18/3600</f>
        <v>132953.9807</v>
      </c>
      <c r="I128">
        <f t="shared" si="7"/>
        <v>189934.2581</v>
      </c>
      <c r="J128">
        <f t="shared" si="8"/>
        <v>214232.7187</v>
      </c>
      <c r="K128">
        <f t="shared" si="22"/>
        <v>0</v>
      </c>
      <c r="M128" s="142">
        <f t="shared" si="9"/>
        <v>0</v>
      </c>
      <c r="N128" s="142">
        <f t="shared" si="10"/>
        <v>0</v>
      </c>
      <c r="O128" s="142">
        <f t="shared" ref="O128:Q128" si="130">H128*3600/(1*10^6)</f>
        <v>478.6343304</v>
      </c>
      <c r="P128" s="142">
        <f t="shared" si="130"/>
        <v>683.7633291</v>
      </c>
      <c r="Q128" s="142">
        <f t="shared" si="130"/>
        <v>771.2377872</v>
      </c>
      <c r="R128" s="142">
        <f t="shared" si="12"/>
        <v>0</v>
      </c>
      <c r="T128">
        <f>Pumps!$F$18*D128/Pumps!$I$4/3600</f>
        <v>189.9342581</v>
      </c>
      <c r="U128">
        <f>IF('Design Specifications'!$C$30="y",Disinfection!G126*Disinfection!$N$3*(1*10^6)/3600,0)</f>
        <v>0</v>
      </c>
      <c r="V128">
        <f t="shared" si="13"/>
        <v>864</v>
      </c>
      <c r="W128">
        <f t="shared" si="18"/>
        <v>3.794163329</v>
      </c>
      <c r="X128">
        <f t="shared" si="14"/>
        <v>3.1104</v>
      </c>
      <c r="Y128">
        <f t="shared" si="15"/>
        <v>0.5024402378</v>
      </c>
    </row>
    <row r="129">
      <c r="A129" s="78" t="s">
        <v>363</v>
      </c>
      <c r="B129" s="78">
        <v>1.8</v>
      </c>
      <c r="C129" s="78">
        <f t="shared" si="3"/>
        <v>216</v>
      </c>
      <c r="D129">
        <f t="shared" si="4"/>
        <v>0.216</v>
      </c>
      <c r="E129">
        <v>14.0</v>
      </c>
      <c r="F129">
        <f t="shared" si="5"/>
        <v>0</v>
      </c>
      <c r="G129">
        <f t="shared" si="6"/>
        <v>0</v>
      </c>
      <c r="H129">
        <f>C129*Pumps!$F$18/3600</f>
        <v>9204.506353</v>
      </c>
      <c r="I129">
        <f t="shared" si="7"/>
        <v>13149.29479</v>
      </c>
      <c r="J129">
        <f t="shared" si="8"/>
        <v>15667.84791</v>
      </c>
      <c r="K129">
        <f t="shared" si="22"/>
        <v>0</v>
      </c>
      <c r="M129" s="142">
        <f t="shared" si="9"/>
        <v>0</v>
      </c>
      <c r="N129" s="142">
        <f t="shared" si="10"/>
        <v>0</v>
      </c>
      <c r="O129" s="142">
        <f t="shared" ref="O129:Q129" si="131">H129*3600/(1*10^6)</f>
        <v>33.13622287</v>
      </c>
      <c r="P129" s="142">
        <f t="shared" si="131"/>
        <v>47.33746124</v>
      </c>
      <c r="Q129" s="142">
        <f t="shared" si="131"/>
        <v>56.40425247</v>
      </c>
      <c r="R129" s="142">
        <f t="shared" si="12"/>
        <v>0</v>
      </c>
      <c r="T129">
        <f>Pumps!$F$18*D129/Pumps!$I$4/3600</f>
        <v>13.14929479</v>
      </c>
      <c r="U129">
        <f>IF('Design Specifications'!$C$30="y",Disinfection!G127*Disinfection!$N$3*(1*10^6)/3600,0)</f>
        <v>0</v>
      </c>
      <c r="V129">
        <f t="shared" si="13"/>
        <v>864</v>
      </c>
      <c r="W129">
        <f t="shared" si="18"/>
        <v>3.157737461</v>
      </c>
      <c r="X129">
        <f t="shared" si="14"/>
        <v>3.1104</v>
      </c>
      <c r="Y129">
        <f t="shared" si="15"/>
        <v>0.4569812472</v>
      </c>
    </row>
    <row r="130">
      <c r="A130" s="78" t="s">
        <v>365</v>
      </c>
      <c r="B130" s="78">
        <v>35.0</v>
      </c>
      <c r="C130" s="78">
        <f t="shared" si="3"/>
        <v>4200</v>
      </c>
      <c r="D130">
        <f t="shared" si="4"/>
        <v>4.2</v>
      </c>
      <c r="E130">
        <v>14.0</v>
      </c>
      <c r="F130">
        <f t="shared" si="5"/>
        <v>0</v>
      </c>
      <c r="G130">
        <f t="shared" si="6"/>
        <v>0</v>
      </c>
      <c r="H130">
        <f>C130*Pumps!$F$18/3600</f>
        <v>178976.5124</v>
      </c>
      <c r="I130">
        <f t="shared" si="7"/>
        <v>255680.732</v>
      </c>
      <c r="J130">
        <f t="shared" si="8"/>
        <v>288079.1582</v>
      </c>
      <c r="K130">
        <f t="shared" si="22"/>
        <v>0</v>
      </c>
      <c r="M130" s="142">
        <f t="shared" si="9"/>
        <v>0</v>
      </c>
      <c r="N130" s="142">
        <f t="shared" si="10"/>
        <v>0</v>
      </c>
      <c r="O130" s="142">
        <f t="shared" ref="O130:Q130" si="132">H130*3600/(1*10^6)</f>
        <v>644.3154447</v>
      </c>
      <c r="P130" s="142">
        <f t="shared" si="132"/>
        <v>920.4506353</v>
      </c>
      <c r="Q130" s="142">
        <f t="shared" si="132"/>
        <v>1037.08497</v>
      </c>
      <c r="R130" s="142">
        <f t="shared" si="12"/>
        <v>0</v>
      </c>
      <c r="T130">
        <f>Pumps!$F$18*D130/Pumps!$I$4/3600</f>
        <v>255.680732</v>
      </c>
      <c r="U130">
        <f>IF('Design Specifications'!$C$30="y",Disinfection!G128*Disinfection!$N$3*(1*10^6)/3600,0)</f>
        <v>0</v>
      </c>
      <c r="V130">
        <f t="shared" si="13"/>
        <v>864</v>
      </c>
      <c r="W130">
        <f t="shared" si="18"/>
        <v>4.030850635</v>
      </c>
      <c r="X130">
        <f t="shared" si="14"/>
        <v>3.1104</v>
      </c>
      <c r="Y130">
        <f t="shared" si="15"/>
        <v>0.519346474</v>
      </c>
    </row>
    <row r="131">
      <c r="A131" s="78" t="s">
        <v>367</v>
      </c>
      <c r="B131" s="78">
        <v>7.2</v>
      </c>
      <c r="C131" s="78">
        <f t="shared" si="3"/>
        <v>864</v>
      </c>
      <c r="D131">
        <f t="shared" si="4"/>
        <v>0.864</v>
      </c>
      <c r="E131">
        <v>14.0</v>
      </c>
      <c r="F131">
        <f t="shared" si="5"/>
        <v>0</v>
      </c>
      <c r="G131">
        <f t="shared" si="6"/>
        <v>0</v>
      </c>
      <c r="H131">
        <f>C131*Pumps!$F$18/3600</f>
        <v>36818.02541</v>
      </c>
      <c r="I131">
        <f t="shared" si="7"/>
        <v>52597.17916</v>
      </c>
      <c r="J131">
        <f t="shared" si="8"/>
        <v>59975.71163</v>
      </c>
      <c r="K131">
        <f t="shared" si="22"/>
        <v>0</v>
      </c>
      <c r="M131" s="142">
        <f t="shared" si="9"/>
        <v>0</v>
      </c>
      <c r="N131" s="142">
        <f t="shared" si="10"/>
        <v>0</v>
      </c>
      <c r="O131" s="142">
        <f t="shared" ref="O131:Q131" si="133">H131*3600/(1*10^6)</f>
        <v>132.5448915</v>
      </c>
      <c r="P131" s="142">
        <f t="shared" si="133"/>
        <v>189.349845</v>
      </c>
      <c r="Q131" s="142">
        <f t="shared" si="133"/>
        <v>215.9125619</v>
      </c>
      <c r="R131" s="142">
        <f t="shared" si="12"/>
        <v>0</v>
      </c>
      <c r="T131">
        <f>Pumps!$F$18*D131/Pumps!$I$4/3600</f>
        <v>52.59717916</v>
      </c>
      <c r="U131">
        <f>IF('Design Specifications'!$C$30="y",Disinfection!G129*Disinfection!$N$3*(1*10^6)/3600,0)</f>
        <v>0</v>
      </c>
      <c r="V131">
        <f t="shared" si="13"/>
        <v>864</v>
      </c>
      <c r="W131">
        <f t="shared" si="18"/>
        <v>3.299749845</v>
      </c>
      <c r="X131">
        <f t="shared" si="14"/>
        <v>3.1104</v>
      </c>
      <c r="Y131">
        <f t="shared" si="15"/>
        <v>0.4671249889</v>
      </c>
    </row>
    <row r="132">
      <c r="A132" s="78" t="s">
        <v>369</v>
      </c>
      <c r="B132" s="78">
        <v>0.8</v>
      </c>
      <c r="C132" s="78">
        <f t="shared" si="3"/>
        <v>96</v>
      </c>
      <c r="D132">
        <f t="shared" si="4"/>
        <v>0.096</v>
      </c>
      <c r="E132">
        <v>14.0</v>
      </c>
      <c r="F132">
        <f t="shared" si="5"/>
        <v>0</v>
      </c>
      <c r="G132">
        <f t="shared" si="6"/>
        <v>0</v>
      </c>
      <c r="H132">
        <f>C132*Pumps!$F$18/3600</f>
        <v>4090.891712</v>
      </c>
      <c r="I132">
        <f t="shared" si="7"/>
        <v>5844.131018</v>
      </c>
      <c r="J132">
        <f t="shared" si="8"/>
        <v>7462.687959</v>
      </c>
      <c r="K132">
        <f t="shared" si="22"/>
        <v>0</v>
      </c>
      <c r="M132" s="142">
        <f t="shared" si="9"/>
        <v>0</v>
      </c>
      <c r="N132" s="142">
        <f t="shared" si="10"/>
        <v>0</v>
      </c>
      <c r="O132" s="142">
        <f t="shared" ref="O132:Q132" si="134">H132*3600/(1*10^6)</f>
        <v>14.72721016</v>
      </c>
      <c r="P132" s="142">
        <f t="shared" si="134"/>
        <v>21.03887166</v>
      </c>
      <c r="Q132" s="142">
        <f t="shared" si="134"/>
        <v>26.86567665</v>
      </c>
      <c r="R132" s="142">
        <f t="shared" si="12"/>
        <v>0</v>
      </c>
      <c r="T132">
        <f>Pumps!$F$18*D132/Pumps!$I$4/3600</f>
        <v>5.844131018</v>
      </c>
      <c r="U132">
        <f>IF('Design Specifications'!$C$30="y",Disinfection!G130*Disinfection!$N$3*(1*10^6)/3600,0)</f>
        <v>0</v>
      </c>
      <c r="V132">
        <f t="shared" si="13"/>
        <v>864</v>
      </c>
      <c r="W132">
        <f t="shared" si="18"/>
        <v>3.131438872</v>
      </c>
      <c r="X132">
        <f t="shared" si="14"/>
        <v>3.1104</v>
      </c>
      <c r="Y132">
        <f t="shared" si="15"/>
        <v>0.4551027765</v>
      </c>
    </row>
    <row r="133">
      <c r="A133" s="78" t="s">
        <v>371</v>
      </c>
      <c r="B133" s="78">
        <v>0.1</v>
      </c>
      <c r="C133" s="78">
        <f t="shared" si="3"/>
        <v>12</v>
      </c>
      <c r="D133">
        <f t="shared" si="4"/>
        <v>0.012</v>
      </c>
      <c r="E133">
        <v>14.0</v>
      </c>
      <c r="F133">
        <f t="shared" si="5"/>
        <v>0</v>
      </c>
      <c r="G133">
        <f t="shared" si="6"/>
        <v>0</v>
      </c>
      <c r="H133">
        <f>C133*Pumps!$F$18/3600</f>
        <v>511.3614641</v>
      </c>
      <c r="I133">
        <f t="shared" si="7"/>
        <v>730.5163772</v>
      </c>
      <c r="J133">
        <f t="shared" si="8"/>
        <v>1719.075995</v>
      </c>
      <c r="K133">
        <f t="shared" si="22"/>
        <v>0</v>
      </c>
      <c r="M133" s="142">
        <f t="shared" si="9"/>
        <v>0</v>
      </c>
      <c r="N133" s="142">
        <f t="shared" si="10"/>
        <v>0</v>
      </c>
      <c r="O133" s="142">
        <f t="shared" ref="O133:Q133" si="135">H133*3600/(1*10^6)</f>
        <v>1.840901271</v>
      </c>
      <c r="P133" s="142">
        <f t="shared" si="135"/>
        <v>2.629858958</v>
      </c>
      <c r="Q133" s="142">
        <f t="shared" si="135"/>
        <v>6.188673582</v>
      </c>
      <c r="R133" s="142">
        <f t="shared" si="12"/>
        <v>0</v>
      </c>
      <c r="T133">
        <f>Pumps!$F$18*D133/Pumps!$I$4/3600</f>
        <v>0.7305163772</v>
      </c>
      <c r="U133">
        <f>IF('Design Specifications'!$C$30="y",Disinfection!G131*Disinfection!$N$3*(1*10^6)/3600,0)</f>
        <v>0</v>
      </c>
      <c r="V133">
        <f t="shared" si="13"/>
        <v>864</v>
      </c>
      <c r="W133">
        <f t="shared" si="18"/>
        <v>3.113029859</v>
      </c>
      <c r="X133">
        <f t="shared" si="14"/>
        <v>3.1104</v>
      </c>
      <c r="Y133">
        <f t="shared" si="15"/>
        <v>0.4537878471</v>
      </c>
    </row>
    <row r="134">
      <c r="A134" s="78" t="s">
        <v>373</v>
      </c>
      <c r="B134" s="78">
        <v>0.0</v>
      </c>
      <c r="C134" s="78">
        <f t="shared" si="3"/>
        <v>0</v>
      </c>
      <c r="D134">
        <f t="shared" si="4"/>
        <v>0</v>
      </c>
      <c r="E134">
        <v>14.0</v>
      </c>
      <c r="F134">
        <f t="shared" si="5"/>
        <v>0</v>
      </c>
      <c r="G134">
        <f t="shared" si="6"/>
        <v>0</v>
      </c>
      <c r="H134">
        <f>C134*Pumps!$F$18/3600</f>
        <v>0</v>
      </c>
      <c r="I134">
        <f t="shared" si="7"/>
        <v>0</v>
      </c>
      <c r="J134">
        <f t="shared" si="8"/>
        <v>898.56</v>
      </c>
      <c r="K134">
        <f t="shared" si="22"/>
        <v>0</v>
      </c>
      <c r="M134" s="142">
        <f t="shared" si="9"/>
        <v>0</v>
      </c>
      <c r="N134" s="142">
        <f t="shared" si="10"/>
        <v>0</v>
      </c>
      <c r="O134" s="142">
        <f t="shared" ref="O134:Q134" si="136">H134*3600/(1*10^6)</f>
        <v>0</v>
      </c>
      <c r="P134" s="142">
        <f t="shared" si="136"/>
        <v>0</v>
      </c>
      <c r="Q134" s="142">
        <f t="shared" si="136"/>
        <v>3.234816</v>
      </c>
      <c r="R134" s="142">
        <f t="shared" si="12"/>
        <v>0</v>
      </c>
      <c r="T134">
        <f>Pumps!$F$18*D134/Pumps!$I$4/3600</f>
        <v>0</v>
      </c>
      <c r="U134">
        <f>IF('Design Specifications'!$C$30="y",Disinfection!G132*Disinfection!$N$3*(1*10^6)/3600,0)</f>
        <v>0</v>
      </c>
      <c r="V134">
        <f t="shared" si="13"/>
        <v>864</v>
      </c>
      <c r="W134">
        <f t="shared" si="18"/>
        <v>3.1104</v>
      </c>
      <c r="X134">
        <f t="shared" si="14"/>
        <v>3.1104</v>
      </c>
      <c r="Y134">
        <f t="shared" si="15"/>
        <v>0.4536</v>
      </c>
    </row>
    <row r="135">
      <c r="A135" s="78" t="s">
        <v>375</v>
      </c>
      <c r="B135" s="78">
        <v>0.0</v>
      </c>
      <c r="C135" s="78">
        <f t="shared" si="3"/>
        <v>0</v>
      </c>
      <c r="D135">
        <f t="shared" si="4"/>
        <v>0</v>
      </c>
      <c r="E135">
        <v>15.0</v>
      </c>
      <c r="F135">
        <f t="shared" si="5"/>
        <v>0</v>
      </c>
      <c r="G135">
        <f t="shared" si="6"/>
        <v>0</v>
      </c>
      <c r="H135">
        <f>C135*Pumps!$F$18/3600</f>
        <v>0</v>
      </c>
      <c r="I135">
        <f t="shared" si="7"/>
        <v>0</v>
      </c>
      <c r="J135">
        <f t="shared" si="8"/>
        <v>898.56</v>
      </c>
      <c r="K135">
        <f t="shared" si="22"/>
        <v>0</v>
      </c>
      <c r="M135" s="142">
        <f t="shared" si="9"/>
        <v>0</v>
      </c>
      <c r="N135" s="142">
        <f t="shared" si="10"/>
        <v>0</v>
      </c>
      <c r="O135" s="142">
        <f t="shared" ref="O135:Q135" si="137">H135*3600/(1*10^6)</f>
        <v>0</v>
      </c>
      <c r="P135" s="142">
        <f t="shared" si="137"/>
        <v>0</v>
      </c>
      <c r="Q135" s="142">
        <f t="shared" si="137"/>
        <v>3.234816</v>
      </c>
      <c r="R135" s="142">
        <f t="shared" si="12"/>
        <v>0</v>
      </c>
      <c r="T135">
        <f>Pumps!$F$18*D135/Pumps!$I$4/3600</f>
        <v>0</v>
      </c>
      <c r="U135">
        <f>IF('Design Specifications'!$C$30="y",Disinfection!G133*Disinfection!$N$3*(1*10^6)/3600,0)</f>
        <v>0</v>
      </c>
      <c r="V135">
        <f t="shared" si="13"/>
        <v>864</v>
      </c>
      <c r="W135">
        <f t="shared" si="18"/>
        <v>3.1104</v>
      </c>
      <c r="X135">
        <f t="shared" si="14"/>
        <v>3.1104</v>
      </c>
      <c r="Y135">
        <f t="shared" si="15"/>
        <v>0.4536</v>
      </c>
    </row>
    <row r="136">
      <c r="A136" s="78" t="s">
        <v>377</v>
      </c>
      <c r="B136" s="78">
        <v>2.0</v>
      </c>
      <c r="C136" s="78">
        <f t="shared" si="3"/>
        <v>240</v>
      </c>
      <c r="D136">
        <f t="shared" si="4"/>
        <v>0.24</v>
      </c>
      <c r="E136">
        <v>15.0</v>
      </c>
      <c r="F136">
        <f t="shared" si="5"/>
        <v>0</v>
      </c>
      <c r="G136">
        <f t="shared" si="6"/>
        <v>0</v>
      </c>
      <c r="H136">
        <f>C136*Pumps!$F$18/3600</f>
        <v>10227.22928</v>
      </c>
      <c r="I136">
        <f t="shared" si="7"/>
        <v>14610.32754</v>
      </c>
      <c r="J136">
        <f t="shared" si="8"/>
        <v>17308.8799</v>
      </c>
      <c r="K136">
        <f t="shared" si="22"/>
        <v>0</v>
      </c>
      <c r="M136" s="142">
        <f t="shared" si="9"/>
        <v>0</v>
      </c>
      <c r="N136" s="142">
        <f t="shared" si="10"/>
        <v>0</v>
      </c>
      <c r="O136" s="142">
        <f t="shared" ref="O136:Q136" si="138">H136*3600/(1*10^6)</f>
        <v>36.81802541</v>
      </c>
      <c r="P136" s="142">
        <f t="shared" si="138"/>
        <v>52.59717916</v>
      </c>
      <c r="Q136" s="142">
        <f t="shared" si="138"/>
        <v>62.31196763</v>
      </c>
      <c r="R136" s="142">
        <f t="shared" si="12"/>
        <v>0</v>
      </c>
      <c r="T136">
        <f>Pumps!$F$18*D136/Pumps!$I$4/3600</f>
        <v>14.61032754</v>
      </c>
      <c r="U136">
        <f>IF('Design Specifications'!$C$30="y",Disinfection!G134*Disinfection!$N$3*(1*10^6)/3600,0)</f>
        <v>0</v>
      </c>
      <c r="V136">
        <f t="shared" si="13"/>
        <v>864</v>
      </c>
      <c r="W136">
        <f t="shared" si="18"/>
        <v>3.162997179</v>
      </c>
      <c r="X136">
        <f t="shared" si="14"/>
        <v>3.1104</v>
      </c>
      <c r="Y136">
        <f t="shared" si="15"/>
        <v>0.4573569414</v>
      </c>
    </row>
    <row r="137">
      <c r="A137" s="78" t="s">
        <v>379</v>
      </c>
      <c r="B137" s="78">
        <v>4.6</v>
      </c>
      <c r="C137" s="78">
        <f t="shared" si="3"/>
        <v>552</v>
      </c>
      <c r="D137">
        <f t="shared" si="4"/>
        <v>0.552</v>
      </c>
      <c r="E137">
        <v>15.0</v>
      </c>
      <c r="F137">
        <f t="shared" si="5"/>
        <v>0</v>
      </c>
      <c r="G137">
        <f t="shared" si="6"/>
        <v>0</v>
      </c>
      <c r="H137">
        <f>C137*Pumps!$F$18/3600</f>
        <v>23522.62735</v>
      </c>
      <c r="I137">
        <f t="shared" si="7"/>
        <v>33603.75335</v>
      </c>
      <c r="J137">
        <f t="shared" si="8"/>
        <v>38642.29577</v>
      </c>
      <c r="K137">
        <f t="shared" si="22"/>
        <v>0</v>
      </c>
      <c r="M137" s="142">
        <f t="shared" si="9"/>
        <v>0</v>
      </c>
      <c r="N137" s="142">
        <f t="shared" si="10"/>
        <v>0</v>
      </c>
      <c r="O137" s="142">
        <f t="shared" ref="O137:Q137" si="139">H137*3600/(1*10^6)</f>
        <v>84.68145845</v>
      </c>
      <c r="P137" s="142">
        <f t="shared" si="139"/>
        <v>120.9735121</v>
      </c>
      <c r="Q137" s="142">
        <f t="shared" si="139"/>
        <v>139.1122648</v>
      </c>
      <c r="R137" s="142">
        <f t="shared" si="12"/>
        <v>0</v>
      </c>
      <c r="T137">
        <f>Pumps!$F$18*D137/Pumps!$I$4/3600</f>
        <v>33.60375335</v>
      </c>
      <c r="U137">
        <f>IF('Design Specifications'!$C$30="y",Disinfection!G135*Disinfection!$N$3*(1*10^6)/3600,0)</f>
        <v>0</v>
      </c>
      <c r="V137">
        <f t="shared" si="13"/>
        <v>864</v>
      </c>
      <c r="W137">
        <f t="shared" si="18"/>
        <v>3.231373512</v>
      </c>
      <c r="X137">
        <f t="shared" si="14"/>
        <v>3.1104</v>
      </c>
      <c r="Y137">
        <f t="shared" si="15"/>
        <v>0.4622409651</v>
      </c>
    </row>
    <row r="138">
      <c r="A138" s="78" t="s">
        <v>381</v>
      </c>
      <c r="B138" s="78">
        <v>3.8</v>
      </c>
      <c r="C138" s="78">
        <f t="shared" si="3"/>
        <v>456</v>
      </c>
      <c r="D138">
        <f t="shared" si="4"/>
        <v>0.456</v>
      </c>
      <c r="E138">
        <v>15.0</v>
      </c>
      <c r="F138">
        <f t="shared" si="5"/>
        <v>0</v>
      </c>
      <c r="G138">
        <f t="shared" si="6"/>
        <v>0</v>
      </c>
      <c r="H138">
        <f>C138*Pumps!$F$18/3600</f>
        <v>19431.73563</v>
      </c>
      <c r="I138">
        <f t="shared" si="7"/>
        <v>27759.62233</v>
      </c>
      <c r="J138">
        <f t="shared" si="8"/>
        <v>32078.16781</v>
      </c>
      <c r="K138">
        <f t="shared" si="22"/>
        <v>0</v>
      </c>
      <c r="M138" s="142">
        <f t="shared" si="9"/>
        <v>0</v>
      </c>
      <c r="N138" s="142">
        <f t="shared" si="10"/>
        <v>0</v>
      </c>
      <c r="O138" s="142">
        <f t="shared" ref="O138:Q138" si="140">H138*3600/(1*10^6)</f>
        <v>69.95424828</v>
      </c>
      <c r="P138" s="142">
        <f t="shared" si="140"/>
        <v>99.9346404</v>
      </c>
      <c r="Q138" s="142">
        <f t="shared" si="140"/>
        <v>115.4814041</v>
      </c>
      <c r="R138" s="142">
        <f t="shared" si="12"/>
        <v>0</v>
      </c>
      <c r="T138">
        <f>Pumps!$F$18*D138/Pumps!$I$4/3600</f>
        <v>27.75962233</v>
      </c>
      <c r="U138">
        <f>IF('Design Specifications'!$C$30="y",Disinfection!G136*Disinfection!$N$3*(1*10^6)/3600,0)</f>
        <v>0</v>
      </c>
      <c r="V138">
        <f t="shared" si="13"/>
        <v>864</v>
      </c>
      <c r="W138">
        <f t="shared" si="18"/>
        <v>3.21033464</v>
      </c>
      <c r="X138">
        <f t="shared" si="14"/>
        <v>3.1104</v>
      </c>
      <c r="Y138">
        <f t="shared" si="15"/>
        <v>0.4607381886</v>
      </c>
    </row>
    <row r="139">
      <c r="A139" s="78" t="s">
        <v>383</v>
      </c>
      <c r="B139" s="78">
        <v>0.0</v>
      </c>
      <c r="C139" s="78">
        <f t="shared" si="3"/>
        <v>0</v>
      </c>
      <c r="D139">
        <f t="shared" si="4"/>
        <v>0</v>
      </c>
      <c r="E139">
        <v>15.0</v>
      </c>
      <c r="F139">
        <f t="shared" si="5"/>
        <v>0</v>
      </c>
      <c r="G139">
        <f t="shared" si="6"/>
        <v>0</v>
      </c>
      <c r="H139">
        <f>C139*Pumps!$F$18/3600</f>
        <v>0</v>
      </c>
      <c r="I139">
        <f t="shared" si="7"/>
        <v>0</v>
      </c>
      <c r="J139">
        <f t="shared" si="8"/>
        <v>898.56</v>
      </c>
      <c r="K139">
        <f t="shared" si="22"/>
        <v>0</v>
      </c>
      <c r="M139" s="142">
        <f t="shared" si="9"/>
        <v>0</v>
      </c>
      <c r="N139" s="142">
        <f t="shared" si="10"/>
        <v>0</v>
      </c>
      <c r="O139" s="142">
        <f t="shared" ref="O139:Q139" si="141">H139*3600/(1*10^6)</f>
        <v>0</v>
      </c>
      <c r="P139" s="142">
        <f t="shared" si="141"/>
        <v>0</v>
      </c>
      <c r="Q139" s="142">
        <f t="shared" si="141"/>
        <v>3.234816</v>
      </c>
      <c r="R139" s="142">
        <f t="shared" si="12"/>
        <v>0</v>
      </c>
      <c r="T139">
        <f>Pumps!$F$18*D139/Pumps!$I$4/3600</f>
        <v>0</v>
      </c>
      <c r="U139">
        <f>IF('Design Specifications'!$C$30="y",Disinfection!G137*Disinfection!$N$3*(1*10^6)/3600,0)</f>
        <v>0</v>
      </c>
      <c r="V139">
        <f t="shared" si="13"/>
        <v>864</v>
      </c>
      <c r="W139">
        <f t="shared" si="18"/>
        <v>3.1104</v>
      </c>
      <c r="X139">
        <f t="shared" si="14"/>
        <v>3.1104</v>
      </c>
      <c r="Y139">
        <f t="shared" si="15"/>
        <v>0.4536</v>
      </c>
    </row>
    <row r="140">
      <c r="A140" s="78" t="s">
        <v>385</v>
      </c>
      <c r="B140" s="78">
        <v>0.0</v>
      </c>
      <c r="C140" s="78">
        <f t="shared" si="3"/>
        <v>0</v>
      </c>
      <c r="D140">
        <f t="shared" si="4"/>
        <v>0</v>
      </c>
      <c r="E140">
        <v>15.0</v>
      </c>
      <c r="F140">
        <f t="shared" si="5"/>
        <v>0</v>
      </c>
      <c r="G140">
        <f t="shared" si="6"/>
        <v>0</v>
      </c>
      <c r="H140">
        <f>C140*Pumps!$F$18/3600</f>
        <v>0</v>
      </c>
      <c r="I140">
        <f t="shared" si="7"/>
        <v>0</v>
      </c>
      <c r="J140">
        <f t="shared" si="8"/>
        <v>898.56</v>
      </c>
      <c r="K140">
        <f t="shared" si="22"/>
        <v>0</v>
      </c>
      <c r="M140" s="142">
        <f t="shared" si="9"/>
        <v>0</v>
      </c>
      <c r="N140" s="142">
        <f t="shared" si="10"/>
        <v>0</v>
      </c>
      <c r="O140" s="142">
        <f t="shared" ref="O140:Q140" si="142">H140*3600/(1*10^6)</f>
        <v>0</v>
      </c>
      <c r="P140" s="142">
        <f t="shared" si="142"/>
        <v>0</v>
      </c>
      <c r="Q140" s="142">
        <f t="shared" si="142"/>
        <v>3.234816</v>
      </c>
      <c r="R140" s="142">
        <f t="shared" si="12"/>
        <v>0</v>
      </c>
      <c r="T140">
        <f>Pumps!$F$18*D140/Pumps!$I$4/3600</f>
        <v>0</v>
      </c>
      <c r="U140">
        <f>IF('Design Specifications'!$C$30="y",Disinfection!G138*Disinfection!$N$3*(1*10^6)/3600,0)</f>
        <v>0</v>
      </c>
      <c r="V140">
        <f t="shared" si="13"/>
        <v>864</v>
      </c>
      <c r="W140">
        <f t="shared" si="18"/>
        <v>3.1104</v>
      </c>
      <c r="X140">
        <f t="shared" si="14"/>
        <v>3.1104</v>
      </c>
      <c r="Y140">
        <f t="shared" si="15"/>
        <v>0.4536</v>
      </c>
    </row>
    <row r="141">
      <c r="A141" s="78" t="s">
        <v>387</v>
      </c>
      <c r="B141" s="78">
        <v>0.0</v>
      </c>
      <c r="C141" s="78">
        <f t="shared" si="3"/>
        <v>0</v>
      </c>
      <c r="D141">
        <f t="shared" si="4"/>
        <v>0</v>
      </c>
      <c r="E141">
        <v>15.0</v>
      </c>
      <c r="F141">
        <f t="shared" si="5"/>
        <v>0</v>
      </c>
      <c r="G141">
        <f t="shared" si="6"/>
        <v>0</v>
      </c>
      <c r="H141">
        <f>C141*Pumps!$F$18/3600</f>
        <v>0</v>
      </c>
      <c r="I141">
        <f t="shared" si="7"/>
        <v>0</v>
      </c>
      <c r="J141">
        <f t="shared" si="8"/>
        <v>898.56</v>
      </c>
      <c r="K141">
        <f t="shared" si="22"/>
        <v>0</v>
      </c>
      <c r="M141" s="142">
        <f t="shared" si="9"/>
        <v>0</v>
      </c>
      <c r="N141" s="142">
        <f t="shared" si="10"/>
        <v>0</v>
      </c>
      <c r="O141" s="142">
        <f t="shared" ref="O141:Q141" si="143">H141*3600/(1*10^6)</f>
        <v>0</v>
      </c>
      <c r="P141" s="142">
        <f t="shared" si="143"/>
        <v>0</v>
      </c>
      <c r="Q141" s="142">
        <f t="shared" si="143"/>
        <v>3.234816</v>
      </c>
      <c r="R141" s="142">
        <f t="shared" si="12"/>
        <v>0</v>
      </c>
      <c r="T141">
        <f>Pumps!$F$18*D141/Pumps!$I$4/3600</f>
        <v>0</v>
      </c>
      <c r="U141">
        <f>IF('Design Specifications'!$C$30="y",Disinfection!G139*Disinfection!$N$3*(1*10^6)/3600,0)</f>
        <v>0</v>
      </c>
      <c r="V141">
        <f t="shared" si="13"/>
        <v>864</v>
      </c>
      <c r="W141">
        <f t="shared" si="18"/>
        <v>3.1104</v>
      </c>
      <c r="X141">
        <f t="shared" si="14"/>
        <v>3.1104</v>
      </c>
      <c r="Y141">
        <f t="shared" si="15"/>
        <v>0.4536</v>
      </c>
    </row>
    <row r="142">
      <c r="A142" s="78" t="s">
        <v>389</v>
      </c>
      <c r="B142" s="78">
        <v>0.0</v>
      </c>
      <c r="C142" s="78">
        <f t="shared" si="3"/>
        <v>0</v>
      </c>
      <c r="D142">
        <f t="shared" si="4"/>
        <v>0</v>
      </c>
      <c r="E142">
        <v>15.0</v>
      </c>
      <c r="F142">
        <f t="shared" si="5"/>
        <v>0</v>
      </c>
      <c r="G142">
        <f t="shared" si="6"/>
        <v>0</v>
      </c>
      <c r="H142">
        <f>C142*Pumps!$F$18/3600</f>
        <v>0</v>
      </c>
      <c r="I142">
        <f t="shared" si="7"/>
        <v>0</v>
      </c>
      <c r="J142">
        <f t="shared" si="8"/>
        <v>898.56</v>
      </c>
      <c r="K142">
        <f t="shared" si="22"/>
        <v>0</v>
      </c>
      <c r="M142" s="142">
        <f t="shared" si="9"/>
        <v>0</v>
      </c>
      <c r="N142" s="142">
        <f t="shared" si="10"/>
        <v>0</v>
      </c>
      <c r="O142" s="142">
        <f t="shared" ref="O142:Q142" si="144">H142*3600/(1*10^6)</f>
        <v>0</v>
      </c>
      <c r="P142" s="142">
        <f t="shared" si="144"/>
        <v>0</v>
      </c>
      <c r="Q142" s="142">
        <f t="shared" si="144"/>
        <v>3.234816</v>
      </c>
      <c r="R142" s="142">
        <f t="shared" si="12"/>
        <v>0</v>
      </c>
      <c r="T142">
        <f>Pumps!$F$18*D142/Pumps!$I$4/3600</f>
        <v>0</v>
      </c>
      <c r="U142">
        <f>IF('Design Specifications'!$C$30="y",Disinfection!G140*Disinfection!$N$3*(1*10^6)/3600,0)</f>
        <v>0</v>
      </c>
      <c r="V142">
        <f t="shared" si="13"/>
        <v>864</v>
      </c>
      <c r="W142">
        <f t="shared" si="18"/>
        <v>3.1104</v>
      </c>
      <c r="X142">
        <f t="shared" si="14"/>
        <v>3.1104</v>
      </c>
      <c r="Y142">
        <f t="shared" si="15"/>
        <v>0.4536</v>
      </c>
    </row>
    <row r="143">
      <c r="A143" s="78" t="s">
        <v>391</v>
      </c>
      <c r="B143" s="78">
        <v>0.0</v>
      </c>
      <c r="C143" s="78">
        <f t="shared" si="3"/>
        <v>0</v>
      </c>
      <c r="D143">
        <f t="shared" si="4"/>
        <v>0</v>
      </c>
      <c r="E143">
        <v>15.0</v>
      </c>
      <c r="F143">
        <f t="shared" si="5"/>
        <v>0</v>
      </c>
      <c r="G143">
        <f t="shared" si="6"/>
        <v>0</v>
      </c>
      <c r="H143">
        <f>C143*Pumps!$F$18/3600</f>
        <v>0</v>
      </c>
      <c r="I143">
        <f t="shared" si="7"/>
        <v>0</v>
      </c>
      <c r="J143">
        <f t="shared" si="8"/>
        <v>898.56</v>
      </c>
      <c r="K143">
        <f t="shared" si="22"/>
        <v>0</v>
      </c>
      <c r="M143" s="142">
        <f t="shared" si="9"/>
        <v>0</v>
      </c>
      <c r="N143" s="142">
        <f t="shared" si="10"/>
        <v>0</v>
      </c>
      <c r="O143" s="142">
        <f t="shared" ref="O143:Q143" si="145">H143*3600/(1*10^6)</f>
        <v>0</v>
      </c>
      <c r="P143" s="142">
        <f t="shared" si="145"/>
        <v>0</v>
      </c>
      <c r="Q143" s="142">
        <f t="shared" si="145"/>
        <v>3.234816</v>
      </c>
      <c r="R143" s="142">
        <f t="shared" si="12"/>
        <v>0</v>
      </c>
      <c r="T143">
        <f>Pumps!$F$18*D143/Pumps!$I$4/3600</f>
        <v>0</v>
      </c>
      <c r="U143">
        <f>IF('Design Specifications'!$C$30="y",Disinfection!G141*Disinfection!$N$3*(1*10^6)/3600,0)</f>
        <v>0</v>
      </c>
      <c r="V143">
        <f t="shared" si="13"/>
        <v>864</v>
      </c>
      <c r="W143">
        <f t="shared" si="18"/>
        <v>3.1104</v>
      </c>
      <c r="X143">
        <f t="shared" si="14"/>
        <v>3.1104</v>
      </c>
      <c r="Y143">
        <f t="shared" si="15"/>
        <v>0.4536</v>
      </c>
    </row>
    <row r="144">
      <c r="A144" s="78" t="s">
        <v>393</v>
      </c>
      <c r="B144" s="78">
        <v>0.2</v>
      </c>
      <c r="C144" s="78">
        <f t="shared" si="3"/>
        <v>24</v>
      </c>
      <c r="D144">
        <f t="shared" si="4"/>
        <v>0.024</v>
      </c>
      <c r="E144">
        <v>15.0</v>
      </c>
      <c r="F144">
        <f t="shared" si="5"/>
        <v>0</v>
      </c>
      <c r="G144">
        <f t="shared" si="6"/>
        <v>0</v>
      </c>
      <c r="H144">
        <f>C144*Pumps!$F$18/3600</f>
        <v>1022.722928</v>
      </c>
      <c r="I144">
        <f t="shared" si="7"/>
        <v>1461.032754</v>
      </c>
      <c r="J144">
        <f t="shared" si="8"/>
        <v>2539.59199</v>
      </c>
      <c r="K144">
        <f t="shared" si="22"/>
        <v>0</v>
      </c>
      <c r="M144" s="142">
        <f t="shared" si="9"/>
        <v>0</v>
      </c>
      <c r="N144" s="142">
        <f t="shared" si="10"/>
        <v>0</v>
      </c>
      <c r="O144" s="142">
        <f t="shared" ref="O144:Q144" si="146">H144*3600/(1*10^6)</f>
        <v>3.681802541</v>
      </c>
      <c r="P144" s="142">
        <f t="shared" si="146"/>
        <v>5.259717916</v>
      </c>
      <c r="Q144" s="142">
        <f t="shared" si="146"/>
        <v>9.142531163</v>
      </c>
      <c r="R144" s="142">
        <f t="shared" si="12"/>
        <v>0</v>
      </c>
      <c r="T144">
        <f>Pumps!$F$18*D144/Pumps!$I$4/3600</f>
        <v>1.461032754</v>
      </c>
      <c r="U144">
        <f>IF('Design Specifications'!$C$30="y",Disinfection!G142*Disinfection!$N$3*(1*10^6)/3600,0)</f>
        <v>0</v>
      </c>
      <c r="V144">
        <f t="shared" si="13"/>
        <v>864</v>
      </c>
      <c r="W144">
        <f t="shared" si="18"/>
        <v>3.115659718</v>
      </c>
      <c r="X144">
        <f t="shared" si="14"/>
        <v>3.1104</v>
      </c>
      <c r="Y144">
        <f t="shared" si="15"/>
        <v>0.4539756941</v>
      </c>
    </row>
    <row r="145">
      <c r="A145" s="78" t="s">
        <v>395</v>
      </c>
      <c r="B145" s="78">
        <v>0.0</v>
      </c>
      <c r="C145" s="78">
        <f t="shared" si="3"/>
        <v>0</v>
      </c>
      <c r="D145">
        <f t="shared" si="4"/>
        <v>0</v>
      </c>
      <c r="E145">
        <v>15.0</v>
      </c>
      <c r="F145">
        <f t="shared" si="5"/>
        <v>0</v>
      </c>
      <c r="G145">
        <f t="shared" si="6"/>
        <v>0</v>
      </c>
      <c r="H145">
        <f>C145*Pumps!$F$18/3600</f>
        <v>0</v>
      </c>
      <c r="I145">
        <f t="shared" si="7"/>
        <v>0</v>
      </c>
      <c r="J145">
        <f t="shared" si="8"/>
        <v>898.56</v>
      </c>
      <c r="K145">
        <f t="shared" si="22"/>
        <v>0</v>
      </c>
      <c r="M145" s="142">
        <f t="shared" si="9"/>
        <v>0</v>
      </c>
      <c r="N145" s="142">
        <f t="shared" si="10"/>
        <v>0</v>
      </c>
      <c r="O145" s="142">
        <f t="shared" ref="O145:Q145" si="147">H145*3600/(1*10^6)</f>
        <v>0</v>
      </c>
      <c r="P145" s="142">
        <f t="shared" si="147"/>
        <v>0</v>
      </c>
      <c r="Q145" s="142">
        <f t="shared" si="147"/>
        <v>3.234816</v>
      </c>
      <c r="R145" s="142">
        <f t="shared" si="12"/>
        <v>0</v>
      </c>
      <c r="T145">
        <f>Pumps!$F$18*D145/Pumps!$I$4/3600</f>
        <v>0</v>
      </c>
      <c r="U145">
        <f>IF('Design Specifications'!$C$30="y",Disinfection!G143*Disinfection!$N$3*(1*10^6)/3600,0)</f>
        <v>0</v>
      </c>
      <c r="V145">
        <f t="shared" si="13"/>
        <v>864</v>
      </c>
      <c r="W145">
        <f t="shared" si="18"/>
        <v>3.1104</v>
      </c>
      <c r="X145">
        <f t="shared" si="14"/>
        <v>3.1104</v>
      </c>
      <c r="Y145">
        <f t="shared" si="15"/>
        <v>0.4536</v>
      </c>
    </row>
    <row r="146">
      <c r="A146" s="78" t="s">
        <v>397</v>
      </c>
      <c r="B146" s="78">
        <v>0.2</v>
      </c>
      <c r="C146" s="78">
        <f t="shared" si="3"/>
        <v>24</v>
      </c>
      <c r="D146">
        <f t="shared" si="4"/>
        <v>0.024</v>
      </c>
      <c r="E146">
        <v>15.0</v>
      </c>
      <c r="F146">
        <f t="shared" si="5"/>
        <v>0</v>
      </c>
      <c r="G146">
        <f t="shared" si="6"/>
        <v>0</v>
      </c>
      <c r="H146">
        <f>C146*Pumps!$F$18/3600</f>
        <v>1022.722928</v>
      </c>
      <c r="I146">
        <f t="shared" si="7"/>
        <v>1461.032754</v>
      </c>
      <c r="J146">
        <f t="shared" si="8"/>
        <v>2539.59199</v>
      </c>
      <c r="K146">
        <f t="shared" si="22"/>
        <v>0</v>
      </c>
      <c r="M146" s="142">
        <f t="shared" si="9"/>
        <v>0</v>
      </c>
      <c r="N146" s="142">
        <f t="shared" si="10"/>
        <v>0</v>
      </c>
      <c r="O146" s="142">
        <f t="shared" ref="O146:Q146" si="148">H146*3600/(1*10^6)</f>
        <v>3.681802541</v>
      </c>
      <c r="P146" s="142">
        <f t="shared" si="148"/>
        <v>5.259717916</v>
      </c>
      <c r="Q146" s="142">
        <f t="shared" si="148"/>
        <v>9.142531163</v>
      </c>
      <c r="R146" s="142">
        <f t="shared" si="12"/>
        <v>0</v>
      </c>
      <c r="T146">
        <f>Pumps!$F$18*D146/Pumps!$I$4/3600</f>
        <v>1.461032754</v>
      </c>
      <c r="U146">
        <f>IF('Design Specifications'!$C$30="y",Disinfection!G144*Disinfection!$N$3*(1*10^6)/3600,0)</f>
        <v>0</v>
      </c>
      <c r="V146">
        <f t="shared" si="13"/>
        <v>864</v>
      </c>
      <c r="W146">
        <f t="shared" si="18"/>
        <v>3.115659718</v>
      </c>
      <c r="X146">
        <f t="shared" si="14"/>
        <v>3.1104</v>
      </c>
      <c r="Y146">
        <f t="shared" si="15"/>
        <v>0.4539756941</v>
      </c>
    </row>
    <row r="147">
      <c r="A147" s="78" t="s">
        <v>399</v>
      </c>
      <c r="B147" s="78">
        <v>0.0</v>
      </c>
      <c r="C147" s="78">
        <f t="shared" si="3"/>
        <v>0</v>
      </c>
      <c r="D147">
        <f t="shared" si="4"/>
        <v>0</v>
      </c>
      <c r="E147">
        <v>15.0</v>
      </c>
      <c r="F147">
        <f t="shared" si="5"/>
        <v>0</v>
      </c>
      <c r="G147">
        <f t="shared" si="6"/>
        <v>0</v>
      </c>
      <c r="H147">
        <f>C147*Pumps!$F$18/3600</f>
        <v>0</v>
      </c>
      <c r="I147">
        <f t="shared" si="7"/>
        <v>0</v>
      </c>
      <c r="J147">
        <f t="shared" si="8"/>
        <v>898.56</v>
      </c>
      <c r="K147">
        <f t="shared" si="22"/>
        <v>0</v>
      </c>
      <c r="M147" s="142">
        <f t="shared" si="9"/>
        <v>0</v>
      </c>
      <c r="N147" s="142">
        <f t="shared" si="10"/>
        <v>0</v>
      </c>
      <c r="O147" s="142">
        <f t="shared" ref="O147:Q147" si="149">H147*3600/(1*10^6)</f>
        <v>0</v>
      </c>
      <c r="P147" s="142">
        <f t="shared" si="149"/>
        <v>0</v>
      </c>
      <c r="Q147" s="142">
        <f t="shared" si="149"/>
        <v>3.234816</v>
      </c>
      <c r="R147" s="142">
        <f t="shared" si="12"/>
        <v>0</v>
      </c>
      <c r="T147">
        <f>Pumps!$F$18*D147/Pumps!$I$4/3600</f>
        <v>0</v>
      </c>
      <c r="U147">
        <f>IF('Design Specifications'!$C$30="y",Disinfection!G145*Disinfection!$N$3*(1*10^6)/3600,0)</f>
        <v>0</v>
      </c>
      <c r="V147">
        <f t="shared" si="13"/>
        <v>864</v>
      </c>
      <c r="W147">
        <f t="shared" si="18"/>
        <v>3.1104</v>
      </c>
      <c r="X147">
        <f t="shared" si="14"/>
        <v>3.1104</v>
      </c>
      <c r="Y147">
        <f t="shared" si="15"/>
        <v>0.4536</v>
      </c>
    </row>
    <row r="148">
      <c r="A148" s="78" t="s">
        <v>401</v>
      </c>
      <c r="B148" s="78">
        <v>0.0</v>
      </c>
      <c r="C148" s="78">
        <f t="shared" si="3"/>
        <v>0</v>
      </c>
      <c r="D148">
        <f t="shared" si="4"/>
        <v>0</v>
      </c>
      <c r="E148">
        <v>15.0</v>
      </c>
      <c r="F148">
        <f t="shared" si="5"/>
        <v>0</v>
      </c>
      <c r="G148">
        <f t="shared" si="6"/>
        <v>0</v>
      </c>
      <c r="H148">
        <f>C148*Pumps!$F$18/3600</f>
        <v>0</v>
      </c>
      <c r="I148">
        <f t="shared" si="7"/>
        <v>0</v>
      </c>
      <c r="J148">
        <f t="shared" si="8"/>
        <v>898.56</v>
      </c>
      <c r="K148">
        <f t="shared" si="22"/>
        <v>0</v>
      </c>
      <c r="M148" s="142">
        <f t="shared" si="9"/>
        <v>0</v>
      </c>
      <c r="N148" s="142">
        <f t="shared" si="10"/>
        <v>0</v>
      </c>
      <c r="O148" s="142">
        <f t="shared" ref="O148:Q148" si="150">H148*3600/(1*10^6)</f>
        <v>0</v>
      </c>
      <c r="P148" s="142">
        <f t="shared" si="150"/>
        <v>0</v>
      </c>
      <c r="Q148" s="142">
        <f t="shared" si="150"/>
        <v>3.234816</v>
      </c>
      <c r="R148" s="142">
        <f t="shared" si="12"/>
        <v>0</v>
      </c>
      <c r="T148">
        <f>Pumps!$F$18*D148/Pumps!$I$4/3600</f>
        <v>0</v>
      </c>
      <c r="U148">
        <f>IF('Design Specifications'!$C$30="y",Disinfection!G146*Disinfection!$N$3*(1*10^6)/3600,0)</f>
        <v>0</v>
      </c>
      <c r="V148">
        <f t="shared" si="13"/>
        <v>864</v>
      </c>
      <c r="W148">
        <f t="shared" si="18"/>
        <v>3.1104</v>
      </c>
      <c r="X148">
        <f t="shared" si="14"/>
        <v>3.1104</v>
      </c>
      <c r="Y148">
        <f t="shared" si="15"/>
        <v>0.4536</v>
      </c>
    </row>
    <row r="149">
      <c r="A149" s="78" t="s">
        <v>403</v>
      </c>
      <c r="B149" s="78">
        <v>0.0</v>
      </c>
      <c r="C149" s="78">
        <f t="shared" si="3"/>
        <v>0</v>
      </c>
      <c r="D149">
        <f t="shared" si="4"/>
        <v>0</v>
      </c>
      <c r="E149">
        <v>15.0</v>
      </c>
      <c r="F149">
        <f t="shared" si="5"/>
        <v>0</v>
      </c>
      <c r="G149">
        <f t="shared" si="6"/>
        <v>0</v>
      </c>
      <c r="H149">
        <f>C149*Pumps!$F$18/3600</f>
        <v>0</v>
      </c>
      <c r="I149">
        <f t="shared" si="7"/>
        <v>0</v>
      </c>
      <c r="J149">
        <f t="shared" si="8"/>
        <v>898.56</v>
      </c>
      <c r="K149">
        <f t="shared" si="22"/>
        <v>0</v>
      </c>
      <c r="M149" s="142">
        <f t="shared" si="9"/>
        <v>0</v>
      </c>
      <c r="N149" s="142">
        <f t="shared" si="10"/>
        <v>0</v>
      </c>
      <c r="O149" s="142">
        <f t="shared" ref="O149:Q149" si="151">H149*3600/(1*10^6)</f>
        <v>0</v>
      </c>
      <c r="P149" s="142">
        <f t="shared" si="151"/>
        <v>0</v>
      </c>
      <c r="Q149" s="142">
        <f t="shared" si="151"/>
        <v>3.234816</v>
      </c>
      <c r="R149" s="142">
        <f t="shared" si="12"/>
        <v>0</v>
      </c>
      <c r="T149">
        <f>Pumps!$F$18*D149/Pumps!$I$4/3600</f>
        <v>0</v>
      </c>
      <c r="U149">
        <f>IF('Design Specifications'!$C$30="y",Disinfection!G147*Disinfection!$N$3*(1*10^6)/3600,0)</f>
        <v>0</v>
      </c>
      <c r="V149">
        <f t="shared" si="13"/>
        <v>864</v>
      </c>
      <c r="W149">
        <f t="shared" si="18"/>
        <v>3.1104</v>
      </c>
      <c r="X149">
        <f t="shared" si="14"/>
        <v>3.1104</v>
      </c>
      <c r="Y149">
        <f t="shared" si="15"/>
        <v>0.4536</v>
      </c>
    </row>
    <row r="150">
      <c r="A150" s="78" t="s">
        <v>405</v>
      </c>
      <c r="B150" s="78">
        <v>2.8</v>
      </c>
      <c r="C150" s="78">
        <f t="shared" si="3"/>
        <v>336</v>
      </c>
      <c r="D150">
        <f t="shared" si="4"/>
        <v>0.336</v>
      </c>
      <c r="E150">
        <v>15.0</v>
      </c>
      <c r="F150">
        <f t="shared" si="5"/>
        <v>0</v>
      </c>
      <c r="G150">
        <f t="shared" si="6"/>
        <v>0</v>
      </c>
      <c r="H150">
        <f>C150*Pumps!$F$18/3600</f>
        <v>14318.12099</v>
      </c>
      <c r="I150">
        <f t="shared" si="7"/>
        <v>20454.45856</v>
      </c>
      <c r="J150">
        <f t="shared" si="8"/>
        <v>23873.00786</v>
      </c>
      <c r="K150">
        <f t="shared" si="22"/>
        <v>0</v>
      </c>
      <c r="M150" s="142">
        <f t="shared" si="9"/>
        <v>0</v>
      </c>
      <c r="N150" s="142">
        <f t="shared" si="10"/>
        <v>0</v>
      </c>
      <c r="O150" s="142">
        <f t="shared" ref="O150:Q150" si="152">H150*3600/(1*10^6)</f>
        <v>51.54523558</v>
      </c>
      <c r="P150" s="142">
        <f t="shared" si="152"/>
        <v>73.63605082</v>
      </c>
      <c r="Q150" s="142">
        <f t="shared" si="152"/>
        <v>85.94282829</v>
      </c>
      <c r="R150" s="142">
        <f t="shared" si="12"/>
        <v>0</v>
      </c>
      <c r="T150">
        <f>Pumps!$F$18*D150/Pumps!$I$4/3600</f>
        <v>20.45445856</v>
      </c>
      <c r="U150">
        <f>IF('Design Specifications'!$C$30="y",Disinfection!G148*Disinfection!$N$3*(1*10^6)/3600,0)</f>
        <v>0</v>
      </c>
      <c r="V150">
        <f t="shared" si="13"/>
        <v>864</v>
      </c>
      <c r="W150">
        <f t="shared" si="18"/>
        <v>3.184036051</v>
      </c>
      <c r="X150">
        <f t="shared" si="14"/>
        <v>3.1104</v>
      </c>
      <c r="Y150">
        <f t="shared" si="15"/>
        <v>0.4588597179</v>
      </c>
    </row>
    <row r="151">
      <c r="A151" s="78" t="s">
        <v>407</v>
      </c>
      <c r="B151" s="78">
        <v>0.0</v>
      </c>
      <c r="C151" s="78">
        <f t="shared" si="3"/>
        <v>0</v>
      </c>
      <c r="D151">
        <f t="shared" si="4"/>
        <v>0</v>
      </c>
      <c r="E151">
        <v>15.0</v>
      </c>
      <c r="F151">
        <f t="shared" si="5"/>
        <v>0</v>
      </c>
      <c r="G151">
        <f t="shared" si="6"/>
        <v>0</v>
      </c>
      <c r="H151">
        <f>C151*Pumps!$F$18/3600</f>
        <v>0</v>
      </c>
      <c r="I151">
        <f t="shared" si="7"/>
        <v>0</v>
      </c>
      <c r="J151">
        <f t="shared" si="8"/>
        <v>898.56</v>
      </c>
      <c r="K151">
        <f t="shared" si="22"/>
        <v>0</v>
      </c>
      <c r="M151" s="142">
        <f t="shared" si="9"/>
        <v>0</v>
      </c>
      <c r="N151" s="142">
        <f t="shared" si="10"/>
        <v>0</v>
      </c>
      <c r="O151" s="142">
        <f t="shared" ref="O151:Q151" si="153">H151*3600/(1*10^6)</f>
        <v>0</v>
      </c>
      <c r="P151" s="142">
        <f t="shared" si="153"/>
        <v>0</v>
      </c>
      <c r="Q151" s="142">
        <f t="shared" si="153"/>
        <v>3.234816</v>
      </c>
      <c r="R151" s="142">
        <f t="shared" si="12"/>
        <v>0</v>
      </c>
      <c r="T151">
        <f>Pumps!$F$18*D151/Pumps!$I$4/3600</f>
        <v>0</v>
      </c>
      <c r="U151">
        <f>IF('Design Specifications'!$C$30="y",Disinfection!G149*Disinfection!$N$3*(1*10^6)/3600,0)</f>
        <v>0</v>
      </c>
      <c r="V151">
        <f t="shared" si="13"/>
        <v>864</v>
      </c>
      <c r="W151">
        <f t="shared" si="18"/>
        <v>3.1104</v>
      </c>
      <c r="X151">
        <f t="shared" si="14"/>
        <v>3.1104</v>
      </c>
      <c r="Y151">
        <f t="shared" si="15"/>
        <v>0.4536</v>
      </c>
    </row>
    <row r="152">
      <c r="A152" s="78" t="s">
        <v>409</v>
      </c>
      <c r="B152" s="78">
        <v>0.0</v>
      </c>
      <c r="C152" s="78">
        <f t="shared" si="3"/>
        <v>0</v>
      </c>
      <c r="D152">
        <f t="shared" si="4"/>
        <v>0</v>
      </c>
      <c r="E152">
        <v>15.0</v>
      </c>
      <c r="F152">
        <f t="shared" si="5"/>
        <v>0</v>
      </c>
      <c r="G152">
        <f t="shared" si="6"/>
        <v>0</v>
      </c>
      <c r="H152">
        <f>C152*Pumps!$F$18/3600</f>
        <v>0</v>
      </c>
      <c r="I152">
        <f t="shared" si="7"/>
        <v>0</v>
      </c>
      <c r="J152">
        <f t="shared" si="8"/>
        <v>898.56</v>
      </c>
      <c r="K152">
        <f t="shared" si="22"/>
        <v>0</v>
      </c>
      <c r="M152" s="142">
        <f t="shared" si="9"/>
        <v>0</v>
      </c>
      <c r="N152" s="142">
        <f t="shared" si="10"/>
        <v>0</v>
      </c>
      <c r="O152" s="142">
        <f t="shared" ref="O152:Q152" si="154">H152*3600/(1*10^6)</f>
        <v>0</v>
      </c>
      <c r="P152" s="142">
        <f t="shared" si="154"/>
        <v>0</v>
      </c>
      <c r="Q152" s="142">
        <f t="shared" si="154"/>
        <v>3.234816</v>
      </c>
      <c r="R152" s="142">
        <f t="shared" si="12"/>
        <v>0</v>
      </c>
      <c r="T152">
        <f>Pumps!$F$18*D152/Pumps!$I$4/3600</f>
        <v>0</v>
      </c>
      <c r="U152">
        <f>IF('Design Specifications'!$C$30="y",Disinfection!G150*Disinfection!$N$3*(1*10^6)/3600,0)</f>
        <v>0</v>
      </c>
      <c r="V152">
        <f t="shared" si="13"/>
        <v>864</v>
      </c>
      <c r="W152">
        <f t="shared" si="18"/>
        <v>3.1104</v>
      </c>
      <c r="X152">
        <f t="shared" si="14"/>
        <v>3.1104</v>
      </c>
      <c r="Y152">
        <f t="shared" si="15"/>
        <v>0.4536</v>
      </c>
    </row>
    <row r="153">
      <c r="A153" s="78" t="s">
        <v>411</v>
      </c>
      <c r="B153" s="78">
        <v>0.0</v>
      </c>
      <c r="C153" s="78">
        <f t="shared" si="3"/>
        <v>0</v>
      </c>
      <c r="D153">
        <f t="shared" si="4"/>
        <v>0</v>
      </c>
      <c r="E153">
        <v>15.0</v>
      </c>
      <c r="F153">
        <f t="shared" si="5"/>
        <v>0</v>
      </c>
      <c r="G153">
        <f t="shared" si="6"/>
        <v>0</v>
      </c>
      <c r="H153">
        <f>C153*Pumps!$F$18/3600</f>
        <v>0</v>
      </c>
      <c r="I153">
        <f t="shared" si="7"/>
        <v>0</v>
      </c>
      <c r="J153">
        <f t="shared" si="8"/>
        <v>898.56</v>
      </c>
      <c r="K153">
        <f t="shared" si="22"/>
        <v>0</v>
      </c>
      <c r="M153" s="142">
        <f t="shared" si="9"/>
        <v>0</v>
      </c>
      <c r="N153" s="142">
        <f t="shared" si="10"/>
        <v>0</v>
      </c>
      <c r="O153" s="142">
        <f t="shared" ref="O153:Q153" si="155">H153*3600/(1*10^6)</f>
        <v>0</v>
      </c>
      <c r="P153" s="142">
        <f t="shared" si="155"/>
        <v>0</v>
      </c>
      <c r="Q153" s="142">
        <f t="shared" si="155"/>
        <v>3.234816</v>
      </c>
      <c r="R153" s="142">
        <f t="shared" si="12"/>
        <v>0</v>
      </c>
      <c r="T153">
        <f>Pumps!$F$18*D153/Pumps!$I$4/3600</f>
        <v>0</v>
      </c>
      <c r="U153">
        <f>IF('Design Specifications'!$C$30="y",Disinfection!G151*Disinfection!$N$3*(1*10^6)/3600,0)</f>
        <v>0</v>
      </c>
      <c r="V153">
        <f t="shared" si="13"/>
        <v>864</v>
      </c>
      <c r="W153">
        <f t="shared" si="18"/>
        <v>3.1104</v>
      </c>
      <c r="X153">
        <f t="shared" si="14"/>
        <v>3.1104</v>
      </c>
      <c r="Y153">
        <f t="shared" si="15"/>
        <v>0.4536</v>
      </c>
    </row>
    <row r="154">
      <c r="A154" s="78" t="s">
        <v>413</v>
      </c>
      <c r="B154" s="78">
        <v>0.0</v>
      </c>
      <c r="C154" s="78">
        <f t="shared" si="3"/>
        <v>0</v>
      </c>
      <c r="D154">
        <f t="shared" si="4"/>
        <v>0</v>
      </c>
      <c r="E154">
        <v>15.0</v>
      </c>
      <c r="F154">
        <f t="shared" si="5"/>
        <v>0</v>
      </c>
      <c r="G154">
        <f t="shared" si="6"/>
        <v>0</v>
      </c>
      <c r="H154">
        <f>C154*Pumps!$F$18/3600</f>
        <v>0</v>
      </c>
      <c r="I154">
        <f t="shared" si="7"/>
        <v>0</v>
      </c>
      <c r="J154">
        <f t="shared" si="8"/>
        <v>898.56</v>
      </c>
      <c r="K154">
        <f t="shared" si="22"/>
        <v>0</v>
      </c>
      <c r="M154" s="142">
        <f t="shared" si="9"/>
        <v>0</v>
      </c>
      <c r="N154" s="142">
        <f t="shared" si="10"/>
        <v>0</v>
      </c>
      <c r="O154" s="142">
        <f t="shared" ref="O154:Q154" si="156">H154*3600/(1*10^6)</f>
        <v>0</v>
      </c>
      <c r="P154" s="142">
        <f t="shared" si="156"/>
        <v>0</v>
      </c>
      <c r="Q154" s="142">
        <f t="shared" si="156"/>
        <v>3.234816</v>
      </c>
      <c r="R154" s="142">
        <f t="shared" si="12"/>
        <v>0</v>
      </c>
      <c r="T154">
        <f>Pumps!$F$18*D154/Pumps!$I$4/3600</f>
        <v>0</v>
      </c>
      <c r="U154">
        <f>IF('Design Specifications'!$C$30="y",Disinfection!G152*Disinfection!$N$3*(1*10^6)/3600,0)</f>
        <v>0</v>
      </c>
      <c r="V154">
        <f t="shared" si="13"/>
        <v>864</v>
      </c>
      <c r="W154">
        <f t="shared" si="18"/>
        <v>3.1104</v>
      </c>
      <c r="X154">
        <f t="shared" si="14"/>
        <v>3.1104</v>
      </c>
      <c r="Y154">
        <f t="shared" si="15"/>
        <v>0.4536</v>
      </c>
    </row>
    <row r="155">
      <c r="A155" s="78" t="s">
        <v>415</v>
      </c>
      <c r="B155" s="78">
        <v>8.2</v>
      </c>
      <c r="C155" s="78">
        <f t="shared" si="3"/>
        <v>984</v>
      </c>
      <c r="D155">
        <f t="shared" si="4"/>
        <v>0.984</v>
      </c>
      <c r="E155">
        <v>15.0</v>
      </c>
      <c r="F155">
        <f t="shared" si="5"/>
        <v>0</v>
      </c>
      <c r="G155">
        <f t="shared" si="6"/>
        <v>0</v>
      </c>
      <c r="H155">
        <f>C155*Pumps!$F$18/3600</f>
        <v>41931.64005</v>
      </c>
      <c r="I155">
        <f t="shared" si="7"/>
        <v>59902.34293</v>
      </c>
      <c r="J155">
        <f t="shared" si="8"/>
        <v>68180.87158</v>
      </c>
      <c r="K155">
        <f t="shared" si="22"/>
        <v>0</v>
      </c>
      <c r="M155" s="142">
        <f t="shared" si="9"/>
        <v>0</v>
      </c>
      <c r="N155" s="142">
        <f t="shared" si="10"/>
        <v>0</v>
      </c>
      <c r="O155" s="142">
        <f t="shared" ref="O155:Q155" si="157">H155*3600/(1*10^6)</f>
        <v>150.9539042</v>
      </c>
      <c r="P155" s="142">
        <f t="shared" si="157"/>
        <v>215.6484346</v>
      </c>
      <c r="Q155" s="142">
        <f t="shared" si="157"/>
        <v>245.4511377</v>
      </c>
      <c r="R155" s="142">
        <f t="shared" si="12"/>
        <v>0</v>
      </c>
      <c r="T155">
        <f>Pumps!$F$18*D155/Pumps!$I$4/3600</f>
        <v>59.90234293</v>
      </c>
      <c r="U155">
        <f>IF('Design Specifications'!$C$30="y",Disinfection!G153*Disinfection!$N$3*(1*10^6)/3600,0)</f>
        <v>0</v>
      </c>
      <c r="V155">
        <f t="shared" si="13"/>
        <v>864</v>
      </c>
      <c r="W155">
        <f t="shared" si="18"/>
        <v>3.326048435</v>
      </c>
      <c r="X155">
        <f t="shared" si="14"/>
        <v>3.1104</v>
      </c>
      <c r="Y155">
        <f t="shared" si="15"/>
        <v>0.4690034596</v>
      </c>
    </row>
    <row r="156">
      <c r="A156" s="78" t="s">
        <v>417</v>
      </c>
      <c r="B156" s="78">
        <v>29.6</v>
      </c>
      <c r="C156" s="78">
        <f t="shared" si="3"/>
        <v>3552</v>
      </c>
      <c r="D156">
        <f t="shared" si="4"/>
        <v>3.552</v>
      </c>
      <c r="E156">
        <v>15.0</v>
      </c>
      <c r="F156">
        <f t="shared" si="5"/>
        <v>0</v>
      </c>
      <c r="G156">
        <f t="shared" si="6"/>
        <v>0</v>
      </c>
      <c r="H156">
        <f>C156*Pumps!$F$18/3600</f>
        <v>151362.9934</v>
      </c>
      <c r="I156">
        <f t="shared" si="7"/>
        <v>216232.8477</v>
      </c>
      <c r="J156">
        <f t="shared" si="8"/>
        <v>243771.2945</v>
      </c>
      <c r="K156">
        <f t="shared" si="22"/>
        <v>0</v>
      </c>
      <c r="M156" s="142">
        <f t="shared" si="9"/>
        <v>0</v>
      </c>
      <c r="N156" s="142">
        <f t="shared" si="10"/>
        <v>0</v>
      </c>
      <c r="O156" s="142">
        <f t="shared" ref="O156:Q156" si="158">H156*3600/(1*10^6)</f>
        <v>544.9067761</v>
      </c>
      <c r="P156" s="142">
        <f t="shared" si="158"/>
        <v>778.4382516</v>
      </c>
      <c r="Q156" s="142">
        <f t="shared" si="158"/>
        <v>877.5766602</v>
      </c>
      <c r="R156" s="142">
        <f t="shared" si="12"/>
        <v>0</v>
      </c>
      <c r="T156">
        <f>Pumps!$F$18*D156/Pumps!$I$4/3600</f>
        <v>216.2328477</v>
      </c>
      <c r="U156">
        <f>IF('Design Specifications'!$C$30="y",Disinfection!G154*Disinfection!$N$3*(1*10^6)/3600,0)</f>
        <v>0</v>
      </c>
      <c r="V156">
        <f t="shared" si="13"/>
        <v>864</v>
      </c>
      <c r="W156">
        <f t="shared" si="18"/>
        <v>3.888838252</v>
      </c>
      <c r="X156">
        <f t="shared" si="14"/>
        <v>3.1104</v>
      </c>
      <c r="Y156">
        <f t="shared" si="15"/>
        <v>0.5092027323</v>
      </c>
    </row>
    <row r="157">
      <c r="A157" s="78" t="s">
        <v>419</v>
      </c>
      <c r="B157" s="78">
        <v>0.8</v>
      </c>
      <c r="C157" s="78">
        <f t="shared" si="3"/>
        <v>96</v>
      </c>
      <c r="D157">
        <f t="shared" si="4"/>
        <v>0.096</v>
      </c>
      <c r="E157">
        <v>15.0</v>
      </c>
      <c r="F157">
        <f t="shared" si="5"/>
        <v>0</v>
      </c>
      <c r="G157">
        <f t="shared" si="6"/>
        <v>0</v>
      </c>
      <c r="H157">
        <f>C157*Pumps!$F$18/3600</f>
        <v>4090.891712</v>
      </c>
      <c r="I157">
        <f t="shared" si="7"/>
        <v>5844.131018</v>
      </c>
      <c r="J157">
        <f t="shared" si="8"/>
        <v>7462.687959</v>
      </c>
      <c r="K157">
        <f t="shared" si="22"/>
        <v>0</v>
      </c>
      <c r="M157" s="142">
        <f t="shared" si="9"/>
        <v>0</v>
      </c>
      <c r="N157" s="142">
        <f t="shared" si="10"/>
        <v>0</v>
      </c>
      <c r="O157" s="142">
        <f t="shared" ref="O157:Q157" si="159">H157*3600/(1*10^6)</f>
        <v>14.72721016</v>
      </c>
      <c r="P157" s="142">
        <f t="shared" si="159"/>
        <v>21.03887166</v>
      </c>
      <c r="Q157" s="142">
        <f t="shared" si="159"/>
        <v>26.86567665</v>
      </c>
      <c r="R157" s="142">
        <f t="shared" si="12"/>
        <v>0</v>
      </c>
      <c r="T157">
        <f>Pumps!$F$18*D157/Pumps!$I$4/3600</f>
        <v>5.844131018</v>
      </c>
      <c r="U157">
        <f>IF('Design Specifications'!$C$30="y",Disinfection!G155*Disinfection!$N$3*(1*10^6)/3600,0)</f>
        <v>0</v>
      </c>
      <c r="V157">
        <f t="shared" si="13"/>
        <v>864</v>
      </c>
      <c r="W157">
        <f t="shared" si="18"/>
        <v>3.131438872</v>
      </c>
      <c r="X157">
        <f t="shared" si="14"/>
        <v>3.1104</v>
      </c>
      <c r="Y157">
        <f t="shared" si="15"/>
        <v>0.4551027765</v>
      </c>
    </row>
    <row r="158">
      <c r="A158" s="78" t="s">
        <v>421</v>
      </c>
      <c r="B158" s="78">
        <v>5.2</v>
      </c>
      <c r="C158" s="78">
        <f t="shared" si="3"/>
        <v>624</v>
      </c>
      <c r="D158">
        <f t="shared" si="4"/>
        <v>0.624</v>
      </c>
      <c r="E158">
        <v>15.0</v>
      </c>
      <c r="F158">
        <f t="shared" si="5"/>
        <v>0</v>
      </c>
      <c r="G158">
        <f t="shared" si="6"/>
        <v>0</v>
      </c>
      <c r="H158">
        <f>C158*Pumps!$F$18/3600</f>
        <v>26590.79613</v>
      </c>
      <c r="I158">
        <f t="shared" si="7"/>
        <v>37986.85162</v>
      </c>
      <c r="J158">
        <f t="shared" si="8"/>
        <v>43565.39173</v>
      </c>
      <c r="K158">
        <f t="shared" si="22"/>
        <v>0</v>
      </c>
      <c r="M158" s="142">
        <f t="shared" si="9"/>
        <v>0</v>
      </c>
      <c r="N158" s="142">
        <f t="shared" si="10"/>
        <v>0</v>
      </c>
      <c r="O158" s="142">
        <f t="shared" ref="O158:Q158" si="160">H158*3600/(1*10^6)</f>
        <v>95.72686607</v>
      </c>
      <c r="P158" s="142">
        <f t="shared" si="160"/>
        <v>136.7526658</v>
      </c>
      <c r="Q158" s="142">
        <f t="shared" si="160"/>
        <v>156.8354102</v>
      </c>
      <c r="R158" s="142">
        <f t="shared" si="12"/>
        <v>0</v>
      </c>
      <c r="T158">
        <f>Pumps!$F$18*D158/Pumps!$I$4/3600</f>
        <v>37.98685162</v>
      </c>
      <c r="U158">
        <f>IF('Design Specifications'!$C$30="y",Disinfection!G156*Disinfection!$N$3*(1*10^6)/3600,0)</f>
        <v>0</v>
      </c>
      <c r="V158">
        <f t="shared" si="13"/>
        <v>864</v>
      </c>
      <c r="W158">
        <f t="shared" si="18"/>
        <v>3.247152666</v>
      </c>
      <c r="X158">
        <f t="shared" si="14"/>
        <v>3.1104</v>
      </c>
      <c r="Y158">
        <f t="shared" si="15"/>
        <v>0.4633680476</v>
      </c>
    </row>
    <row r="159">
      <c r="A159" s="78" t="s">
        <v>423</v>
      </c>
      <c r="B159" s="78">
        <v>23.4</v>
      </c>
      <c r="C159" s="78">
        <f t="shared" si="3"/>
        <v>2808</v>
      </c>
      <c r="D159">
        <f t="shared" si="4"/>
        <v>2.808</v>
      </c>
      <c r="E159">
        <v>15.0</v>
      </c>
      <c r="F159">
        <f t="shared" si="5"/>
        <v>0</v>
      </c>
      <c r="G159">
        <f t="shared" si="6"/>
        <v>0</v>
      </c>
      <c r="H159">
        <f>C159*Pumps!$F$18/3600</f>
        <v>119658.5826</v>
      </c>
      <c r="I159">
        <f t="shared" si="7"/>
        <v>170940.8323</v>
      </c>
      <c r="J159">
        <f t="shared" si="8"/>
        <v>192899.3028</v>
      </c>
      <c r="K159">
        <f t="shared" si="22"/>
        <v>0</v>
      </c>
      <c r="M159" s="142">
        <f t="shared" si="9"/>
        <v>0</v>
      </c>
      <c r="N159" s="142">
        <f t="shared" si="10"/>
        <v>0</v>
      </c>
      <c r="O159" s="142">
        <f t="shared" ref="O159:Q159" si="161">H159*3600/(1*10^6)</f>
        <v>430.7708973</v>
      </c>
      <c r="P159" s="142">
        <f t="shared" si="161"/>
        <v>615.3869962</v>
      </c>
      <c r="Q159" s="142">
        <f t="shared" si="161"/>
        <v>694.4374901</v>
      </c>
      <c r="R159" s="142">
        <f t="shared" si="12"/>
        <v>0</v>
      </c>
      <c r="T159">
        <f>Pumps!$F$18*D159/Pumps!$I$4/3600</f>
        <v>170.9408323</v>
      </c>
      <c r="U159">
        <f>IF('Design Specifications'!$C$30="y",Disinfection!G157*Disinfection!$N$3*(1*10^6)/3600,0)</f>
        <v>0</v>
      </c>
      <c r="V159">
        <f t="shared" si="13"/>
        <v>864</v>
      </c>
      <c r="W159">
        <f t="shared" si="18"/>
        <v>3.725786996</v>
      </c>
      <c r="X159">
        <f t="shared" si="14"/>
        <v>3.1104</v>
      </c>
      <c r="Y159">
        <f t="shared" si="15"/>
        <v>0.497556214</v>
      </c>
    </row>
    <row r="160">
      <c r="A160" s="78" t="s">
        <v>425</v>
      </c>
      <c r="B160" s="78">
        <v>0.0</v>
      </c>
      <c r="C160" s="78">
        <f t="shared" si="3"/>
        <v>0</v>
      </c>
      <c r="D160">
        <f t="shared" si="4"/>
        <v>0</v>
      </c>
      <c r="E160">
        <v>15.0</v>
      </c>
      <c r="F160">
        <f t="shared" si="5"/>
        <v>0</v>
      </c>
      <c r="G160">
        <f t="shared" si="6"/>
        <v>0</v>
      </c>
      <c r="H160">
        <f>C160*Pumps!$F$18/3600</f>
        <v>0</v>
      </c>
      <c r="I160">
        <f t="shared" si="7"/>
        <v>0</v>
      </c>
      <c r="J160">
        <f t="shared" si="8"/>
        <v>898.56</v>
      </c>
      <c r="K160">
        <f t="shared" si="22"/>
        <v>0</v>
      </c>
      <c r="M160" s="142">
        <f t="shared" si="9"/>
        <v>0</v>
      </c>
      <c r="N160" s="142">
        <f t="shared" si="10"/>
        <v>0</v>
      </c>
      <c r="O160" s="142">
        <f t="shared" ref="O160:Q160" si="162">H160*3600/(1*10^6)</f>
        <v>0</v>
      </c>
      <c r="P160" s="142">
        <f t="shared" si="162"/>
        <v>0</v>
      </c>
      <c r="Q160" s="142">
        <f t="shared" si="162"/>
        <v>3.234816</v>
      </c>
      <c r="R160" s="142">
        <f t="shared" si="12"/>
        <v>0</v>
      </c>
      <c r="T160">
        <f>Pumps!$F$18*D160/Pumps!$I$4/3600</f>
        <v>0</v>
      </c>
      <c r="U160">
        <f>IF('Design Specifications'!$C$30="y",Disinfection!G158*Disinfection!$N$3*(1*10^6)/3600,0)</f>
        <v>0</v>
      </c>
      <c r="V160">
        <f t="shared" si="13"/>
        <v>864</v>
      </c>
      <c r="W160">
        <f t="shared" si="18"/>
        <v>3.1104</v>
      </c>
      <c r="X160">
        <f t="shared" si="14"/>
        <v>3.1104</v>
      </c>
      <c r="Y160">
        <f t="shared" si="15"/>
        <v>0.4536</v>
      </c>
    </row>
    <row r="161">
      <c r="A161" s="78" t="s">
        <v>427</v>
      </c>
      <c r="B161" s="78">
        <v>4.4</v>
      </c>
      <c r="C161" s="78">
        <f t="shared" si="3"/>
        <v>528</v>
      </c>
      <c r="D161">
        <f t="shared" si="4"/>
        <v>0.528</v>
      </c>
      <c r="E161">
        <v>15.0</v>
      </c>
      <c r="F161">
        <f t="shared" si="5"/>
        <v>0</v>
      </c>
      <c r="G161">
        <f t="shared" si="6"/>
        <v>0</v>
      </c>
      <c r="H161">
        <f>C161*Pumps!$F$18/3600</f>
        <v>22499.90442</v>
      </c>
      <c r="I161">
        <f t="shared" si="7"/>
        <v>32142.7206</v>
      </c>
      <c r="J161">
        <f t="shared" si="8"/>
        <v>37001.26378</v>
      </c>
      <c r="K161">
        <f t="shared" si="22"/>
        <v>0</v>
      </c>
      <c r="M161" s="142">
        <f t="shared" si="9"/>
        <v>0</v>
      </c>
      <c r="N161" s="142">
        <f t="shared" si="10"/>
        <v>0</v>
      </c>
      <c r="O161" s="142">
        <f t="shared" ref="O161:Q161" si="163">H161*3600/(1*10^6)</f>
        <v>80.99965591</v>
      </c>
      <c r="P161" s="142">
        <f t="shared" si="163"/>
        <v>115.7137942</v>
      </c>
      <c r="Q161" s="142">
        <f t="shared" si="163"/>
        <v>133.2045496</v>
      </c>
      <c r="R161" s="142">
        <f t="shared" si="12"/>
        <v>0</v>
      </c>
      <c r="T161">
        <f>Pumps!$F$18*D161/Pumps!$I$4/3600</f>
        <v>32.1427206</v>
      </c>
      <c r="U161">
        <f>IF('Design Specifications'!$C$30="y",Disinfection!G159*Disinfection!$N$3*(1*10^6)/3600,0)</f>
        <v>0</v>
      </c>
      <c r="V161">
        <f t="shared" si="13"/>
        <v>864</v>
      </c>
      <c r="W161">
        <f t="shared" si="18"/>
        <v>3.226113794</v>
      </c>
      <c r="X161">
        <f t="shared" si="14"/>
        <v>3.1104</v>
      </c>
      <c r="Y161">
        <f t="shared" si="15"/>
        <v>0.461865271</v>
      </c>
    </row>
    <row r="162">
      <c r="A162" s="78" t="s">
        <v>429</v>
      </c>
      <c r="B162" s="78">
        <v>0.0</v>
      </c>
      <c r="C162" s="78">
        <f t="shared" si="3"/>
        <v>0</v>
      </c>
      <c r="D162">
        <f t="shared" si="4"/>
        <v>0</v>
      </c>
      <c r="E162">
        <v>15.0</v>
      </c>
      <c r="F162">
        <f t="shared" si="5"/>
        <v>0</v>
      </c>
      <c r="G162">
        <f t="shared" si="6"/>
        <v>0</v>
      </c>
      <c r="H162">
        <f>C162*Pumps!$F$18/3600</f>
        <v>0</v>
      </c>
      <c r="I162">
        <f t="shared" si="7"/>
        <v>0</v>
      </c>
      <c r="J162">
        <f t="shared" si="8"/>
        <v>898.56</v>
      </c>
      <c r="K162">
        <f t="shared" si="22"/>
        <v>0</v>
      </c>
      <c r="M162" s="142">
        <f t="shared" si="9"/>
        <v>0</v>
      </c>
      <c r="N162" s="142">
        <f t="shared" si="10"/>
        <v>0</v>
      </c>
      <c r="O162" s="142">
        <f t="shared" ref="O162:Q162" si="164">H162*3600/(1*10^6)</f>
        <v>0</v>
      </c>
      <c r="P162" s="142">
        <f t="shared" si="164"/>
        <v>0</v>
      </c>
      <c r="Q162" s="142">
        <f t="shared" si="164"/>
        <v>3.234816</v>
      </c>
      <c r="R162" s="142">
        <f t="shared" si="12"/>
        <v>0</v>
      </c>
      <c r="T162">
        <f>Pumps!$F$18*D162/Pumps!$I$4/3600</f>
        <v>0</v>
      </c>
      <c r="U162">
        <f>IF('Design Specifications'!$C$30="y",Disinfection!G160*Disinfection!$N$3*(1*10^6)/3600,0)</f>
        <v>0</v>
      </c>
      <c r="V162">
        <f t="shared" si="13"/>
        <v>864</v>
      </c>
      <c r="W162">
        <f t="shared" si="18"/>
        <v>3.1104</v>
      </c>
      <c r="X162">
        <f t="shared" si="14"/>
        <v>3.1104</v>
      </c>
      <c r="Y162">
        <f t="shared" si="15"/>
        <v>0.4536</v>
      </c>
    </row>
    <row r="163">
      <c r="A163" s="78" t="s">
        <v>431</v>
      </c>
      <c r="B163" s="78">
        <v>0.0</v>
      </c>
      <c r="C163" s="78">
        <f t="shared" si="3"/>
        <v>0</v>
      </c>
      <c r="D163">
        <f t="shared" si="4"/>
        <v>0</v>
      </c>
      <c r="E163">
        <v>15.0</v>
      </c>
      <c r="F163">
        <f t="shared" si="5"/>
        <v>0</v>
      </c>
      <c r="G163">
        <f t="shared" si="6"/>
        <v>0</v>
      </c>
      <c r="H163">
        <f>C163*Pumps!$F$18/3600</f>
        <v>0</v>
      </c>
      <c r="I163">
        <f t="shared" si="7"/>
        <v>0</v>
      </c>
      <c r="J163">
        <f t="shared" si="8"/>
        <v>898.56</v>
      </c>
      <c r="K163">
        <f t="shared" si="22"/>
        <v>0</v>
      </c>
      <c r="M163" s="142">
        <f t="shared" si="9"/>
        <v>0</v>
      </c>
      <c r="N163" s="142">
        <f t="shared" si="10"/>
        <v>0</v>
      </c>
      <c r="O163" s="142">
        <f t="shared" ref="O163:Q163" si="165">H163*3600/(1*10^6)</f>
        <v>0</v>
      </c>
      <c r="P163" s="142">
        <f t="shared" si="165"/>
        <v>0</v>
      </c>
      <c r="Q163" s="142">
        <f t="shared" si="165"/>
        <v>3.234816</v>
      </c>
      <c r="R163" s="142">
        <f t="shared" si="12"/>
        <v>0</v>
      </c>
      <c r="T163">
        <f>Pumps!$F$18*D163/Pumps!$I$4/3600</f>
        <v>0</v>
      </c>
      <c r="U163">
        <f>IF('Design Specifications'!$C$30="y",Disinfection!G161*Disinfection!$N$3*(1*10^6)/3600,0)</f>
        <v>0</v>
      </c>
      <c r="V163">
        <f t="shared" si="13"/>
        <v>864</v>
      </c>
      <c r="W163">
        <f t="shared" si="18"/>
        <v>3.1104</v>
      </c>
      <c r="X163">
        <f t="shared" si="14"/>
        <v>3.1104</v>
      </c>
      <c r="Y163">
        <f t="shared" si="15"/>
        <v>0.4536</v>
      </c>
    </row>
    <row r="164">
      <c r="A164" s="78" t="s">
        <v>433</v>
      </c>
      <c r="B164" s="78">
        <v>0.0</v>
      </c>
      <c r="C164" s="78">
        <f t="shared" si="3"/>
        <v>0</v>
      </c>
      <c r="D164">
        <f t="shared" si="4"/>
        <v>0</v>
      </c>
      <c r="E164">
        <v>15.0</v>
      </c>
      <c r="F164">
        <f t="shared" si="5"/>
        <v>0</v>
      </c>
      <c r="G164">
        <f t="shared" si="6"/>
        <v>0</v>
      </c>
      <c r="H164">
        <f>C164*Pumps!$F$18/3600</f>
        <v>0</v>
      </c>
      <c r="I164">
        <f t="shared" si="7"/>
        <v>0</v>
      </c>
      <c r="J164">
        <f t="shared" si="8"/>
        <v>898.56</v>
      </c>
      <c r="K164">
        <f t="shared" si="22"/>
        <v>0</v>
      </c>
      <c r="M164" s="142">
        <f t="shared" si="9"/>
        <v>0</v>
      </c>
      <c r="N164" s="142">
        <f t="shared" si="10"/>
        <v>0</v>
      </c>
      <c r="O164" s="142">
        <f t="shared" ref="O164:Q164" si="166">H164*3600/(1*10^6)</f>
        <v>0</v>
      </c>
      <c r="P164" s="142">
        <f t="shared" si="166"/>
        <v>0</v>
      </c>
      <c r="Q164" s="142">
        <f t="shared" si="166"/>
        <v>3.234816</v>
      </c>
      <c r="R164" s="142">
        <f t="shared" si="12"/>
        <v>0</v>
      </c>
      <c r="T164">
        <f>Pumps!$F$18*D164/Pumps!$I$4/3600</f>
        <v>0</v>
      </c>
      <c r="U164">
        <f>IF('Design Specifications'!$C$30="y",Disinfection!G162*Disinfection!$N$3*(1*10^6)/3600,0)</f>
        <v>0</v>
      </c>
      <c r="V164">
        <f t="shared" si="13"/>
        <v>864</v>
      </c>
      <c r="W164">
        <f t="shared" si="18"/>
        <v>3.1104</v>
      </c>
      <c r="X164">
        <f t="shared" si="14"/>
        <v>3.1104</v>
      </c>
      <c r="Y164">
        <f t="shared" si="15"/>
        <v>0.4536</v>
      </c>
    </row>
    <row r="165">
      <c r="A165" s="78" t="s">
        <v>435</v>
      </c>
      <c r="B165" s="78">
        <v>0.0</v>
      </c>
      <c r="C165" s="78">
        <f t="shared" si="3"/>
        <v>0</v>
      </c>
      <c r="D165">
        <f t="shared" si="4"/>
        <v>0</v>
      </c>
      <c r="E165">
        <v>15.0</v>
      </c>
      <c r="F165">
        <f t="shared" si="5"/>
        <v>0</v>
      </c>
      <c r="G165">
        <f t="shared" si="6"/>
        <v>0</v>
      </c>
      <c r="H165">
        <f>C165*Pumps!$F$18/3600</f>
        <v>0</v>
      </c>
      <c r="I165">
        <f t="shared" si="7"/>
        <v>0</v>
      </c>
      <c r="J165">
        <f t="shared" si="8"/>
        <v>898.56</v>
      </c>
      <c r="K165">
        <f t="shared" si="22"/>
        <v>0</v>
      </c>
      <c r="M165" s="142">
        <f t="shared" si="9"/>
        <v>0</v>
      </c>
      <c r="N165" s="142">
        <f t="shared" si="10"/>
        <v>0</v>
      </c>
      <c r="O165" s="142">
        <f t="shared" ref="O165:Q165" si="167">H165*3600/(1*10^6)</f>
        <v>0</v>
      </c>
      <c r="P165" s="142">
        <f t="shared" si="167"/>
        <v>0</v>
      </c>
      <c r="Q165" s="142">
        <f t="shared" si="167"/>
        <v>3.234816</v>
      </c>
      <c r="R165" s="142">
        <f t="shared" si="12"/>
        <v>0</v>
      </c>
      <c r="T165">
        <f>Pumps!$F$18*D165/Pumps!$I$4/3600</f>
        <v>0</v>
      </c>
      <c r="U165">
        <f>IF('Design Specifications'!$C$30="y",Disinfection!G163*Disinfection!$N$3*(1*10^6)/3600,0)</f>
        <v>0</v>
      </c>
      <c r="V165">
        <f t="shared" si="13"/>
        <v>864</v>
      </c>
      <c r="W165">
        <f t="shared" si="18"/>
        <v>3.1104</v>
      </c>
      <c r="X165">
        <f t="shared" si="14"/>
        <v>3.1104</v>
      </c>
      <c r="Y165">
        <f t="shared" si="15"/>
        <v>0.4536</v>
      </c>
    </row>
    <row r="166">
      <c r="A166" s="78" t="s">
        <v>437</v>
      </c>
      <c r="B166" s="78">
        <v>0.0</v>
      </c>
      <c r="C166" s="78">
        <f t="shared" si="3"/>
        <v>0</v>
      </c>
      <c r="D166">
        <f t="shared" si="4"/>
        <v>0</v>
      </c>
      <c r="E166">
        <v>15.0</v>
      </c>
      <c r="F166">
        <f t="shared" si="5"/>
        <v>0</v>
      </c>
      <c r="G166">
        <f t="shared" si="6"/>
        <v>0</v>
      </c>
      <c r="H166">
        <f>C166*Pumps!$F$18/3600</f>
        <v>0</v>
      </c>
      <c r="I166">
        <f t="shared" si="7"/>
        <v>0</v>
      </c>
      <c r="J166">
        <f t="shared" si="8"/>
        <v>898.56</v>
      </c>
      <c r="K166">
        <f t="shared" si="22"/>
        <v>0</v>
      </c>
      <c r="M166" s="142">
        <f t="shared" si="9"/>
        <v>0</v>
      </c>
      <c r="N166" s="142">
        <f t="shared" si="10"/>
        <v>0</v>
      </c>
      <c r="O166" s="142">
        <f t="shared" ref="O166:Q166" si="168">H166*3600/(1*10^6)</f>
        <v>0</v>
      </c>
      <c r="P166" s="142">
        <f t="shared" si="168"/>
        <v>0</v>
      </c>
      <c r="Q166" s="142">
        <f t="shared" si="168"/>
        <v>3.234816</v>
      </c>
      <c r="R166" s="142">
        <f t="shared" si="12"/>
        <v>0</v>
      </c>
      <c r="T166">
        <f>Pumps!$F$18*D166/Pumps!$I$4/3600</f>
        <v>0</v>
      </c>
      <c r="U166">
        <f>IF('Design Specifications'!$C$30="y",Disinfection!G164*Disinfection!$N$3*(1*10^6)/3600,0)</f>
        <v>0</v>
      </c>
      <c r="V166">
        <f t="shared" si="13"/>
        <v>864</v>
      </c>
      <c r="W166">
        <f t="shared" si="18"/>
        <v>3.1104</v>
      </c>
      <c r="X166">
        <f t="shared" si="14"/>
        <v>3.1104</v>
      </c>
      <c r="Y166">
        <f t="shared" si="15"/>
        <v>0.4536</v>
      </c>
    </row>
    <row r="167">
      <c r="A167" s="78" t="s">
        <v>439</v>
      </c>
      <c r="B167" s="78">
        <v>0.0</v>
      </c>
      <c r="C167" s="78">
        <f t="shared" si="3"/>
        <v>0</v>
      </c>
      <c r="D167">
        <f t="shared" si="4"/>
        <v>0</v>
      </c>
      <c r="E167">
        <v>15.0</v>
      </c>
      <c r="F167">
        <f t="shared" si="5"/>
        <v>0</v>
      </c>
      <c r="G167">
        <f t="shared" si="6"/>
        <v>0</v>
      </c>
      <c r="H167">
        <f>C167*Pumps!$F$18/3600</f>
        <v>0</v>
      </c>
      <c r="I167">
        <f t="shared" si="7"/>
        <v>0</v>
      </c>
      <c r="J167">
        <f t="shared" si="8"/>
        <v>898.56</v>
      </c>
      <c r="K167">
        <f t="shared" si="22"/>
        <v>0</v>
      </c>
      <c r="M167" s="142">
        <f t="shared" si="9"/>
        <v>0</v>
      </c>
      <c r="N167" s="142">
        <f t="shared" si="10"/>
        <v>0</v>
      </c>
      <c r="O167" s="142">
        <f t="shared" ref="O167:Q167" si="169">H167*3600/(1*10^6)</f>
        <v>0</v>
      </c>
      <c r="P167" s="142">
        <f t="shared" si="169"/>
        <v>0</v>
      </c>
      <c r="Q167" s="142">
        <f t="shared" si="169"/>
        <v>3.234816</v>
      </c>
      <c r="R167" s="142">
        <f t="shared" si="12"/>
        <v>0</v>
      </c>
      <c r="T167">
        <f>Pumps!$F$18*D167/Pumps!$I$4/3600</f>
        <v>0</v>
      </c>
      <c r="U167">
        <f>IF('Design Specifications'!$C$30="y",Disinfection!G165*Disinfection!$N$3*(1*10^6)/3600,0)</f>
        <v>0</v>
      </c>
      <c r="V167">
        <f t="shared" si="13"/>
        <v>864</v>
      </c>
      <c r="W167">
        <f t="shared" si="18"/>
        <v>3.1104</v>
      </c>
      <c r="X167">
        <f t="shared" si="14"/>
        <v>3.1104</v>
      </c>
      <c r="Y167">
        <f t="shared" si="15"/>
        <v>0.4536</v>
      </c>
    </row>
    <row r="168">
      <c r="A168" s="78" t="s">
        <v>441</v>
      </c>
      <c r="B168" s="78">
        <v>0.0</v>
      </c>
      <c r="C168" s="78">
        <f t="shared" si="3"/>
        <v>0</v>
      </c>
      <c r="D168">
        <f t="shared" si="4"/>
        <v>0</v>
      </c>
      <c r="E168">
        <v>15.0</v>
      </c>
      <c r="F168">
        <f t="shared" si="5"/>
        <v>0</v>
      </c>
      <c r="G168">
        <f t="shared" si="6"/>
        <v>0</v>
      </c>
      <c r="H168">
        <f>C168*Pumps!$F$18/3600</f>
        <v>0</v>
      </c>
      <c r="I168">
        <f t="shared" si="7"/>
        <v>0</v>
      </c>
      <c r="J168">
        <f t="shared" si="8"/>
        <v>898.56</v>
      </c>
      <c r="K168">
        <f t="shared" si="22"/>
        <v>0</v>
      </c>
      <c r="M168" s="142">
        <f t="shared" si="9"/>
        <v>0</v>
      </c>
      <c r="N168" s="142">
        <f t="shared" si="10"/>
        <v>0</v>
      </c>
      <c r="O168" s="142">
        <f t="shared" ref="O168:Q168" si="170">H168*3600/(1*10^6)</f>
        <v>0</v>
      </c>
      <c r="P168" s="142">
        <f t="shared" si="170"/>
        <v>0</v>
      </c>
      <c r="Q168" s="142">
        <f t="shared" si="170"/>
        <v>3.234816</v>
      </c>
      <c r="R168" s="142">
        <f t="shared" si="12"/>
        <v>0</v>
      </c>
      <c r="T168">
        <f>Pumps!$F$18*D168/Pumps!$I$4/3600</f>
        <v>0</v>
      </c>
      <c r="U168">
        <f>IF('Design Specifications'!$C$30="y",Disinfection!G166*Disinfection!$N$3*(1*10^6)/3600,0)</f>
        <v>0</v>
      </c>
      <c r="V168">
        <f t="shared" si="13"/>
        <v>864</v>
      </c>
      <c r="W168">
        <f t="shared" si="18"/>
        <v>3.1104</v>
      </c>
      <c r="X168">
        <f t="shared" si="14"/>
        <v>3.1104</v>
      </c>
      <c r="Y168">
        <f t="shared" si="15"/>
        <v>0.4536</v>
      </c>
    </row>
    <row r="169">
      <c r="A169" s="78" t="s">
        <v>443</v>
      </c>
      <c r="B169" s="78">
        <v>0.0</v>
      </c>
      <c r="C169" s="78">
        <f t="shared" si="3"/>
        <v>0</v>
      </c>
      <c r="D169">
        <f t="shared" si="4"/>
        <v>0</v>
      </c>
      <c r="E169">
        <v>15.0</v>
      </c>
      <c r="F169">
        <f t="shared" si="5"/>
        <v>0</v>
      </c>
      <c r="G169">
        <f t="shared" si="6"/>
        <v>0</v>
      </c>
      <c r="H169">
        <f>C169*Pumps!$F$18/3600</f>
        <v>0</v>
      </c>
      <c r="I169">
        <f t="shared" si="7"/>
        <v>0</v>
      </c>
      <c r="J169">
        <f t="shared" si="8"/>
        <v>898.56</v>
      </c>
      <c r="K169">
        <f t="shared" si="22"/>
        <v>0</v>
      </c>
      <c r="M169" s="142">
        <f t="shared" si="9"/>
        <v>0</v>
      </c>
      <c r="N169" s="142">
        <f t="shared" si="10"/>
        <v>0</v>
      </c>
      <c r="O169" s="142">
        <f t="shared" ref="O169:Q169" si="171">H169*3600/(1*10^6)</f>
        <v>0</v>
      </c>
      <c r="P169" s="142">
        <f t="shared" si="171"/>
        <v>0</v>
      </c>
      <c r="Q169" s="142">
        <f t="shared" si="171"/>
        <v>3.234816</v>
      </c>
      <c r="R169" s="142">
        <f t="shared" si="12"/>
        <v>0</v>
      </c>
      <c r="T169">
        <f>Pumps!$F$18*D169/Pumps!$I$4/3600</f>
        <v>0</v>
      </c>
      <c r="U169">
        <f>IF('Design Specifications'!$C$30="y",Disinfection!G167*Disinfection!$N$3*(1*10^6)/3600,0)</f>
        <v>0</v>
      </c>
      <c r="V169">
        <f t="shared" si="13"/>
        <v>864</v>
      </c>
      <c r="W169">
        <f t="shared" si="18"/>
        <v>3.1104</v>
      </c>
      <c r="X169">
        <f t="shared" si="14"/>
        <v>3.1104</v>
      </c>
      <c r="Y169">
        <f t="shared" si="15"/>
        <v>0.4536</v>
      </c>
    </row>
    <row r="170">
      <c r="A170" s="78" t="s">
        <v>445</v>
      </c>
      <c r="B170" s="78">
        <v>0.0</v>
      </c>
      <c r="C170" s="78">
        <f t="shared" si="3"/>
        <v>0</v>
      </c>
      <c r="D170">
        <f t="shared" si="4"/>
        <v>0</v>
      </c>
      <c r="E170">
        <v>15.0</v>
      </c>
      <c r="F170">
        <f t="shared" si="5"/>
        <v>0</v>
      </c>
      <c r="G170">
        <f t="shared" si="6"/>
        <v>0</v>
      </c>
      <c r="H170">
        <f>C170*Pumps!$F$18/3600</f>
        <v>0</v>
      </c>
      <c r="I170">
        <f t="shared" si="7"/>
        <v>0</v>
      </c>
      <c r="J170">
        <f t="shared" si="8"/>
        <v>898.56</v>
      </c>
      <c r="K170">
        <f t="shared" si="22"/>
        <v>0</v>
      </c>
      <c r="M170" s="142">
        <f t="shared" si="9"/>
        <v>0</v>
      </c>
      <c r="N170" s="142">
        <f t="shared" si="10"/>
        <v>0</v>
      </c>
      <c r="O170" s="142">
        <f t="shared" ref="O170:Q170" si="172">H170*3600/(1*10^6)</f>
        <v>0</v>
      </c>
      <c r="P170" s="142">
        <f t="shared" si="172"/>
        <v>0</v>
      </c>
      <c r="Q170" s="142">
        <f t="shared" si="172"/>
        <v>3.234816</v>
      </c>
      <c r="R170" s="142">
        <f t="shared" si="12"/>
        <v>0</v>
      </c>
      <c r="T170">
        <f>Pumps!$F$18*D170/Pumps!$I$4/3600</f>
        <v>0</v>
      </c>
      <c r="U170">
        <f>IF('Design Specifications'!$C$30="y",Disinfection!G168*Disinfection!$N$3*(1*10^6)/3600,0)</f>
        <v>0</v>
      </c>
      <c r="V170">
        <f t="shared" si="13"/>
        <v>864</v>
      </c>
      <c r="W170">
        <f t="shared" si="18"/>
        <v>3.1104</v>
      </c>
      <c r="X170">
        <f t="shared" si="14"/>
        <v>3.1104</v>
      </c>
      <c r="Y170">
        <f t="shared" si="15"/>
        <v>0.4536</v>
      </c>
    </row>
    <row r="171">
      <c r="A171" s="78" t="s">
        <v>447</v>
      </c>
      <c r="B171" s="78">
        <v>0.0</v>
      </c>
      <c r="C171" s="78">
        <f t="shared" si="3"/>
        <v>0</v>
      </c>
      <c r="D171">
        <f t="shared" si="4"/>
        <v>0</v>
      </c>
      <c r="E171">
        <v>15.0</v>
      </c>
      <c r="F171">
        <f t="shared" si="5"/>
        <v>0</v>
      </c>
      <c r="G171">
        <f t="shared" si="6"/>
        <v>0</v>
      </c>
      <c r="H171">
        <f>C171*Pumps!$F$18/3600</f>
        <v>0</v>
      </c>
      <c r="I171">
        <f t="shared" si="7"/>
        <v>0</v>
      </c>
      <c r="J171">
        <f t="shared" si="8"/>
        <v>898.56</v>
      </c>
      <c r="K171">
        <f t="shared" si="22"/>
        <v>0</v>
      </c>
      <c r="M171" s="142">
        <f t="shared" si="9"/>
        <v>0</v>
      </c>
      <c r="N171" s="142">
        <f t="shared" si="10"/>
        <v>0</v>
      </c>
      <c r="O171" s="142">
        <f t="shared" ref="O171:Q171" si="173">H171*3600/(1*10^6)</f>
        <v>0</v>
      </c>
      <c r="P171" s="142">
        <f t="shared" si="173"/>
        <v>0</v>
      </c>
      <c r="Q171" s="142">
        <f t="shared" si="173"/>
        <v>3.234816</v>
      </c>
      <c r="R171" s="142">
        <f t="shared" si="12"/>
        <v>0</v>
      </c>
      <c r="T171">
        <f>Pumps!$F$18*D171/Pumps!$I$4/3600</f>
        <v>0</v>
      </c>
      <c r="U171">
        <f>IF('Design Specifications'!$C$30="y",Disinfection!G169*Disinfection!$N$3*(1*10^6)/3600,0)</f>
        <v>0</v>
      </c>
      <c r="V171">
        <f t="shared" si="13"/>
        <v>864</v>
      </c>
      <c r="W171">
        <f t="shared" si="18"/>
        <v>3.1104</v>
      </c>
      <c r="X171">
        <f t="shared" si="14"/>
        <v>3.1104</v>
      </c>
      <c r="Y171">
        <f t="shared" si="15"/>
        <v>0.4536</v>
      </c>
    </row>
    <row r="172">
      <c r="A172" s="78" t="s">
        <v>449</v>
      </c>
      <c r="B172" s="78">
        <v>0.0</v>
      </c>
      <c r="C172" s="78">
        <f t="shared" si="3"/>
        <v>0</v>
      </c>
      <c r="D172">
        <f t="shared" si="4"/>
        <v>0</v>
      </c>
      <c r="E172">
        <v>15.0</v>
      </c>
      <c r="F172">
        <f t="shared" si="5"/>
        <v>0</v>
      </c>
      <c r="G172">
        <f t="shared" si="6"/>
        <v>0</v>
      </c>
      <c r="H172">
        <f>C172*Pumps!$F$18/3600</f>
        <v>0</v>
      </c>
      <c r="I172">
        <f t="shared" si="7"/>
        <v>0</v>
      </c>
      <c r="J172">
        <f t="shared" si="8"/>
        <v>898.56</v>
      </c>
      <c r="K172">
        <f t="shared" si="22"/>
        <v>0</v>
      </c>
      <c r="M172" s="142">
        <f t="shared" si="9"/>
        <v>0</v>
      </c>
      <c r="N172" s="142">
        <f t="shared" si="10"/>
        <v>0</v>
      </c>
      <c r="O172" s="142">
        <f t="shared" ref="O172:Q172" si="174">H172*3600/(1*10^6)</f>
        <v>0</v>
      </c>
      <c r="P172" s="142">
        <f t="shared" si="174"/>
        <v>0</v>
      </c>
      <c r="Q172" s="142">
        <f t="shared" si="174"/>
        <v>3.234816</v>
      </c>
      <c r="R172" s="142">
        <f t="shared" si="12"/>
        <v>0</v>
      </c>
      <c r="T172">
        <f>Pumps!$F$18*D172/Pumps!$I$4/3600</f>
        <v>0</v>
      </c>
      <c r="U172">
        <f>IF('Design Specifications'!$C$30="y",Disinfection!G170*Disinfection!$N$3*(1*10^6)/3600,0)</f>
        <v>0</v>
      </c>
      <c r="V172">
        <f t="shared" si="13"/>
        <v>864</v>
      </c>
      <c r="W172">
        <f t="shared" si="18"/>
        <v>3.1104</v>
      </c>
      <c r="X172">
        <f t="shared" si="14"/>
        <v>3.1104</v>
      </c>
      <c r="Y172">
        <f t="shared" si="15"/>
        <v>0.4536</v>
      </c>
    </row>
    <row r="173">
      <c r="A173" s="78" t="s">
        <v>451</v>
      </c>
      <c r="B173" s="78">
        <v>0.2</v>
      </c>
      <c r="C173" s="78">
        <f t="shared" si="3"/>
        <v>24</v>
      </c>
      <c r="D173">
        <f t="shared" si="4"/>
        <v>0.024</v>
      </c>
      <c r="E173">
        <v>15.0</v>
      </c>
      <c r="F173">
        <f t="shared" si="5"/>
        <v>0</v>
      </c>
      <c r="G173">
        <f t="shared" si="6"/>
        <v>0</v>
      </c>
      <c r="H173">
        <f>C173*Pumps!$F$18/3600</f>
        <v>1022.722928</v>
      </c>
      <c r="I173">
        <f t="shared" si="7"/>
        <v>1461.032754</v>
      </c>
      <c r="J173">
        <f t="shared" si="8"/>
        <v>2539.59199</v>
      </c>
      <c r="K173">
        <f t="shared" si="22"/>
        <v>0</v>
      </c>
      <c r="M173" s="142">
        <f t="shared" si="9"/>
        <v>0</v>
      </c>
      <c r="N173" s="142">
        <f t="shared" si="10"/>
        <v>0</v>
      </c>
      <c r="O173" s="142">
        <f t="shared" ref="O173:Q173" si="175">H173*3600/(1*10^6)</f>
        <v>3.681802541</v>
      </c>
      <c r="P173" s="142">
        <f t="shared" si="175"/>
        <v>5.259717916</v>
      </c>
      <c r="Q173" s="142">
        <f t="shared" si="175"/>
        <v>9.142531163</v>
      </c>
      <c r="R173" s="142">
        <f t="shared" si="12"/>
        <v>0</v>
      </c>
      <c r="T173">
        <f>Pumps!$F$18*D173/Pumps!$I$4/3600</f>
        <v>1.461032754</v>
      </c>
      <c r="U173">
        <f>IF('Design Specifications'!$C$30="y",Disinfection!G171*Disinfection!$N$3*(1*10^6)/3600,0)</f>
        <v>0</v>
      </c>
      <c r="V173">
        <f t="shared" si="13"/>
        <v>864</v>
      </c>
      <c r="W173">
        <f t="shared" si="18"/>
        <v>3.115659718</v>
      </c>
      <c r="X173">
        <f t="shared" si="14"/>
        <v>3.1104</v>
      </c>
      <c r="Y173">
        <f t="shared" si="15"/>
        <v>0.4539756941</v>
      </c>
    </row>
    <row r="174">
      <c r="A174" s="78" t="s">
        <v>453</v>
      </c>
      <c r="B174" s="78">
        <v>0.0</v>
      </c>
      <c r="C174" s="78">
        <f t="shared" si="3"/>
        <v>0</v>
      </c>
      <c r="D174">
        <f t="shared" si="4"/>
        <v>0</v>
      </c>
      <c r="E174">
        <v>15.0</v>
      </c>
      <c r="F174">
        <f t="shared" si="5"/>
        <v>0</v>
      </c>
      <c r="G174">
        <f t="shared" si="6"/>
        <v>0</v>
      </c>
      <c r="H174">
        <f>C174*Pumps!$F$18/3600</f>
        <v>0</v>
      </c>
      <c r="I174">
        <f t="shared" si="7"/>
        <v>0</v>
      </c>
      <c r="J174">
        <f t="shared" si="8"/>
        <v>898.56</v>
      </c>
      <c r="K174">
        <f t="shared" si="22"/>
        <v>0</v>
      </c>
      <c r="M174" s="142">
        <f t="shared" si="9"/>
        <v>0</v>
      </c>
      <c r="N174" s="142">
        <f t="shared" si="10"/>
        <v>0</v>
      </c>
      <c r="O174" s="142">
        <f t="shared" ref="O174:Q174" si="176">H174*3600/(1*10^6)</f>
        <v>0</v>
      </c>
      <c r="P174" s="142">
        <f t="shared" si="176"/>
        <v>0</v>
      </c>
      <c r="Q174" s="142">
        <f t="shared" si="176"/>
        <v>3.234816</v>
      </c>
      <c r="R174" s="142">
        <f t="shared" si="12"/>
        <v>0</v>
      </c>
      <c r="T174">
        <f>Pumps!$F$18*D174/Pumps!$I$4/3600</f>
        <v>0</v>
      </c>
      <c r="U174">
        <f>IF('Design Specifications'!$C$30="y",Disinfection!G172*Disinfection!$N$3*(1*10^6)/3600,0)</f>
        <v>0</v>
      </c>
      <c r="V174">
        <f t="shared" si="13"/>
        <v>864</v>
      </c>
      <c r="W174">
        <f t="shared" si="18"/>
        <v>3.1104</v>
      </c>
      <c r="X174">
        <f t="shared" si="14"/>
        <v>3.1104</v>
      </c>
      <c r="Y174">
        <f t="shared" si="15"/>
        <v>0.4536</v>
      </c>
    </row>
    <row r="175">
      <c r="A175" s="78" t="s">
        <v>455</v>
      </c>
      <c r="B175" s="78">
        <v>0.0</v>
      </c>
      <c r="C175" s="78">
        <f t="shared" si="3"/>
        <v>0</v>
      </c>
      <c r="D175">
        <f t="shared" si="4"/>
        <v>0</v>
      </c>
      <c r="E175">
        <v>15.0</v>
      </c>
      <c r="F175">
        <f t="shared" si="5"/>
        <v>0</v>
      </c>
      <c r="G175">
        <f t="shared" si="6"/>
        <v>0</v>
      </c>
      <c r="H175">
        <f>C175*Pumps!$F$18/3600</f>
        <v>0</v>
      </c>
      <c r="I175">
        <f t="shared" si="7"/>
        <v>0</v>
      </c>
      <c r="J175">
        <f t="shared" si="8"/>
        <v>898.56</v>
      </c>
      <c r="K175">
        <f t="shared" si="22"/>
        <v>0</v>
      </c>
      <c r="M175" s="142">
        <f t="shared" si="9"/>
        <v>0</v>
      </c>
      <c r="N175" s="142">
        <f t="shared" si="10"/>
        <v>0</v>
      </c>
      <c r="O175" s="142">
        <f t="shared" ref="O175:Q175" si="177">H175*3600/(1*10^6)</f>
        <v>0</v>
      </c>
      <c r="P175" s="142">
        <f t="shared" si="177"/>
        <v>0</v>
      </c>
      <c r="Q175" s="142">
        <f t="shared" si="177"/>
        <v>3.234816</v>
      </c>
      <c r="R175" s="142">
        <f t="shared" si="12"/>
        <v>0</v>
      </c>
      <c r="T175">
        <f>Pumps!$F$18*D175/Pumps!$I$4/3600</f>
        <v>0</v>
      </c>
      <c r="U175">
        <f>IF('Design Specifications'!$C$30="y",Disinfection!G173*Disinfection!$N$3*(1*10^6)/3600,0)</f>
        <v>0</v>
      </c>
      <c r="V175">
        <f t="shared" si="13"/>
        <v>864</v>
      </c>
      <c r="W175">
        <f t="shared" si="18"/>
        <v>3.1104</v>
      </c>
      <c r="X175">
        <f t="shared" si="14"/>
        <v>3.1104</v>
      </c>
      <c r="Y175">
        <f t="shared" si="15"/>
        <v>0.4536</v>
      </c>
    </row>
    <row r="176">
      <c r="A176" s="78" t="s">
        <v>457</v>
      </c>
      <c r="B176" s="78">
        <v>0.0</v>
      </c>
      <c r="C176" s="78">
        <f t="shared" si="3"/>
        <v>0</v>
      </c>
      <c r="D176">
        <f t="shared" si="4"/>
        <v>0</v>
      </c>
      <c r="E176">
        <v>15.0</v>
      </c>
      <c r="F176">
        <f t="shared" si="5"/>
        <v>0</v>
      </c>
      <c r="G176">
        <f t="shared" si="6"/>
        <v>0</v>
      </c>
      <c r="H176">
        <f>C176*Pumps!$F$18/3600</f>
        <v>0</v>
      </c>
      <c r="I176">
        <f t="shared" si="7"/>
        <v>0</v>
      </c>
      <c r="J176">
        <f t="shared" si="8"/>
        <v>898.56</v>
      </c>
      <c r="K176">
        <f t="shared" si="22"/>
        <v>0</v>
      </c>
      <c r="M176" s="142">
        <f t="shared" si="9"/>
        <v>0</v>
      </c>
      <c r="N176" s="142">
        <f t="shared" si="10"/>
        <v>0</v>
      </c>
      <c r="O176" s="142">
        <f t="shared" ref="O176:Q176" si="178">H176*3600/(1*10^6)</f>
        <v>0</v>
      </c>
      <c r="P176" s="142">
        <f t="shared" si="178"/>
        <v>0</v>
      </c>
      <c r="Q176" s="142">
        <f t="shared" si="178"/>
        <v>3.234816</v>
      </c>
      <c r="R176" s="142">
        <f t="shared" si="12"/>
        <v>0</v>
      </c>
      <c r="T176">
        <f>Pumps!$F$18*D176/Pumps!$I$4/3600</f>
        <v>0</v>
      </c>
      <c r="U176">
        <f>IF('Design Specifications'!$C$30="y",Disinfection!G174*Disinfection!$N$3*(1*10^6)/3600,0)</f>
        <v>0</v>
      </c>
      <c r="V176">
        <f t="shared" si="13"/>
        <v>864</v>
      </c>
      <c r="W176">
        <f t="shared" si="18"/>
        <v>3.1104</v>
      </c>
      <c r="X176">
        <f t="shared" si="14"/>
        <v>3.1104</v>
      </c>
      <c r="Y176">
        <f t="shared" si="15"/>
        <v>0.4536</v>
      </c>
    </row>
    <row r="177">
      <c r="A177" s="78" t="s">
        <v>459</v>
      </c>
      <c r="B177" s="78">
        <v>0.0</v>
      </c>
      <c r="C177" s="78">
        <f t="shared" si="3"/>
        <v>0</v>
      </c>
      <c r="D177">
        <f t="shared" si="4"/>
        <v>0</v>
      </c>
      <c r="E177">
        <v>15.0</v>
      </c>
      <c r="F177">
        <f t="shared" si="5"/>
        <v>0</v>
      </c>
      <c r="G177">
        <f t="shared" si="6"/>
        <v>0</v>
      </c>
      <c r="H177">
        <f>C177*Pumps!$F$18/3600</f>
        <v>0</v>
      </c>
      <c r="I177">
        <f t="shared" si="7"/>
        <v>0</v>
      </c>
      <c r="J177">
        <f t="shared" si="8"/>
        <v>898.56</v>
      </c>
      <c r="K177">
        <f t="shared" si="22"/>
        <v>0</v>
      </c>
      <c r="M177" s="142">
        <f t="shared" si="9"/>
        <v>0</v>
      </c>
      <c r="N177" s="142">
        <f t="shared" si="10"/>
        <v>0</v>
      </c>
      <c r="O177" s="142">
        <f t="shared" ref="O177:Q177" si="179">H177*3600/(1*10^6)</f>
        <v>0</v>
      </c>
      <c r="P177" s="142">
        <f t="shared" si="179"/>
        <v>0</v>
      </c>
      <c r="Q177" s="142">
        <f t="shared" si="179"/>
        <v>3.234816</v>
      </c>
      <c r="R177" s="142">
        <f t="shared" si="12"/>
        <v>0</v>
      </c>
      <c r="T177">
        <f>Pumps!$F$18*D177/Pumps!$I$4/3600</f>
        <v>0</v>
      </c>
      <c r="U177">
        <f>IF('Design Specifications'!$C$30="y",Disinfection!G175*Disinfection!$N$3*(1*10^6)/3600,0)</f>
        <v>0</v>
      </c>
      <c r="V177">
        <f t="shared" si="13"/>
        <v>864</v>
      </c>
      <c r="W177">
        <f t="shared" si="18"/>
        <v>3.1104</v>
      </c>
      <c r="X177">
        <f t="shared" si="14"/>
        <v>3.1104</v>
      </c>
      <c r="Y177">
        <f t="shared" si="15"/>
        <v>0.4536</v>
      </c>
    </row>
    <row r="178">
      <c r="A178" s="78" t="s">
        <v>461</v>
      </c>
      <c r="B178" s="78">
        <v>0.0</v>
      </c>
      <c r="C178" s="78">
        <f t="shared" si="3"/>
        <v>0</v>
      </c>
      <c r="D178">
        <f t="shared" si="4"/>
        <v>0</v>
      </c>
      <c r="E178">
        <v>15.0</v>
      </c>
      <c r="F178">
        <f t="shared" si="5"/>
        <v>0</v>
      </c>
      <c r="G178">
        <f t="shared" si="6"/>
        <v>0</v>
      </c>
      <c r="H178">
        <f>C178*Pumps!$F$18/3600</f>
        <v>0</v>
      </c>
      <c r="I178">
        <f t="shared" si="7"/>
        <v>0</v>
      </c>
      <c r="J178">
        <f t="shared" si="8"/>
        <v>898.56</v>
      </c>
      <c r="K178">
        <f t="shared" si="22"/>
        <v>0</v>
      </c>
      <c r="M178" s="142">
        <f t="shared" si="9"/>
        <v>0</v>
      </c>
      <c r="N178" s="142">
        <f t="shared" si="10"/>
        <v>0</v>
      </c>
      <c r="O178" s="142">
        <f t="shared" ref="O178:Q178" si="180">H178*3600/(1*10^6)</f>
        <v>0</v>
      </c>
      <c r="P178" s="142">
        <f t="shared" si="180"/>
        <v>0</v>
      </c>
      <c r="Q178" s="142">
        <f t="shared" si="180"/>
        <v>3.234816</v>
      </c>
      <c r="R178" s="142">
        <f t="shared" si="12"/>
        <v>0</v>
      </c>
      <c r="T178">
        <f>Pumps!$F$18*D178/Pumps!$I$4/3600</f>
        <v>0</v>
      </c>
      <c r="U178">
        <f>IF('Design Specifications'!$C$30="y",Disinfection!G176*Disinfection!$N$3*(1*10^6)/3600,0)</f>
        <v>0</v>
      </c>
      <c r="V178">
        <f t="shared" si="13"/>
        <v>864</v>
      </c>
      <c r="W178">
        <f t="shared" si="18"/>
        <v>3.1104</v>
      </c>
      <c r="X178">
        <f t="shared" si="14"/>
        <v>3.1104</v>
      </c>
      <c r="Y178">
        <f t="shared" si="15"/>
        <v>0.4536</v>
      </c>
    </row>
    <row r="179">
      <c r="A179" s="78" t="s">
        <v>463</v>
      </c>
      <c r="B179" s="78">
        <v>3.6</v>
      </c>
      <c r="C179" s="78">
        <f t="shared" si="3"/>
        <v>432</v>
      </c>
      <c r="D179">
        <f t="shared" si="4"/>
        <v>0.432</v>
      </c>
      <c r="E179">
        <v>15.0</v>
      </c>
      <c r="F179">
        <f t="shared" si="5"/>
        <v>0</v>
      </c>
      <c r="G179">
        <f t="shared" si="6"/>
        <v>0</v>
      </c>
      <c r="H179">
        <f>C179*Pumps!$F$18/3600</f>
        <v>18409.01271</v>
      </c>
      <c r="I179">
        <f t="shared" si="7"/>
        <v>26298.58958</v>
      </c>
      <c r="J179">
        <f t="shared" si="8"/>
        <v>30437.13582</v>
      </c>
      <c r="K179">
        <f t="shared" si="22"/>
        <v>0</v>
      </c>
      <c r="M179" s="142">
        <f t="shared" si="9"/>
        <v>0</v>
      </c>
      <c r="N179" s="142">
        <f t="shared" si="10"/>
        <v>0</v>
      </c>
      <c r="O179" s="142">
        <f t="shared" ref="O179:Q179" si="181">H179*3600/(1*10^6)</f>
        <v>66.27244574</v>
      </c>
      <c r="P179" s="142">
        <f t="shared" si="181"/>
        <v>94.67492249</v>
      </c>
      <c r="Q179" s="142">
        <f t="shared" si="181"/>
        <v>109.5736889</v>
      </c>
      <c r="R179" s="142">
        <f t="shared" si="12"/>
        <v>0</v>
      </c>
      <c r="T179">
        <f>Pumps!$F$18*D179/Pumps!$I$4/3600</f>
        <v>26.29858958</v>
      </c>
      <c r="U179">
        <f>IF('Design Specifications'!$C$30="y",Disinfection!G177*Disinfection!$N$3*(1*10^6)/3600,0)</f>
        <v>0</v>
      </c>
      <c r="V179">
        <f t="shared" si="13"/>
        <v>864</v>
      </c>
      <c r="W179">
        <f t="shared" si="18"/>
        <v>3.205074922</v>
      </c>
      <c r="X179">
        <f t="shared" si="14"/>
        <v>3.1104</v>
      </c>
      <c r="Y179">
        <f t="shared" si="15"/>
        <v>0.4603624945</v>
      </c>
    </row>
    <row r="180">
      <c r="A180" s="78" t="s">
        <v>465</v>
      </c>
      <c r="B180" s="78">
        <v>0.0</v>
      </c>
      <c r="C180" s="78">
        <f t="shared" si="3"/>
        <v>0</v>
      </c>
      <c r="D180">
        <f t="shared" si="4"/>
        <v>0</v>
      </c>
      <c r="E180">
        <v>15.0</v>
      </c>
      <c r="F180">
        <f t="shared" si="5"/>
        <v>0</v>
      </c>
      <c r="G180">
        <f t="shared" si="6"/>
        <v>0</v>
      </c>
      <c r="H180">
        <f>C180*Pumps!$F$18/3600</f>
        <v>0</v>
      </c>
      <c r="I180">
        <f t="shared" si="7"/>
        <v>0</v>
      </c>
      <c r="J180">
        <f t="shared" si="8"/>
        <v>898.56</v>
      </c>
      <c r="K180">
        <f t="shared" si="22"/>
        <v>0</v>
      </c>
      <c r="M180" s="142">
        <f t="shared" si="9"/>
        <v>0</v>
      </c>
      <c r="N180" s="142">
        <f t="shared" si="10"/>
        <v>0</v>
      </c>
      <c r="O180" s="142">
        <f t="shared" ref="O180:Q180" si="182">H180*3600/(1*10^6)</f>
        <v>0</v>
      </c>
      <c r="P180" s="142">
        <f t="shared" si="182"/>
        <v>0</v>
      </c>
      <c r="Q180" s="142">
        <f t="shared" si="182"/>
        <v>3.234816</v>
      </c>
      <c r="R180" s="142">
        <f t="shared" si="12"/>
        <v>0</v>
      </c>
      <c r="T180">
        <f>Pumps!$F$18*D180/Pumps!$I$4/3600</f>
        <v>0</v>
      </c>
      <c r="U180">
        <f>IF('Design Specifications'!$C$30="y",Disinfection!G178*Disinfection!$N$3*(1*10^6)/3600,0)</f>
        <v>0</v>
      </c>
      <c r="V180">
        <f t="shared" si="13"/>
        <v>864</v>
      </c>
      <c r="W180">
        <f t="shared" si="18"/>
        <v>3.1104</v>
      </c>
      <c r="X180">
        <f t="shared" si="14"/>
        <v>3.1104</v>
      </c>
      <c r="Y180">
        <f t="shared" si="15"/>
        <v>0.4536</v>
      </c>
    </row>
    <row r="181">
      <c r="A181" s="78" t="s">
        <v>467</v>
      </c>
      <c r="B181" s="78">
        <v>0.0</v>
      </c>
      <c r="C181" s="78">
        <f t="shared" si="3"/>
        <v>0</v>
      </c>
      <c r="D181">
        <f t="shared" si="4"/>
        <v>0</v>
      </c>
      <c r="E181">
        <v>15.0</v>
      </c>
      <c r="F181">
        <f t="shared" si="5"/>
        <v>0</v>
      </c>
      <c r="G181">
        <f t="shared" si="6"/>
        <v>0</v>
      </c>
      <c r="H181">
        <f>C181*Pumps!$F$18/3600</f>
        <v>0</v>
      </c>
      <c r="I181">
        <f t="shared" si="7"/>
        <v>0</v>
      </c>
      <c r="J181">
        <f t="shared" si="8"/>
        <v>898.56</v>
      </c>
      <c r="K181">
        <f t="shared" si="22"/>
        <v>0</v>
      </c>
      <c r="M181" s="142">
        <f t="shared" si="9"/>
        <v>0</v>
      </c>
      <c r="N181" s="142">
        <f t="shared" si="10"/>
        <v>0</v>
      </c>
      <c r="O181" s="142">
        <f t="shared" ref="O181:Q181" si="183">H181*3600/(1*10^6)</f>
        <v>0</v>
      </c>
      <c r="P181" s="142">
        <f t="shared" si="183"/>
        <v>0</v>
      </c>
      <c r="Q181" s="142">
        <f t="shared" si="183"/>
        <v>3.234816</v>
      </c>
      <c r="R181" s="142">
        <f t="shared" si="12"/>
        <v>0</v>
      </c>
      <c r="T181">
        <f>Pumps!$F$18*D181/Pumps!$I$4/3600</f>
        <v>0</v>
      </c>
      <c r="U181">
        <f>IF('Design Specifications'!$C$30="y",Disinfection!G179*Disinfection!$N$3*(1*10^6)/3600,0)</f>
        <v>0</v>
      </c>
      <c r="V181">
        <f t="shared" si="13"/>
        <v>864</v>
      </c>
      <c r="W181">
        <f t="shared" si="18"/>
        <v>3.1104</v>
      </c>
      <c r="X181">
        <f t="shared" si="14"/>
        <v>3.1104</v>
      </c>
      <c r="Y181">
        <f t="shared" si="15"/>
        <v>0.4536</v>
      </c>
    </row>
    <row r="182">
      <c r="A182" s="78" t="s">
        <v>469</v>
      </c>
      <c r="B182" s="78">
        <v>0.0</v>
      </c>
      <c r="C182" s="78">
        <f t="shared" si="3"/>
        <v>0</v>
      </c>
      <c r="D182">
        <f t="shared" si="4"/>
        <v>0</v>
      </c>
      <c r="E182">
        <v>15.0</v>
      </c>
      <c r="F182">
        <f t="shared" si="5"/>
        <v>0</v>
      </c>
      <c r="G182">
        <f t="shared" si="6"/>
        <v>0</v>
      </c>
      <c r="H182">
        <f>C182*Pumps!$F$18/3600</f>
        <v>0</v>
      </c>
      <c r="I182">
        <f t="shared" si="7"/>
        <v>0</v>
      </c>
      <c r="J182">
        <f t="shared" si="8"/>
        <v>898.56</v>
      </c>
      <c r="K182">
        <f t="shared" si="22"/>
        <v>0</v>
      </c>
      <c r="M182" s="142">
        <f t="shared" si="9"/>
        <v>0</v>
      </c>
      <c r="N182" s="142">
        <f t="shared" si="10"/>
        <v>0</v>
      </c>
      <c r="O182" s="142">
        <f t="shared" ref="O182:Q182" si="184">H182*3600/(1*10^6)</f>
        <v>0</v>
      </c>
      <c r="P182" s="142">
        <f t="shared" si="184"/>
        <v>0</v>
      </c>
      <c r="Q182" s="142">
        <f t="shared" si="184"/>
        <v>3.234816</v>
      </c>
      <c r="R182" s="142">
        <f t="shared" si="12"/>
        <v>0</v>
      </c>
      <c r="T182">
        <f>Pumps!$F$18*D182/Pumps!$I$4/3600</f>
        <v>0</v>
      </c>
      <c r="U182">
        <f>IF('Design Specifications'!$C$30="y",Disinfection!G180*Disinfection!$N$3*(1*10^6)/3600,0)</f>
        <v>0</v>
      </c>
      <c r="V182">
        <f t="shared" si="13"/>
        <v>864</v>
      </c>
      <c r="W182">
        <f t="shared" si="18"/>
        <v>3.1104</v>
      </c>
      <c r="X182">
        <f t="shared" si="14"/>
        <v>3.1104</v>
      </c>
      <c r="Y182">
        <f t="shared" si="15"/>
        <v>0.4536</v>
      </c>
    </row>
    <row r="183">
      <c r="A183" s="78" t="s">
        <v>471</v>
      </c>
      <c r="B183" s="78">
        <v>1.6</v>
      </c>
      <c r="C183" s="78">
        <f t="shared" si="3"/>
        <v>192</v>
      </c>
      <c r="D183">
        <f t="shared" si="4"/>
        <v>0.192</v>
      </c>
      <c r="E183">
        <v>15.0</v>
      </c>
      <c r="F183">
        <f t="shared" si="5"/>
        <v>0</v>
      </c>
      <c r="G183">
        <f t="shared" si="6"/>
        <v>0</v>
      </c>
      <c r="H183">
        <f>C183*Pumps!$F$18/3600</f>
        <v>8181.783425</v>
      </c>
      <c r="I183">
        <f t="shared" si="7"/>
        <v>11688.26204</v>
      </c>
      <c r="J183">
        <f t="shared" si="8"/>
        <v>14026.81592</v>
      </c>
      <c r="K183">
        <f t="shared" si="22"/>
        <v>0</v>
      </c>
      <c r="M183" s="142">
        <f t="shared" si="9"/>
        <v>0</v>
      </c>
      <c r="N183" s="142">
        <f t="shared" si="10"/>
        <v>0</v>
      </c>
      <c r="O183" s="142">
        <f t="shared" ref="O183:Q183" si="185">H183*3600/(1*10^6)</f>
        <v>29.45442033</v>
      </c>
      <c r="P183" s="142">
        <f t="shared" si="185"/>
        <v>42.07774333</v>
      </c>
      <c r="Q183" s="142">
        <f t="shared" si="185"/>
        <v>50.49653731</v>
      </c>
      <c r="R183" s="142">
        <f t="shared" si="12"/>
        <v>0</v>
      </c>
      <c r="T183">
        <f>Pumps!$F$18*D183/Pumps!$I$4/3600</f>
        <v>11.68826204</v>
      </c>
      <c r="U183">
        <f>IF('Design Specifications'!$C$30="y",Disinfection!G181*Disinfection!$N$3*(1*10^6)/3600,0)</f>
        <v>0</v>
      </c>
      <c r="V183">
        <f t="shared" si="13"/>
        <v>864</v>
      </c>
      <c r="W183">
        <f t="shared" si="18"/>
        <v>3.152477743</v>
      </c>
      <c r="X183">
        <f t="shared" si="14"/>
        <v>3.1104</v>
      </c>
      <c r="Y183">
        <f t="shared" si="15"/>
        <v>0.4566055531</v>
      </c>
    </row>
    <row r="184">
      <c r="A184" s="78" t="s">
        <v>473</v>
      </c>
      <c r="B184" s="78">
        <v>20.8</v>
      </c>
      <c r="C184" s="78">
        <f t="shared" si="3"/>
        <v>2496</v>
      </c>
      <c r="D184">
        <f t="shared" si="4"/>
        <v>2.496</v>
      </c>
      <c r="E184">
        <v>15.0</v>
      </c>
      <c r="F184">
        <f t="shared" si="5"/>
        <v>0</v>
      </c>
      <c r="G184">
        <f t="shared" si="6"/>
        <v>0</v>
      </c>
      <c r="H184">
        <f>C184*Pumps!$F$18/3600</f>
        <v>106363.1845</v>
      </c>
      <c r="I184">
        <f t="shared" si="7"/>
        <v>151947.4065</v>
      </c>
      <c r="J184">
        <f t="shared" si="8"/>
        <v>171565.8869</v>
      </c>
      <c r="K184">
        <f t="shared" si="22"/>
        <v>0</v>
      </c>
      <c r="M184" s="142">
        <f t="shared" si="9"/>
        <v>0</v>
      </c>
      <c r="N184" s="142">
        <f t="shared" si="10"/>
        <v>0</v>
      </c>
      <c r="O184" s="142">
        <f t="shared" ref="O184:Q184" si="186">H184*3600/(1*10^6)</f>
        <v>382.9074643</v>
      </c>
      <c r="P184" s="142">
        <f t="shared" si="186"/>
        <v>547.0106633</v>
      </c>
      <c r="Q184" s="142">
        <f t="shared" si="186"/>
        <v>617.637193</v>
      </c>
      <c r="R184" s="142">
        <f t="shared" si="12"/>
        <v>0</v>
      </c>
      <c r="T184">
        <f>Pumps!$F$18*D184/Pumps!$I$4/3600</f>
        <v>151.9474065</v>
      </c>
      <c r="U184">
        <f>IF('Design Specifications'!$C$30="y",Disinfection!G182*Disinfection!$N$3*(1*10^6)/3600,0)</f>
        <v>0</v>
      </c>
      <c r="V184">
        <f t="shared" si="13"/>
        <v>864</v>
      </c>
      <c r="W184">
        <f t="shared" si="18"/>
        <v>3.657410663</v>
      </c>
      <c r="X184">
        <f t="shared" si="14"/>
        <v>3.1104</v>
      </c>
      <c r="Y184">
        <f t="shared" si="15"/>
        <v>0.4926721902</v>
      </c>
    </row>
    <row r="185">
      <c r="A185" s="78" t="s">
        <v>475</v>
      </c>
      <c r="B185" s="78">
        <v>3.2</v>
      </c>
      <c r="C185" s="78">
        <f t="shared" si="3"/>
        <v>384</v>
      </c>
      <c r="D185">
        <f t="shared" si="4"/>
        <v>0.384</v>
      </c>
      <c r="E185">
        <v>15.0</v>
      </c>
      <c r="F185">
        <f t="shared" si="5"/>
        <v>0</v>
      </c>
      <c r="G185">
        <f t="shared" si="6"/>
        <v>0</v>
      </c>
      <c r="H185">
        <f>C185*Pumps!$F$18/3600</f>
        <v>16363.56685</v>
      </c>
      <c r="I185">
        <f t="shared" si="7"/>
        <v>23376.52407</v>
      </c>
      <c r="J185">
        <f t="shared" si="8"/>
        <v>27155.07184</v>
      </c>
      <c r="K185">
        <f t="shared" si="22"/>
        <v>0</v>
      </c>
      <c r="M185" s="142">
        <f t="shared" si="9"/>
        <v>0</v>
      </c>
      <c r="N185" s="142">
        <f t="shared" si="10"/>
        <v>0</v>
      </c>
      <c r="O185" s="142">
        <f t="shared" ref="O185:Q185" si="187">H185*3600/(1*10^6)</f>
        <v>58.90884066</v>
      </c>
      <c r="P185" s="142">
        <f t="shared" si="187"/>
        <v>84.15548666</v>
      </c>
      <c r="Q185" s="142">
        <f t="shared" si="187"/>
        <v>97.75825861</v>
      </c>
      <c r="R185" s="142">
        <f t="shared" si="12"/>
        <v>0</v>
      </c>
      <c r="T185">
        <f>Pumps!$F$18*D185/Pumps!$I$4/3600</f>
        <v>23.37652407</v>
      </c>
      <c r="U185">
        <f>IF('Design Specifications'!$C$30="y",Disinfection!G183*Disinfection!$N$3*(1*10^6)/3600,0)</f>
        <v>0</v>
      </c>
      <c r="V185">
        <f t="shared" si="13"/>
        <v>864</v>
      </c>
      <c r="W185">
        <f t="shared" si="18"/>
        <v>3.194555487</v>
      </c>
      <c r="X185">
        <f t="shared" si="14"/>
        <v>3.1104</v>
      </c>
      <c r="Y185">
        <f t="shared" si="15"/>
        <v>0.4596111062</v>
      </c>
    </row>
    <row r="186">
      <c r="A186" s="78" t="s">
        <v>477</v>
      </c>
      <c r="B186" s="78">
        <v>1.2</v>
      </c>
      <c r="C186" s="78">
        <f t="shared" si="3"/>
        <v>144</v>
      </c>
      <c r="D186">
        <f t="shared" si="4"/>
        <v>0.144</v>
      </c>
      <c r="E186">
        <v>15.0</v>
      </c>
      <c r="F186">
        <f t="shared" si="5"/>
        <v>0</v>
      </c>
      <c r="G186">
        <f t="shared" si="6"/>
        <v>0</v>
      </c>
      <c r="H186">
        <f>C186*Pumps!$F$18/3600</f>
        <v>6136.337569</v>
      </c>
      <c r="I186">
        <f t="shared" si="7"/>
        <v>8766.196527</v>
      </c>
      <c r="J186">
        <f t="shared" si="8"/>
        <v>10744.75194</v>
      </c>
      <c r="K186">
        <f t="shared" si="22"/>
        <v>0</v>
      </c>
      <c r="M186" s="142">
        <f t="shared" si="9"/>
        <v>0</v>
      </c>
      <c r="N186" s="142">
        <f t="shared" si="10"/>
        <v>0</v>
      </c>
      <c r="O186" s="142">
        <f t="shared" ref="O186:Q186" si="188">H186*3600/(1*10^6)</f>
        <v>22.09081525</v>
      </c>
      <c r="P186" s="142">
        <f t="shared" si="188"/>
        <v>31.5583075</v>
      </c>
      <c r="Q186" s="142">
        <f t="shared" si="188"/>
        <v>38.68110698</v>
      </c>
      <c r="R186" s="142">
        <f t="shared" si="12"/>
        <v>0</v>
      </c>
      <c r="T186">
        <f>Pumps!$F$18*D186/Pumps!$I$4/3600</f>
        <v>8.766196527</v>
      </c>
      <c r="U186">
        <f>IF('Design Specifications'!$C$30="y",Disinfection!G184*Disinfection!$N$3*(1*10^6)/3600,0)</f>
        <v>0</v>
      </c>
      <c r="V186">
        <f t="shared" si="13"/>
        <v>864</v>
      </c>
      <c r="W186">
        <f t="shared" si="18"/>
        <v>3.141958307</v>
      </c>
      <c r="X186">
        <f t="shared" si="14"/>
        <v>3.1104</v>
      </c>
      <c r="Y186">
        <f t="shared" si="15"/>
        <v>0.4558541648</v>
      </c>
    </row>
    <row r="187">
      <c r="A187" s="78" t="s">
        <v>479</v>
      </c>
      <c r="B187" s="78">
        <v>0.0</v>
      </c>
      <c r="C187" s="78">
        <f t="shared" si="3"/>
        <v>0</v>
      </c>
      <c r="D187">
        <f t="shared" si="4"/>
        <v>0</v>
      </c>
      <c r="E187">
        <v>15.0</v>
      </c>
      <c r="F187">
        <f t="shared" si="5"/>
        <v>0</v>
      </c>
      <c r="G187">
        <f t="shared" si="6"/>
        <v>0</v>
      </c>
      <c r="H187">
        <f>C187*Pumps!$F$18/3600</f>
        <v>0</v>
      </c>
      <c r="I187">
        <f t="shared" si="7"/>
        <v>0</v>
      </c>
      <c r="J187">
        <f t="shared" si="8"/>
        <v>898.56</v>
      </c>
      <c r="K187">
        <f t="shared" si="22"/>
        <v>0</v>
      </c>
      <c r="M187" s="142">
        <f t="shared" si="9"/>
        <v>0</v>
      </c>
      <c r="N187" s="142">
        <f t="shared" si="10"/>
        <v>0</v>
      </c>
      <c r="O187" s="142">
        <f t="shared" ref="O187:Q187" si="189">H187*3600/(1*10^6)</f>
        <v>0</v>
      </c>
      <c r="P187" s="142">
        <f t="shared" si="189"/>
        <v>0</v>
      </c>
      <c r="Q187" s="142">
        <f t="shared" si="189"/>
        <v>3.234816</v>
      </c>
      <c r="R187" s="142">
        <f t="shared" si="12"/>
        <v>0</v>
      </c>
      <c r="T187">
        <f>Pumps!$F$18*D187/Pumps!$I$4/3600</f>
        <v>0</v>
      </c>
      <c r="U187">
        <f>IF('Design Specifications'!$C$30="y",Disinfection!G185*Disinfection!$N$3*(1*10^6)/3600,0)</f>
        <v>0</v>
      </c>
      <c r="V187">
        <f t="shared" si="13"/>
        <v>864</v>
      </c>
      <c r="W187">
        <f t="shared" si="18"/>
        <v>3.1104</v>
      </c>
      <c r="X187">
        <f t="shared" si="14"/>
        <v>3.1104</v>
      </c>
      <c r="Y187">
        <f t="shared" si="15"/>
        <v>0.4536</v>
      </c>
    </row>
    <row r="188">
      <c r="A188" s="78" t="s">
        <v>481</v>
      </c>
      <c r="B188" s="78">
        <v>15.4</v>
      </c>
      <c r="C188" s="78">
        <f t="shared" si="3"/>
        <v>1848</v>
      </c>
      <c r="D188">
        <f t="shared" si="4"/>
        <v>1.848</v>
      </c>
      <c r="E188">
        <v>15.0</v>
      </c>
      <c r="F188">
        <f t="shared" si="5"/>
        <v>0</v>
      </c>
      <c r="G188">
        <f t="shared" si="6"/>
        <v>0</v>
      </c>
      <c r="H188">
        <f>C188*Pumps!$F$18/3600</f>
        <v>78749.66546</v>
      </c>
      <c r="I188">
        <f t="shared" si="7"/>
        <v>112499.5221</v>
      </c>
      <c r="J188">
        <f t="shared" si="8"/>
        <v>127258.0232</v>
      </c>
      <c r="K188">
        <f t="shared" si="22"/>
        <v>0</v>
      </c>
      <c r="M188" s="142">
        <f t="shared" si="9"/>
        <v>0</v>
      </c>
      <c r="N188" s="142">
        <f t="shared" si="10"/>
        <v>0</v>
      </c>
      <c r="O188" s="142">
        <f t="shared" ref="O188:Q188" si="190">H188*3600/(1*10^6)</f>
        <v>283.4987957</v>
      </c>
      <c r="P188" s="142">
        <f t="shared" si="190"/>
        <v>404.9982795</v>
      </c>
      <c r="Q188" s="142">
        <f t="shared" si="190"/>
        <v>458.1288836</v>
      </c>
      <c r="R188" s="142">
        <f t="shared" si="12"/>
        <v>0</v>
      </c>
      <c r="T188">
        <f>Pumps!$F$18*D188/Pumps!$I$4/3600</f>
        <v>112.4995221</v>
      </c>
      <c r="U188">
        <f>IF('Design Specifications'!$C$30="y",Disinfection!G186*Disinfection!$N$3*(1*10^6)/3600,0)</f>
        <v>0</v>
      </c>
      <c r="V188">
        <f t="shared" si="13"/>
        <v>864</v>
      </c>
      <c r="W188">
        <f t="shared" si="18"/>
        <v>3.51539828</v>
      </c>
      <c r="X188">
        <f t="shared" si="14"/>
        <v>3.1104</v>
      </c>
      <c r="Y188">
        <f t="shared" si="15"/>
        <v>0.4825284485</v>
      </c>
    </row>
    <row r="189">
      <c r="A189" s="78" t="s">
        <v>483</v>
      </c>
      <c r="B189" s="78">
        <v>1.2</v>
      </c>
      <c r="C189" s="78">
        <f t="shared" si="3"/>
        <v>144</v>
      </c>
      <c r="D189">
        <f t="shared" si="4"/>
        <v>0.144</v>
      </c>
      <c r="E189">
        <v>15.0</v>
      </c>
      <c r="F189">
        <f t="shared" si="5"/>
        <v>0</v>
      </c>
      <c r="G189">
        <f t="shared" si="6"/>
        <v>0</v>
      </c>
      <c r="H189">
        <f>C189*Pumps!$F$18/3600</f>
        <v>6136.337569</v>
      </c>
      <c r="I189">
        <f t="shared" si="7"/>
        <v>8766.196527</v>
      </c>
      <c r="J189">
        <f t="shared" si="8"/>
        <v>10744.75194</v>
      </c>
      <c r="K189">
        <f t="shared" si="22"/>
        <v>0</v>
      </c>
      <c r="M189" s="142">
        <f t="shared" si="9"/>
        <v>0</v>
      </c>
      <c r="N189" s="142">
        <f t="shared" si="10"/>
        <v>0</v>
      </c>
      <c r="O189" s="142">
        <f t="shared" ref="O189:Q189" si="191">H189*3600/(1*10^6)</f>
        <v>22.09081525</v>
      </c>
      <c r="P189" s="142">
        <f t="shared" si="191"/>
        <v>31.5583075</v>
      </c>
      <c r="Q189" s="142">
        <f t="shared" si="191"/>
        <v>38.68110698</v>
      </c>
      <c r="R189" s="142">
        <f t="shared" si="12"/>
        <v>0</v>
      </c>
      <c r="T189">
        <f>Pumps!$F$18*D189/Pumps!$I$4/3600</f>
        <v>8.766196527</v>
      </c>
      <c r="U189">
        <f>IF('Design Specifications'!$C$30="y",Disinfection!G187*Disinfection!$N$3*(1*10^6)/3600,0)</f>
        <v>0</v>
      </c>
      <c r="V189">
        <f t="shared" si="13"/>
        <v>864</v>
      </c>
      <c r="W189">
        <f t="shared" si="18"/>
        <v>3.141958307</v>
      </c>
      <c r="X189">
        <f t="shared" si="14"/>
        <v>3.1104</v>
      </c>
      <c r="Y189">
        <f t="shared" si="15"/>
        <v>0.4558541648</v>
      </c>
    </row>
    <row r="190">
      <c r="A190" s="78" t="s">
        <v>485</v>
      </c>
      <c r="B190" s="78">
        <v>0.0</v>
      </c>
      <c r="C190" s="78">
        <f t="shared" si="3"/>
        <v>0</v>
      </c>
      <c r="D190">
        <f t="shared" si="4"/>
        <v>0</v>
      </c>
      <c r="E190">
        <v>15.0</v>
      </c>
      <c r="F190">
        <f t="shared" si="5"/>
        <v>0</v>
      </c>
      <c r="G190">
        <f t="shared" si="6"/>
        <v>0</v>
      </c>
      <c r="H190">
        <f>C190*Pumps!$F$18/3600</f>
        <v>0</v>
      </c>
      <c r="I190">
        <f t="shared" si="7"/>
        <v>0</v>
      </c>
      <c r="J190">
        <f t="shared" si="8"/>
        <v>898.56</v>
      </c>
      <c r="K190">
        <f t="shared" si="22"/>
        <v>0</v>
      </c>
      <c r="M190" s="142">
        <f t="shared" si="9"/>
        <v>0</v>
      </c>
      <c r="N190" s="142">
        <f t="shared" si="10"/>
        <v>0</v>
      </c>
      <c r="O190" s="142">
        <f t="shared" ref="O190:Q190" si="192">H190*3600/(1*10^6)</f>
        <v>0</v>
      </c>
      <c r="P190" s="142">
        <f t="shared" si="192"/>
        <v>0</v>
      </c>
      <c r="Q190" s="142">
        <f t="shared" si="192"/>
        <v>3.234816</v>
      </c>
      <c r="R190" s="142">
        <f t="shared" si="12"/>
        <v>0</v>
      </c>
      <c r="T190">
        <f>Pumps!$F$18*D190/Pumps!$I$4/3600</f>
        <v>0</v>
      </c>
      <c r="U190">
        <f>IF('Design Specifications'!$C$30="y",Disinfection!G188*Disinfection!$N$3*(1*10^6)/3600,0)</f>
        <v>0</v>
      </c>
      <c r="V190">
        <f t="shared" si="13"/>
        <v>864</v>
      </c>
      <c r="W190">
        <f t="shared" si="18"/>
        <v>3.1104</v>
      </c>
      <c r="X190">
        <f t="shared" si="14"/>
        <v>3.1104</v>
      </c>
      <c r="Y190">
        <f t="shared" si="15"/>
        <v>0.4536</v>
      </c>
    </row>
    <row r="191">
      <c r="A191" s="78" t="s">
        <v>487</v>
      </c>
      <c r="B191" s="78">
        <v>5.8</v>
      </c>
      <c r="C191" s="78">
        <f t="shared" si="3"/>
        <v>696</v>
      </c>
      <c r="D191">
        <f t="shared" si="4"/>
        <v>0.696</v>
      </c>
      <c r="E191">
        <v>15.0</v>
      </c>
      <c r="F191">
        <f t="shared" si="5"/>
        <v>0</v>
      </c>
      <c r="G191">
        <f t="shared" si="6"/>
        <v>0</v>
      </c>
      <c r="H191">
        <f>C191*Pumps!$F$18/3600</f>
        <v>29658.96492</v>
      </c>
      <c r="I191">
        <f t="shared" si="7"/>
        <v>42369.94988</v>
      </c>
      <c r="J191">
        <f t="shared" si="8"/>
        <v>48488.4877</v>
      </c>
      <c r="K191">
        <f t="shared" si="22"/>
        <v>0</v>
      </c>
      <c r="M191" s="142">
        <f t="shared" si="9"/>
        <v>0</v>
      </c>
      <c r="N191" s="142">
        <f t="shared" si="10"/>
        <v>0</v>
      </c>
      <c r="O191" s="142">
        <f t="shared" ref="O191:Q191" si="193">H191*3600/(1*10^6)</f>
        <v>106.7722737</v>
      </c>
      <c r="P191" s="142">
        <f t="shared" si="193"/>
        <v>152.5318196</v>
      </c>
      <c r="Q191" s="142">
        <f t="shared" si="193"/>
        <v>174.5585557</v>
      </c>
      <c r="R191" s="142">
        <f t="shared" si="12"/>
        <v>0</v>
      </c>
      <c r="T191">
        <f>Pumps!$F$18*D191/Pumps!$I$4/3600</f>
        <v>42.36994988</v>
      </c>
      <c r="U191">
        <f>IF('Design Specifications'!$C$30="y",Disinfection!G189*Disinfection!$N$3*(1*10^6)/3600,0)</f>
        <v>0</v>
      </c>
      <c r="V191">
        <f t="shared" si="13"/>
        <v>864</v>
      </c>
      <c r="W191">
        <f t="shared" si="18"/>
        <v>3.26293182</v>
      </c>
      <c r="X191">
        <f t="shared" si="14"/>
        <v>3.1104</v>
      </c>
      <c r="Y191">
        <f t="shared" si="15"/>
        <v>0.46449513</v>
      </c>
    </row>
    <row r="192">
      <c r="A192" s="78" t="s">
        <v>489</v>
      </c>
      <c r="B192" s="78">
        <v>20.4</v>
      </c>
      <c r="C192" s="78">
        <f t="shared" si="3"/>
        <v>2448</v>
      </c>
      <c r="D192">
        <f t="shared" si="4"/>
        <v>2.448</v>
      </c>
      <c r="E192">
        <v>15.0</v>
      </c>
      <c r="F192">
        <f t="shared" si="5"/>
        <v>0</v>
      </c>
      <c r="G192">
        <f t="shared" si="6"/>
        <v>0</v>
      </c>
      <c r="H192">
        <f>C192*Pumps!$F$18/3600</f>
        <v>104317.7387</v>
      </c>
      <c r="I192">
        <f t="shared" si="7"/>
        <v>149025.341</v>
      </c>
      <c r="J192">
        <f t="shared" si="8"/>
        <v>168283.823</v>
      </c>
      <c r="K192">
        <f t="shared" si="22"/>
        <v>0</v>
      </c>
      <c r="M192" s="142">
        <f t="shared" si="9"/>
        <v>0</v>
      </c>
      <c r="N192" s="142">
        <f t="shared" si="10"/>
        <v>0</v>
      </c>
      <c r="O192" s="142">
        <f t="shared" ref="O192:Q192" si="194">H192*3600/(1*10^6)</f>
        <v>375.5438592</v>
      </c>
      <c r="P192" s="142">
        <f t="shared" si="194"/>
        <v>536.4912274</v>
      </c>
      <c r="Q192" s="142">
        <f t="shared" si="194"/>
        <v>605.8217627</v>
      </c>
      <c r="R192" s="142">
        <f t="shared" si="12"/>
        <v>0</v>
      </c>
      <c r="T192">
        <f>Pumps!$F$18*D192/Pumps!$I$4/3600</f>
        <v>149.025341</v>
      </c>
      <c r="U192">
        <f>IF('Design Specifications'!$C$30="y",Disinfection!G190*Disinfection!$N$3*(1*10^6)/3600,0)</f>
        <v>0</v>
      </c>
      <c r="V192">
        <f t="shared" si="13"/>
        <v>864</v>
      </c>
      <c r="W192">
        <f t="shared" si="18"/>
        <v>3.646891227</v>
      </c>
      <c r="X192">
        <f t="shared" si="14"/>
        <v>3.1104</v>
      </c>
      <c r="Y192">
        <f t="shared" si="15"/>
        <v>0.491920802</v>
      </c>
    </row>
    <row r="193">
      <c r="A193" s="78" t="s">
        <v>491</v>
      </c>
      <c r="B193" s="78">
        <v>20.4</v>
      </c>
      <c r="C193" s="78">
        <f t="shared" si="3"/>
        <v>2448</v>
      </c>
      <c r="D193">
        <f t="shared" si="4"/>
        <v>2.448</v>
      </c>
      <c r="E193">
        <v>15.0</v>
      </c>
      <c r="F193">
        <f t="shared" si="5"/>
        <v>0</v>
      </c>
      <c r="G193">
        <f t="shared" si="6"/>
        <v>0</v>
      </c>
      <c r="H193">
        <f>C193*Pumps!$F$18/3600</f>
        <v>104317.7387</v>
      </c>
      <c r="I193">
        <f t="shared" si="7"/>
        <v>149025.341</v>
      </c>
      <c r="J193">
        <f t="shared" si="8"/>
        <v>168283.823</v>
      </c>
      <c r="K193">
        <f t="shared" si="22"/>
        <v>0</v>
      </c>
      <c r="M193" s="142">
        <f t="shared" si="9"/>
        <v>0</v>
      </c>
      <c r="N193" s="142">
        <f t="shared" si="10"/>
        <v>0</v>
      </c>
      <c r="O193" s="142">
        <f t="shared" ref="O193:Q193" si="195">H193*3600/(1*10^6)</f>
        <v>375.5438592</v>
      </c>
      <c r="P193" s="142">
        <f t="shared" si="195"/>
        <v>536.4912274</v>
      </c>
      <c r="Q193" s="142">
        <f t="shared" si="195"/>
        <v>605.8217627</v>
      </c>
      <c r="R193" s="142">
        <f t="shared" si="12"/>
        <v>0</v>
      </c>
      <c r="T193">
        <f>Pumps!$F$18*D193/Pumps!$I$4/3600</f>
        <v>149.025341</v>
      </c>
      <c r="U193">
        <f>IF('Design Specifications'!$C$30="y",Disinfection!G191*Disinfection!$N$3*(1*10^6)/3600,0)</f>
        <v>0</v>
      </c>
      <c r="V193">
        <f t="shared" si="13"/>
        <v>864</v>
      </c>
      <c r="W193">
        <f t="shared" si="18"/>
        <v>3.646891227</v>
      </c>
      <c r="X193">
        <f t="shared" si="14"/>
        <v>3.1104</v>
      </c>
      <c r="Y193">
        <f t="shared" si="15"/>
        <v>0.491920802</v>
      </c>
    </row>
    <row r="194">
      <c r="A194" s="78" t="s">
        <v>493</v>
      </c>
      <c r="B194" s="78">
        <v>0.6</v>
      </c>
      <c r="C194" s="78">
        <f t="shared" si="3"/>
        <v>72</v>
      </c>
      <c r="D194">
        <f t="shared" si="4"/>
        <v>0.072</v>
      </c>
      <c r="E194">
        <v>15.0</v>
      </c>
      <c r="F194">
        <f t="shared" si="5"/>
        <v>0</v>
      </c>
      <c r="G194">
        <f t="shared" si="6"/>
        <v>0</v>
      </c>
      <c r="H194">
        <f>C194*Pumps!$F$18/3600</f>
        <v>3068.168784</v>
      </c>
      <c r="I194">
        <f t="shared" si="7"/>
        <v>4383.098263</v>
      </c>
      <c r="J194">
        <f t="shared" si="8"/>
        <v>5821.655969</v>
      </c>
      <c r="K194">
        <f t="shared" si="22"/>
        <v>0</v>
      </c>
      <c r="M194" s="142">
        <f t="shared" si="9"/>
        <v>0</v>
      </c>
      <c r="N194" s="142">
        <f t="shared" si="10"/>
        <v>0</v>
      </c>
      <c r="O194" s="142">
        <f t="shared" ref="O194:Q194" si="196">H194*3600/(1*10^6)</f>
        <v>11.04540762</v>
      </c>
      <c r="P194" s="142">
        <f t="shared" si="196"/>
        <v>15.77915375</v>
      </c>
      <c r="Q194" s="142">
        <f t="shared" si="196"/>
        <v>20.95796149</v>
      </c>
      <c r="R194" s="142">
        <f t="shared" si="12"/>
        <v>0</v>
      </c>
      <c r="T194">
        <f>Pumps!$F$18*D194/Pumps!$I$4/3600</f>
        <v>4.383098263</v>
      </c>
      <c r="U194">
        <f>IF('Design Specifications'!$C$30="y",Disinfection!G192*Disinfection!$N$3*(1*10^6)/3600,0)</f>
        <v>0</v>
      </c>
      <c r="V194">
        <f t="shared" si="13"/>
        <v>864</v>
      </c>
      <c r="W194">
        <f t="shared" si="18"/>
        <v>3.126179154</v>
      </c>
      <c r="X194">
        <f t="shared" si="14"/>
        <v>3.1104</v>
      </c>
      <c r="Y194">
        <f t="shared" si="15"/>
        <v>0.4547270824</v>
      </c>
    </row>
    <row r="195">
      <c r="A195" s="78" t="s">
        <v>495</v>
      </c>
      <c r="B195" s="78">
        <v>0.0</v>
      </c>
      <c r="C195" s="78">
        <f t="shared" si="3"/>
        <v>0</v>
      </c>
      <c r="D195">
        <f t="shared" si="4"/>
        <v>0</v>
      </c>
      <c r="E195">
        <v>15.0</v>
      </c>
      <c r="F195">
        <f t="shared" si="5"/>
        <v>0</v>
      </c>
      <c r="G195">
        <f t="shared" si="6"/>
        <v>0</v>
      </c>
      <c r="H195">
        <f>C195*Pumps!$F$18/3600</f>
        <v>0</v>
      </c>
      <c r="I195">
        <f t="shared" si="7"/>
        <v>0</v>
      </c>
      <c r="J195">
        <f t="shared" si="8"/>
        <v>898.56</v>
      </c>
      <c r="K195">
        <f t="shared" si="22"/>
        <v>0</v>
      </c>
      <c r="M195" s="142">
        <f t="shared" si="9"/>
        <v>0</v>
      </c>
      <c r="N195" s="142">
        <f t="shared" si="10"/>
        <v>0</v>
      </c>
      <c r="O195" s="142">
        <f t="shared" ref="O195:Q195" si="197">H195*3600/(1*10^6)</f>
        <v>0</v>
      </c>
      <c r="P195" s="142">
        <f t="shared" si="197"/>
        <v>0</v>
      </c>
      <c r="Q195" s="142">
        <f t="shared" si="197"/>
        <v>3.234816</v>
      </c>
      <c r="R195" s="142">
        <f t="shared" si="12"/>
        <v>0</v>
      </c>
      <c r="T195">
        <f>Pumps!$F$18*D195/Pumps!$I$4/3600</f>
        <v>0</v>
      </c>
      <c r="U195">
        <f>IF('Design Specifications'!$C$30="y",Disinfection!G193*Disinfection!$N$3*(1*10^6)/3600,0)</f>
        <v>0</v>
      </c>
      <c r="V195">
        <f t="shared" si="13"/>
        <v>864</v>
      </c>
      <c r="W195">
        <f t="shared" si="18"/>
        <v>3.1104</v>
      </c>
      <c r="X195">
        <f t="shared" si="14"/>
        <v>3.1104</v>
      </c>
      <c r="Y195">
        <f t="shared" si="15"/>
        <v>0.4536</v>
      </c>
    </row>
    <row r="196">
      <c r="A196" s="78" t="s">
        <v>497</v>
      </c>
      <c r="B196" s="78">
        <v>0.0</v>
      </c>
      <c r="C196" s="78">
        <f t="shared" si="3"/>
        <v>0</v>
      </c>
      <c r="D196">
        <f t="shared" si="4"/>
        <v>0</v>
      </c>
      <c r="E196">
        <v>15.0</v>
      </c>
      <c r="F196">
        <f t="shared" si="5"/>
        <v>0</v>
      </c>
      <c r="G196">
        <f t="shared" si="6"/>
        <v>0</v>
      </c>
      <c r="H196">
        <f>C196*Pumps!$F$18/3600</f>
        <v>0</v>
      </c>
      <c r="I196">
        <f t="shared" si="7"/>
        <v>0</v>
      </c>
      <c r="J196">
        <f t="shared" si="8"/>
        <v>898.56</v>
      </c>
      <c r="K196">
        <f t="shared" si="22"/>
        <v>0</v>
      </c>
      <c r="M196" s="142">
        <f t="shared" si="9"/>
        <v>0</v>
      </c>
      <c r="N196" s="142">
        <f t="shared" si="10"/>
        <v>0</v>
      </c>
      <c r="O196" s="142">
        <f t="shared" ref="O196:Q196" si="198">H196*3600/(1*10^6)</f>
        <v>0</v>
      </c>
      <c r="P196" s="142">
        <f t="shared" si="198"/>
        <v>0</v>
      </c>
      <c r="Q196" s="142">
        <f t="shared" si="198"/>
        <v>3.234816</v>
      </c>
      <c r="R196" s="142">
        <f t="shared" si="12"/>
        <v>0</v>
      </c>
      <c r="T196">
        <f>Pumps!$F$18*D196/Pumps!$I$4/3600</f>
        <v>0</v>
      </c>
      <c r="U196">
        <f>IF('Design Specifications'!$C$30="y",Disinfection!G194*Disinfection!$N$3*(1*10^6)/3600,0)</f>
        <v>0</v>
      </c>
      <c r="V196">
        <f t="shared" si="13"/>
        <v>864</v>
      </c>
      <c r="W196">
        <f t="shared" si="18"/>
        <v>3.1104</v>
      </c>
      <c r="X196">
        <f t="shared" si="14"/>
        <v>3.1104</v>
      </c>
      <c r="Y196">
        <f t="shared" si="15"/>
        <v>0.4536</v>
      </c>
    </row>
    <row r="197">
      <c r="A197" s="78" t="s">
        <v>499</v>
      </c>
      <c r="B197" s="78">
        <v>1.8</v>
      </c>
      <c r="C197" s="78">
        <f t="shared" si="3"/>
        <v>216</v>
      </c>
      <c r="D197">
        <f t="shared" si="4"/>
        <v>0.216</v>
      </c>
      <c r="E197">
        <v>15.0</v>
      </c>
      <c r="F197">
        <f t="shared" si="5"/>
        <v>0</v>
      </c>
      <c r="G197">
        <f t="shared" si="6"/>
        <v>0</v>
      </c>
      <c r="H197">
        <f>C197*Pumps!$F$18/3600</f>
        <v>9204.506353</v>
      </c>
      <c r="I197">
        <f t="shared" si="7"/>
        <v>13149.29479</v>
      </c>
      <c r="J197">
        <f t="shared" si="8"/>
        <v>15667.84791</v>
      </c>
      <c r="K197">
        <f t="shared" si="22"/>
        <v>0</v>
      </c>
      <c r="M197" s="142">
        <f t="shared" si="9"/>
        <v>0</v>
      </c>
      <c r="N197" s="142">
        <f t="shared" si="10"/>
        <v>0</v>
      </c>
      <c r="O197" s="142">
        <f t="shared" ref="O197:Q197" si="199">H197*3600/(1*10^6)</f>
        <v>33.13622287</v>
      </c>
      <c r="P197" s="142">
        <f t="shared" si="199"/>
        <v>47.33746124</v>
      </c>
      <c r="Q197" s="142">
        <f t="shared" si="199"/>
        <v>56.40425247</v>
      </c>
      <c r="R197" s="142">
        <f t="shared" si="12"/>
        <v>0</v>
      </c>
      <c r="T197">
        <f>Pumps!$F$18*D197/Pumps!$I$4/3600</f>
        <v>13.14929479</v>
      </c>
      <c r="U197">
        <f>IF('Design Specifications'!$C$30="y",Disinfection!G195*Disinfection!$N$3*(1*10^6)/3600,0)</f>
        <v>0</v>
      </c>
      <c r="V197">
        <f t="shared" si="13"/>
        <v>864</v>
      </c>
      <c r="W197">
        <f t="shared" si="18"/>
        <v>3.157737461</v>
      </c>
      <c r="X197">
        <f t="shared" si="14"/>
        <v>3.1104</v>
      </c>
      <c r="Y197">
        <f t="shared" si="15"/>
        <v>0.4569812472</v>
      </c>
    </row>
    <row r="198">
      <c r="A198" s="78" t="s">
        <v>501</v>
      </c>
      <c r="B198" s="78">
        <v>6.2</v>
      </c>
      <c r="C198" s="78">
        <f t="shared" si="3"/>
        <v>744</v>
      </c>
      <c r="D198">
        <f t="shared" si="4"/>
        <v>0.744</v>
      </c>
      <c r="E198">
        <v>15.0</v>
      </c>
      <c r="F198">
        <f t="shared" si="5"/>
        <v>0</v>
      </c>
      <c r="G198">
        <f t="shared" si="6"/>
        <v>0</v>
      </c>
      <c r="H198">
        <f>C198*Pumps!$F$18/3600</f>
        <v>31704.41077</v>
      </c>
      <c r="I198">
        <f t="shared" si="7"/>
        <v>45292.01539</v>
      </c>
      <c r="J198">
        <f t="shared" si="8"/>
        <v>51770.55168</v>
      </c>
      <c r="K198">
        <f t="shared" si="22"/>
        <v>0</v>
      </c>
      <c r="M198" s="142">
        <f t="shared" si="9"/>
        <v>0</v>
      </c>
      <c r="N198" s="142">
        <f t="shared" si="10"/>
        <v>0</v>
      </c>
      <c r="O198" s="142">
        <f t="shared" ref="O198:Q198" si="200">H198*3600/(1*10^6)</f>
        <v>114.1358788</v>
      </c>
      <c r="P198" s="142">
        <f t="shared" si="200"/>
        <v>163.0512554</v>
      </c>
      <c r="Q198" s="142">
        <f t="shared" si="200"/>
        <v>186.3739861</v>
      </c>
      <c r="R198" s="142">
        <f t="shared" si="12"/>
        <v>0</v>
      </c>
      <c r="T198">
        <f>Pumps!$F$18*D198/Pumps!$I$4/3600</f>
        <v>45.29201539</v>
      </c>
      <c r="U198">
        <f>IF('Design Specifications'!$C$30="y",Disinfection!G196*Disinfection!$N$3*(1*10^6)/3600,0)</f>
        <v>0</v>
      </c>
      <c r="V198">
        <f t="shared" si="13"/>
        <v>864</v>
      </c>
      <c r="W198">
        <f t="shared" si="18"/>
        <v>3.273451255</v>
      </c>
      <c r="X198">
        <f t="shared" si="14"/>
        <v>3.1104</v>
      </c>
      <c r="Y198">
        <f t="shared" si="15"/>
        <v>0.4652465182</v>
      </c>
    </row>
    <row r="199">
      <c r="A199" s="78" t="s">
        <v>503</v>
      </c>
      <c r="B199" s="78">
        <v>9.4</v>
      </c>
      <c r="C199" s="78">
        <f t="shared" si="3"/>
        <v>1128</v>
      </c>
      <c r="D199">
        <f t="shared" si="4"/>
        <v>1.128</v>
      </c>
      <c r="E199">
        <v>15.0</v>
      </c>
      <c r="F199">
        <f t="shared" si="5"/>
        <v>0</v>
      </c>
      <c r="G199">
        <f t="shared" si="6"/>
        <v>0</v>
      </c>
      <c r="H199">
        <f>C199*Pumps!$F$18/3600</f>
        <v>48067.97762</v>
      </c>
      <c r="I199">
        <f t="shared" si="7"/>
        <v>68668.53946</v>
      </c>
      <c r="J199">
        <f t="shared" si="8"/>
        <v>78027.06352</v>
      </c>
      <c r="K199">
        <f t="shared" si="22"/>
        <v>0</v>
      </c>
      <c r="M199" s="142">
        <f t="shared" si="9"/>
        <v>0</v>
      </c>
      <c r="N199" s="142">
        <f t="shared" si="10"/>
        <v>0</v>
      </c>
      <c r="O199" s="142">
        <f t="shared" ref="O199:Q199" si="201">H199*3600/(1*10^6)</f>
        <v>173.0447194</v>
      </c>
      <c r="P199" s="142">
        <f t="shared" si="201"/>
        <v>247.2067421</v>
      </c>
      <c r="Q199" s="142">
        <f t="shared" si="201"/>
        <v>280.8974287</v>
      </c>
      <c r="R199" s="142">
        <f t="shared" si="12"/>
        <v>0</v>
      </c>
      <c r="T199">
        <f>Pumps!$F$18*D199/Pumps!$I$4/3600</f>
        <v>68.66853946</v>
      </c>
      <c r="U199">
        <f>IF('Design Specifications'!$C$30="y",Disinfection!G197*Disinfection!$N$3*(1*10^6)/3600,0)</f>
        <v>0</v>
      </c>
      <c r="V199">
        <f t="shared" si="13"/>
        <v>864</v>
      </c>
      <c r="W199">
        <f t="shared" si="18"/>
        <v>3.357606742</v>
      </c>
      <c r="X199">
        <f t="shared" si="14"/>
        <v>3.1104</v>
      </c>
      <c r="Y199">
        <f t="shared" si="15"/>
        <v>0.4712576244</v>
      </c>
    </row>
    <row r="200">
      <c r="A200" s="78" t="s">
        <v>505</v>
      </c>
      <c r="B200" s="78">
        <v>26.6</v>
      </c>
      <c r="C200" s="78">
        <f t="shared" si="3"/>
        <v>3192</v>
      </c>
      <c r="D200">
        <f t="shared" si="4"/>
        <v>3.192</v>
      </c>
      <c r="E200">
        <v>15.0</v>
      </c>
      <c r="F200">
        <f t="shared" si="5"/>
        <v>0</v>
      </c>
      <c r="G200">
        <f t="shared" si="6"/>
        <v>0</v>
      </c>
      <c r="H200">
        <f>C200*Pumps!$F$18/3600</f>
        <v>136022.1494</v>
      </c>
      <c r="I200">
        <f t="shared" si="7"/>
        <v>194317.3563</v>
      </c>
      <c r="J200">
        <f t="shared" si="8"/>
        <v>219155.8146</v>
      </c>
      <c r="K200">
        <f t="shared" si="22"/>
        <v>0</v>
      </c>
      <c r="M200" s="142">
        <f t="shared" si="9"/>
        <v>0</v>
      </c>
      <c r="N200" s="142">
        <f t="shared" si="10"/>
        <v>0</v>
      </c>
      <c r="O200" s="142">
        <f t="shared" ref="O200:Q200" si="202">H200*3600/(1*10^6)</f>
        <v>489.679738</v>
      </c>
      <c r="P200" s="142">
        <f t="shared" si="202"/>
        <v>699.5424828</v>
      </c>
      <c r="Q200" s="142">
        <f t="shared" si="202"/>
        <v>788.9609327</v>
      </c>
      <c r="R200" s="142">
        <f t="shared" si="12"/>
        <v>0</v>
      </c>
      <c r="T200">
        <f>Pumps!$F$18*D200/Pumps!$I$4/3600</f>
        <v>194.3173563</v>
      </c>
      <c r="U200">
        <f>IF('Design Specifications'!$C$30="y",Disinfection!G198*Disinfection!$N$3*(1*10^6)/3600,0)</f>
        <v>0</v>
      </c>
      <c r="V200">
        <f t="shared" si="13"/>
        <v>864</v>
      </c>
      <c r="W200">
        <f t="shared" si="18"/>
        <v>3.809942483</v>
      </c>
      <c r="X200">
        <f t="shared" si="14"/>
        <v>3.1104</v>
      </c>
      <c r="Y200">
        <f t="shared" si="15"/>
        <v>0.5035673202</v>
      </c>
    </row>
    <row r="201">
      <c r="A201" s="78" t="s">
        <v>507</v>
      </c>
      <c r="B201" s="78">
        <v>13.6</v>
      </c>
      <c r="C201" s="78">
        <f t="shared" si="3"/>
        <v>1632</v>
      </c>
      <c r="D201">
        <f t="shared" si="4"/>
        <v>1.632</v>
      </c>
      <c r="E201">
        <v>15.0</v>
      </c>
      <c r="F201">
        <f t="shared" si="5"/>
        <v>0</v>
      </c>
      <c r="G201">
        <f t="shared" si="6"/>
        <v>0</v>
      </c>
      <c r="H201">
        <f>C201*Pumps!$F$18/3600</f>
        <v>69545.15911</v>
      </c>
      <c r="I201">
        <f t="shared" si="7"/>
        <v>99350.2273</v>
      </c>
      <c r="J201">
        <f t="shared" si="8"/>
        <v>112488.7353</v>
      </c>
      <c r="K201">
        <f t="shared" si="22"/>
        <v>0</v>
      </c>
      <c r="M201" s="142">
        <f t="shared" si="9"/>
        <v>0</v>
      </c>
      <c r="N201" s="142">
        <f t="shared" si="10"/>
        <v>0</v>
      </c>
      <c r="O201" s="142">
        <f t="shared" ref="O201:Q201" si="203">H201*3600/(1*10^6)</f>
        <v>250.3625728</v>
      </c>
      <c r="P201" s="142">
        <f t="shared" si="203"/>
        <v>357.6608183</v>
      </c>
      <c r="Q201" s="142">
        <f t="shared" si="203"/>
        <v>404.9594471</v>
      </c>
      <c r="R201" s="142">
        <f t="shared" si="12"/>
        <v>0</v>
      </c>
      <c r="T201">
        <f>Pumps!$F$18*D201/Pumps!$I$4/3600</f>
        <v>99.3502273</v>
      </c>
      <c r="U201">
        <f>IF('Design Specifications'!$C$30="y",Disinfection!G199*Disinfection!$N$3*(1*10^6)/3600,0)</f>
        <v>0</v>
      </c>
      <c r="V201">
        <f t="shared" si="13"/>
        <v>864</v>
      </c>
      <c r="W201">
        <f t="shared" si="18"/>
        <v>3.468060818</v>
      </c>
      <c r="X201">
        <f t="shared" si="14"/>
        <v>3.1104</v>
      </c>
      <c r="Y201">
        <f t="shared" si="15"/>
        <v>0.4791472013</v>
      </c>
    </row>
    <row r="202">
      <c r="A202" s="78" t="s">
        <v>509</v>
      </c>
      <c r="B202" s="78">
        <v>0.0</v>
      </c>
      <c r="C202" s="78">
        <f t="shared" si="3"/>
        <v>0</v>
      </c>
      <c r="D202">
        <f t="shared" si="4"/>
        <v>0</v>
      </c>
      <c r="E202">
        <v>15.0</v>
      </c>
      <c r="F202">
        <f t="shared" si="5"/>
        <v>0</v>
      </c>
      <c r="G202">
        <f t="shared" si="6"/>
        <v>0</v>
      </c>
      <c r="H202">
        <f>C202*Pumps!$F$18/3600</f>
        <v>0</v>
      </c>
      <c r="I202">
        <f t="shared" si="7"/>
        <v>0</v>
      </c>
      <c r="J202">
        <f t="shared" si="8"/>
        <v>898.56</v>
      </c>
      <c r="K202">
        <f t="shared" si="22"/>
        <v>0</v>
      </c>
      <c r="M202" s="142">
        <f t="shared" si="9"/>
        <v>0</v>
      </c>
      <c r="N202" s="142">
        <f t="shared" si="10"/>
        <v>0</v>
      </c>
      <c r="O202" s="142">
        <f t="shared" ref="O202:Q202" si="204">H202*3600/(1*10^6)</f>
        <v>0</v>
      </c>
      <c r="P202" s="142">
        <f t="shared" si="204"/>
        <v>0</v>
      </c>
      <c r="Q202" s="142">
        <f t="shared" si="204"/>
        <v>3.234816</v>
      </c>
      <c r="R202" s="142">
        <f t="shared" si="12"/>
        <v>0</v>
      </c>
      <c r="T202">
        <f>Pumps!$F$18*D202/Pumps!$I$4/3600</f>
        <v>0</v>
      </c>
      <c r="U202">
        <f>IF('Design Specifications'!$C$30="y",Disinfection!G200*Disinfection!$N$3*(1*10^6)/3600,0)</f>
        <v>0</v>
      </c>
      <c r="V202">
        <f t="shared" si="13"/>
        <v>864</v>
      </c>
      <c r="W202">
        <f t="shared" si="18"/>
        <v>3.1104</v>
      </c>
      <c r="X202">
        <f t="shared" si="14"/>
        <v>3.1104</v>
      </c>
      <c r="Y202">
        <f t="shared" si="15"/>
        <v>0.4536</v>
      </c>
    </row>
    <row r="203">
      <c r="A203" s="78" t="s">
        <v>511</v>
      </c>
      <c r="B203" s="78">
        <v>0.0</v>
      </c>
      <c r="C203" s="78">
        <f t="shared" si="3"/>
        <v>0</v>
      </c>
      <c r="D203">
        <f t="shared" si="4"/>
        <v>0</v>
      </c>
      <c r="E203">
        <v>15.0</v>
      </c>
      <c r="F203">
        <f t="shared" si="5"/>
        <v>0</v>
      </c>
      <c r="G203">
        <f t="shared" si="6"/>
        <v>0</v>
      </c>
      <c r="H203">
        <f>C203*Pumps!$F$18/3600</f>
        <v>0</v>
      </c>
      <c r="I203">
        <f t="shared" si="7"/>
        <v>0</v>
      </c>
      <c r="J203">
        <f t="shared" si="8"/>
        <v>898.56</v>
      </c>
      <c r="K203">
        <f t="shared" si="22"/>
        <v>0</v>
      </c>
      <c r="M203" s="142">
        <f t="shared" si="9"/>
        <v>0</v>
      </c>
      <c r="N203" s="142">
        <f t="shared" si="10"/>
        <v>0</v>
      </c>
      <c r="O203" s="142">
        <f t="shared" ref="O203:Q203" si="205">H203*3600/(1*10^6)</f>
        <v>0</v>
      </c>
      <c r="P203" s="142">
        <f t="shared" si="205"/>
        <v>0</v>
      </c>
      <c r="Q203" s="142">
        <f t="shared" si="205"/>
        <v>3.234816</v>
      </c>
      <c r="R203" s="142">
        <f t="shared" si="12"/>
        <v>0</v>
      </c>
      <c r="T203">
        <f>Pumps!$F$18*D203/Pumps!$I$4/3600</f>
        <v>0</v>
      </c>
      <c r="U203">
        <f>IF('Design Specifications'!$C$30="y",Disinfection!G201*Disinfection!$N$3*(1*10^6)/3600,0)</f>
        <v>0</v>
      </c>
      <c r="V203">
        <f t="shared" si="13"/>
        <v>864</v>
      </c>
      <c r="W203">
        <f t="shared" si="18"/>
        <v>3.1104</v>
      </c>
      <c r="X203">
        <f t="shared" si="14"/>
        <v>3.1104</v>
      </c>
      <c r="Y203">
        <f t="shared" si="15"/>
        <v>0.4536</v>
      </c>
    </row>
    <row r="204">
      <c r="A204" s="78" t="s">
        <v>513</v>
      </c>
      <c r="B204" s="78">
        <v>0.0</v>
      </c>
      <c r="C204" s="78">
        <f t="shared" si="3"/>
        <v>0</v>
      </c>
      <c r="D204">
        <f t="shared" si="4"/>
        <v>0</v>
      </c>
      <c r="E204">
        <v>15.0</v>
      </c>
      <c r="F204">
        <f t="shared" si="5"/>
        <v>0</v>
      </c>
      <c r="G204">
        <f t="shared" si="6"/>
        <v>0</v>
      </c>
      <c r="H204">
        <f>C204*Pumps!$F$18/3600</f>
        <v>0</v>
      </c>
      <c r="I204">
        <f t="shared" si="7"/>
        <v>0</v>
      </c>
      <c r="J204">
        <f t="shared" si="8"/>
        <v>898.56</v>
      </c>
      <c r="K204">
        <f t="shared" si="22"/>
        <v>0</v>
      </c>
      <c r="M204" s="142">
        <f t="shared" si="9"/>
        <v>0</v>
      </c>
      <c r="N204" s="142">
        <f t="shared" si="10"/>
        <v>0</v>
      </c>
      <c r="O204" s="142">
        <f t="shared" ref="O204:Q204" si="206">H204*3600/(1*10^6)</f>
        <v>0</v>
      </c>
      <c r="P204" s="142">
        <f t="shared" si="206"/>
        <v>0</v>
      </c>
      <c r="Q204" s="142">
        <f t="shared" si="206"/>
        <v>3.234816</v>
      </c>
      <c r="R204" s="142">
        <f t="shared" si="12"/>
        <v>0</v>
      </c>
      <c r="T204">
        <f>Pumps!$F$18*D204/Pumps!$I$4/3600</f>
        <v>0</v>
      </c>
      <c r="U204">
        <f>IF('Design Specifications'!$C$30="y",Disinfection!G202*Disinfection!$N$3*(1*10^6)/3600,0)</f>
        <v>0</v>
      </c>
      <c r="V204">
        <f t="shared" si="13"/>
        <v>864</v>
      </c>
      <c r="W204">
        <f t="shared" si="18"/>
        <v>3.1104</v>
      </c>
      <c r="X204">
        <f t="shared" si="14"/>
        <v>3.1104</v>
      </c>
      <c r="Y204">
        <f t="shared" si="15"/>
        <v>0.4536</v>
      </c>
    </row>
    <row r="205">
      <c r="A205" s="78" t="s">
        <v>515</v>
      </c>
      <c r="B205" s="78">
        <v>0.0</v>
      </c>
      <c r="C205" s="78">
        <f t="shared" si="3"/>
        <v>0</v>
      </c>
      <c r="D205">
        <f t="shared" si="4"/>
        <v>0</v>
      </c>
      <c r="E205">
        <v>15.0</v>
      </c>
      <c r="F205">
        <f t="shared" si="5"/>
        <v>0</v>
      </c>
      <c r="G205">
        <f t="shared" si="6"/>
        <v>0</v>
      </c>
      <c r="H205">
        <f>C205*Pumps!$F$18/3600</f>
        <v>0</v>
      </c>
      <c r="I205">
        <f t="shared" si="7"/>
        <v>0</v>
      </c>
      <c r="J205">
        <f t="shared" si="8"/>
        <v>898.56</v>
      </c>
      <c r="K205">
        <f t="shared" si="22"/>
        <v>0</v>
      </c>
      <c r="M205" s="142">
        <f t="shared" si="9"/>
        <v>0</v>
      </c>
      <c r="N205" s="142">
        <f t="shared" si="10"/>
        <v>0</v>
      </c>
      <c r="O205" s="142">
        <f t="shared" ref="O205:Q205" si="207">H205*3600/(1*10^6)</f>
        <v>0</v>
      </c>
      <c r="P205" s="142">
        <f t="shared" si="207"/>
        <v>0</v>
      </c>
      <c r="Q205" s="142">
        <f t="shared" si="207"/>
        <v>3.234816</v>
      </c>
      <c r="R205" s="142">
        <f t="shared" si="12"/>
        <v>0</v>
      </c>
      <c r="T205">
        <f>Pumps!$F$18*D205/Pumps!$I$4/3600</f>
        <v>0</v>
      </c>
      <c r="U205">
        <f>IF('Design Specifications'!$C$30="y",Disinfection!G203*Disinfection!$N$3*(1*10^6)/3600,0)</f>
        <v>0</v>
      </c>
      <c r="V205">
        <f t="shared" si="13"/>
        <v>864</v>
      </c>
      <c r="W205">
        <f t="shared" si="18"/>
        <v>3.1104</v>
      </c>
      <c r="X205">
        <f t="shared" si="14"/>
        <v>3.1104</v>
      </c>
      <c r="Y205">
        <f t="shared" si="15"/>
        <v>0.4536</v>
      </c>
    </row>
    <row r="206">
      <c r="A206" s="78" t="s">
        <v>517</v>
      </c>
      <c r="B206" s="78">
        <v>0.0</v>
      </c>
      <c r="C206" s="78">
        <f t="shared" si="3"/>
        <v>0</v>
      </c>
      <c r="D206">
        <f t="shared" si="4"/>
        <v>0</v>
      </c>
      <c r="E206">
        <v>15.0</v>
      </c>
      <c r="F206">
        <f t="shared" si="5"/>
        <v>0</v>
      </c>
      <c r="G206">
        <f t="shared" si="6"/>
        <v>0</v>
      </c>
      <c r="H206">
        <f>C206*Pumps!$F$18/3600</f>
        <v>0</v>
      </c>
      <c r="I206">
        <f t="shared" si="7"/>
        <v>0</v>
      </c>
      <c r="J206">
        <f t="shared" si="8"/>
        <v>898.56</v>
      </c>
      <c r="K206">
        <f t="shared" si="22"/>
        <v>0</v>
      </c>
      <c r="M206" s="142">
        <f t="shared" si="9"/>
        <v>0</v>
      </c>
      <c r="N206" s="142">
        <f t="shared" si="10"/>
        <v>0</v>
      </c>
      <c r="O206" s="142">
        <f t="shared" ref="O206:Q206" si="208">H206*3600/(1*10^6)</f>
        <v>0</v>
      </c>
      <c r="P206" s="142">
        <f t="shared" si="208"/>
        <v>0</v>
      </c>
      <c r="Q206" s="142">
        <f t="shared" si="208"/>
        <v>3.234816</v>
      </c>
      <c r="R206" s="142">
        <f t="shared" si="12"/>
        <v>0</v>
      </c>
      <c r="T206">
        <f>Pumps!$F$18*D206/Pumps!$I$4/3600</f>
        <v>0</v>
      </c>
      <c r="U206">
        <f>IF('Design Specifications'!$C$30="y",Disinfection!G204*Disinfection!$N$3*(1*10^6)/3600,0)</f>
        <v>0</v>
      </c>
      <c r="V206">
        <f t="shared" si="13"/>
        <v>864</v>
      </c>
      <c r="W206">
        <f t="shared" si="18"/>
        <v>3.1104</v>
      </c>
      <c r="X206">
        <f t="shared" si="14"/>
        <v>3.1104</v>
      </c>
      <c r="Y206">
        <f t="shared" si="15"/>
        <v>0.4536</v>
      </c>
    </row>
    <row r="207">
      <c r="A207" s="78" t="s">
        <v>519</v>
      </c>
      <c r="B207" s="78">
        <v>0.0</v>
      </c>
      <c r="C207" s="78">
        <f t="shared" si="3"/>
        <v>0</v>
      </c>
      <c r="D207">
        <f t="shared" si="4"/>
        <v>0</v>
      </c>
      <c r="E207">
        <v>15.0</v>
      </c>
      <c r="F207">
        <f t="shared" si="5"/>
        <v>0</v>
      </c>
      <c r="G207">
        <f t="shared" si="6"/>
        <v>0</v>
      </c>
      <c r="H207">
        <f>C207*Pumps!$F$18/3600</f>
        <v>0</v>
      </c>
      <c r="I207">
        <f t="shared" si="7"/>
        <v>0</v>
      </c>
      <c r="J207">
        <f t="shared" si="8"/>
        <v>898.56</v>
      </c>
      <c r="K207">
        <f t="shared" si="22"/>
        <v>0</v>
      </c>
      <c r="M207" s="142">
        <f t="shared" si="9"/>
        <v>0</v>
      </c>
      <c r="N207" s="142">
        <f t="shared" si="10"/>
        <v>0</v>
      </c>
      <c r="O207" s="142">
        <f t="shared" ref="O207:Q207" si="209">H207*3600/(1*10^6)</f>
        <v>0</v>
      </c>
      <c r="P207" s="142">
        <f t="shared" si="209"/>
        <v>0</v>
      </c>
      <c r="Q207" s="142">
        <f t="shared" si="209"/>
        <v>3.234816</v>
      </c>
      <c r="R207" s="142">
        <f t="shared" si="12"/>
        <v>0</v>
      </c>
      <c r="T207">
        <f>Pumps!$F$18*D207/Pumps!$I$4/3600</f>
        <v>0</v>
      </c>
      <c r="U207">
        <f>IF('Design Specifications'!$C$30="y",Disinfection!G205*Disinfection!$N$3*(1*10^6)/3600,0)</f>
        <v>0</v>
      </c>
      <c r="V207">
        <f t="shared" si="13"/>
        <v>864</v>
      </c>
      <c r="W207">
        <f t="shared" si="18"/>
        <v>3.1104</v>
      </c>
      <c r="X207">
        <f t="shared" si="14"/>
        <v>3.1104</v>
      </c>
      <c r="Y207">
        <f t="shared" si="15"/>
        <v>0.4536</v>
      </c>
    </row>
    <row r="208">
      <c r="A208" s="78" t="s">
        <v>521</v>
      </c>
      <c r="B208" s="78">
        <v>0.0</v>
      </c>
      <c r="C208" s="78">
        <f t="shared" si="3"/>
        <v>0</v>
      </c>
      <c r="D208">
        <f t="shared" si="4"/>
        <v>0</v>
      </c>
      <c r="E208">
        <v>15.0</v>
      </c>
      <c r="F208">
        <f t="shared" si="5"/>
        <v>0</v>
      </c>
      <c r="G208">
        <f t="shared" si="6"/>
        <v>0</v>
      </c>
      <c r="H208">
        <f>C208*Pumps!$F$18/3600</f>
        <v>0</v>
      </c>
      <c r="I208">
        <f t="shared" si="7"/>
        <v>0</v>
      </c>
      <c r="J208">
        <f t="shared" si="8"/>
        <v>898.56</v>
      </c>
      <c r="K208">
        <f t="shared" si="22"/>
        <v>0</v>
      </c>
      <c r="M208" s="142">
        <f t="shared" si="9"/>
        <v>0</v>
      </c>
      <c r="N208" s="142">
        <f t="shared" si="10"/>
        <v>0</v>
      </c>
      <c r="O208" s="142">
        <f t="shared" ref="O208:Q208" si="210">H208*3600/(1*10^6)</f>
        <v>0</v>
      </c>
      <c r="P208" s="142">
        <f t="shared" si="210"/>
        <v>0</v>
      </c>
      <c r="Q208" s="142">
        <f t="shared" si="210"/>
        <v>3.234816</v>
      </c>
      <c r="R208" s="142">
        <f t="shared" si="12"/>
        <v>0</v>
      </c>
      <c r="T208">
        <f>Pumps!$F$18*D208/Pumps!$I$4/3600</f>
        <v>0</v>
      </c>
      <c r="U208">
        <f>IF('Design Specifications'!$C$30="y",Disinfection!G206*Disinfection!$N$3*(1*10^6)/3600,0)</f>
        <v>0</v>
      </c>
      <c r="V208">
        <f t="shared" si="13"/>
        <v>864</v>
      </c>
      <c r="W208">
        <f t="shared" si="18"/>
        <v>3.1104</v>
      </c>
      <c r="X208">
        <f t="shared" si="14"/>
        <v>3.1104</v>
      </c>
      <c r="Y208">
        <f t="shared" si="15"/>
        <v>0.4536</v>
      </c>
    </row>
    <row r="209">
      <c r="A209" s="78" t="s">
        <v>523</v>
      </c>
      <c r="B209" s="78">
        <v>0.0</v>
      </c>
      <c r="C209" s="78">
        <f t="shared" si="3"/>
        <v>0</v>
      </c>
      <c r="D209">
        <f t="shared" si="4"/>
        <v>0</v>
      </c>
      <c r="E209">
        <v>15.0</v>
      </c>
      <c r="F209">
        <f t="shared" si="5"/>
        <v>0</v>
      </c>
      <c r="G209">
        <f t="shared" si="6"/>
        <v>0</v>
      </c>
      <c r="H209">
        <f>C209*Pumps!$F$18/3600</f>
        <v>0</v>
      </c>
      <c r="I209">
        <f t="shared" si="7"/>
        <v>0</v>
      </c>
      <c r="J209">
        <f t="shared" si="8"/>
        <v>898.56</v>
      </c>
      <c r="K209">
        <f t="shared" si="22"/>
        <v>0</v>
      </c>
      <c r="M209" s="142">
        <f t="shared" si="9"/>
        <v>0</v>
      </c>
      <c r="N209" s="142">
        <f t="shared" si="10"/>
        <v>0</v>
      </c>
      <c r="O209" s="142">
        <f t="shared" ref="O209:Q209" si="211">H209*3600/(1*10^6)</f>
        <v>0</v>
      </c>
      <c r="P209" s="142">
        <f t="shared" si="211"/>
        <v>0</v>
      </c>
      <c r="Q209" s="142">
        <f t="shared" si="211"/>
        <v>3.234816</v>
      </c>
      <c r="R209" s="142">
        <f t="shared" si="12"/>
        <v>0</v>
      </c>
      <c r="T209">
        <f>Pumps!$F$18*D209/Pumps!$I$4/3600</f>
        <v>0</v>
      </c>
      <c r="U209">
        <f>IF('Design Specifications'!$C$30="y",Disinfection!G207*Disinfection!$N$3*(1*10^6)/3600,0)</f>
        <v>0</v>
      </c>
      <c r="V209">
        <f t="shared" si="13"/>
        <v>864</v>
      </c>
      <c r="W209">
        <f t="shared" si="18"/>
        <v>3.1104</v>
      </c>
      <c r="X209">
        <f t="shared" si="14"/>
        <v>3.1104</v>
      </c>
      <c r="Y209">
        <f t="shared" si="15"/>
        <v>0.4536</v>
      </c>
    </row>
    <row r="210">
      <c r="A210" s="78" t="s">
        <v>525</v>
      </c>
      <c r="B210" s="78">
        <v>0.0</v>
      </c>
      <c r="C210" s="78">
        <f t="shared" si="3"/>
        <v>0</v>
      </c>
      <c r="D210">
        <f t="shared" si="4"/>
        <v>0</v>
      </c>
      <c r="E210">
        <v>15.0</v>
      </c>
      <c r="F210">
        <f t="shared" si="5"/>
        <v>0</v>
      </c>
      <c r="G210">
        <f t="shared" si="6"/>
        <v>0</v>
      </c>
      <c r="H210">
        <f>C210*Pumps!$F$18/3600</f>
        <v>0</v>
      </c>
      <c r="I210">
        <f t="shared" si="7"/>
        <v>0</v>
      </c>
      <c r="J210">
        <f t="shared" si="8"/>
        <v>898.56</v>
      </c>
      <c r="K210">
        <f t="shared" si="22"/>
        <v>0</v>
      </c>
      <c r="M210" s="142">
        <f t="shared" si="9"/>
        <v>0</v>
      </c>
      <c r="N210" s="142">
        <f t="shared" si="10"/>
        <v>0</v>
      </c>
      <c r="O210" s="142">
        <f t="shared" ref="O210:Q210" si="212">H210*3600/(1*10^6)</f>
        <v>0</v>
      </c>
      <c r="P210" s="142">
        <f t="shared" si="212"/>
        <v>0</v>
      </c>
      <c r="Q210" s="142">
        <f t="shared" si="212"/>
        <v>3.234816</v>
      </c>
      <c r="R210" s="142">
        <f t="shared" si="12"/>
        <v>0</v>
      </c>
      <c r="T210">
        <f>Pumps!$F$18*D210/Pumps!$I$4/3600</f>
        <v>0</v>
      </c>
      <c r="U210">
        <f>IF('Design Specifications'!$C$30="y",Disinfection!G208*Disinfection!$N$3*(1*10^6)/3600,0)</f>
        <v>0</v>
      </c>
      <c r="V210">
        <f t="shared" si="13"/>
        <v>864</v>
      </c>
      <c r="W210">
        <f t="shared" si="18"/>
        <v>3.1104</v>
      </c>
      <c r="X210">
        <f t="shared" si="14"/>
        <v>3.1104</v>
      </c>
      <c r="Y210">
        <f t="shared" si="15"/>
        <v>0.4536</v>
      </c>
    </row>
    <row r="211">
      <c r="A211" s="78" t="s">
        <v>527</v>
      </c>
      <c r="B211" s="78">
        <v>0.0</v>
      </c>
      <c r="C211" s="78">
        <f t="shared" si="3"/>
        <v>0</v>
      </c>
      <c r="D211">
        <f t="shared" si="4"/>
        <v>0</v>
      </c>
      <c r="E211">
        <v>15.0</v>
      </c>
      <c r="F211">
        <f t="shared" si="5"/>
        <v>0</v>
      </c>
      <c r="G211">
        <f t="shared" si="6"/>
        <v>0</v>
      </c>
      <c r="H211">
        <f>C211*Pumps!$F$18/3600</f>
        <v>0</v>
      </c>
      <c r="I211">
        <f t="shared" si="7"/>
        <v>0</v>
      </c>
      <c r="J211">
        <f t="shared" si="8"/>
        <v>898.56</v>
      </c>
      <c r="K211">
        <f t="shared" si="22"/>
        <v>0</v>
      </c>
      <c r="M211" s="142">
        <f t="shared" si="9"/>
        <v>0</v>
      </c>
      <c r="N211" s="142">
        <f t="shared" si="10"/>
        <v>0</v>
      </c>
      <c r="O211" s="142">
        <f t="shared" ref="O211:Q211" si="213">H211*3600/(1*10^6)</f>
        <v>0</v>
      </c>
      <c r="P211" s="142">
        <f t="shared" si="213"/>
        <v>0</v>
      </c>
      <c r="Q211" s="142">
        <f t="shared" si="213"/>
        <v>3.234816</v>
      </c>
      <c r="R211" s="142">
        <f t="shared" si="12"/>
        <v>0</v>
      </c>
      <c r="T211">
        <f>Pumps!$F$18*D211/Pumps!$I$4/3600</f>
        <v>0</v>
      </c>
      <c r="U211">
        <f>IF('Design Specifications'!$C$30="y",Disinfection!G209*Disinfection!$N$3*(1*10^6)/3600,0)</f>
        <v>0</v>
      </c>
      <c r="V211">
        <f t="shared" si="13"/>
        <v>864</v>
      </c>
      <c r="W211">
        <f t="shared" si="18"/>
        <v>3.1104</v>
      </c>
      <c r="X211">
        <f t="shared" si="14"/>
        <v>3.1104</v>
      </c>
      <c r="Y211">
        <f t="shared" si="15"/>
        <v>0.4536</v>
      </c>
    </row>
    <row r="212">
      <c r="A212" s="78" t="s">
        <v>529</v>
      </c>
      <c r="B212" s="78">
        <v>0.0</v>
      </c>
      <c r="C212" s="78">
        <f t="shared" si="3"/>
        <v>0</v>
      </c>
      <c r="D212">
        <f t="shared" si="4"/>
        <v>0</v>
      </c>
      <c r="E212">
        <v>15.0</v>
      </c>
      <c r="F212">
        <f t="shared" si="5"/>
        <v>0</v>
      </c>
      <c r="G212">
        <f t="shared" si="6"/>
        <v>0</v>
      </c>
      <c r="H212">
        <f>C212*Pumps!$F$18/3600</f>
        <v>0</v>
      </c>
      <c r="I212">
        <f t="shared" si="7"/>
        <v>0</v>
      </c>
      <c r="J212">
        <f t="shared" si="8"/>
        <v>898.56</v>
      </c>
      <c r="K212">
        <f t="shared" si="22"/>
        <v>0</v>
      </c>
      <c r="M212" s="142">
        <f t="shared" si="9"/>
        <v>0</v>
      </c>
      <c r="N212" s="142">
        <f t="shared" si="10"/>
        <v>0</v>
      </c>
      <c r="O212" s="142">
        <f t="shared" ref="O212:Q212" si="214">H212*3600/(1*10^6)</f>
        <v>0</v>
      </c>
      <c r="P212" s="142">
        <f t="shared" si="214"/>
        <v>0</v>
      </c>
      <c r="Q212" s="142">
        <f t="shared" si="214"/>
        <v>3.234816</v>
      </c>
      <c r="R212" s="142">
        <f t="shared" si="12"/>
        <v>0</v>
      </c>
      <c r="T212">
        <f>Pumps!$F$18*D212/Pumps!$I$4/3600</f>
        <v>0</v>
      </c>
      <c r="U212">
        <f>IF('Design Specifications'!$C$30="y",Disinfection!G210*Disinfection!$N$3*(1*10^6)/3600,0)</f>
        <v>0</v>
      </c>
      <c r="V212">
        <f t="shared" si="13"/>
        <v>864</v>
      </c>
      <c r="W212">
        <f t="shared" si="18"/>
        <v>3.1104</v>
      </c>
      <c r="X212">
        <f t="shared" si="14"/>
        <v>3.1104</v>
      </c>
      <c r="Y212">
        <f t="shared" si="15"/>
        <v>0.4536</v>
      </c>
    </row>
    <row r="213">
      <c r="A213" s="78" t="s">
        <v>531</v>
      </c>
      <c r="B213" s="78">
        <v>37.0</v>
      </c>
      <c r="C213" s="78">
        <f t="shared" si="3"/>
        <v>4440</v>
      </c>
      <c r="D213">
        <f t="shared" si="4"/>
        <v>4.44</v>
      </c>
      <c r="E213">
        <v>15.0</v>
      </c>
      <c r="F213">
        <f t="shared" si="5"/>
        <v>0</v>
      </c>
      <c r="G213">
        <f t="shared" si="6"/>
        <v>0</v>
      </c>
      <c r="H213">
        <f>C213*Pumps!$F$18/3600</f>
        <v>189203.7417</v>
      </c>
      <c r="I213">
        <f t="shared" si="7"/>
        <v>270291.0596</v>
      </c>
      <c r="J213">
        <f t="shared" si="8"/>
        <v>304489.4781</v>
      </c>
      <c r="K213">
        <f t="shared" si="22"/>
        <v>0</v>
      </c>
      <c r="M213" s="142">
        <f t="shared" si="9"/>
        <v>0</v>
      </c>
      <c r="N213" s="142">
        <f t="shared" si="10"/>
        <v>0</v>
      </c>
      <c r="O213" s="142">
        <f t="shared" ref="O213:Q213" si="215">H213*3600/(1*10^6)</f>
        <v>681.1334701</v>
      </c>
      <c r="P213" s="142">
        <f t="shared" si="215"/>
        <v>973.0478145</v>
      </c>
      <c r="Q213" s="142">
        <f t="shared" si="215"/>
        <v>1096.162121</v>
      </c>
      <c r="R213" s="142">
        <f t="shared" si="12"/>
        <v>0</v>
      </c>
      <c r="T213">
        <f>Pumps!$F$18*D213/Pumps!$I$4/3600</f>
        <v>270.2910596</v>
      </c>
      <c r="U213">
        <f>IF('Design Specifications'!$C$30="y",Disinfection!G211*Disinfection!$N$3*(1*10^6)/3600,0)</f>
        <v>0</v>
      </c>
      <c r="V213">
        <f t="shared" si="13"/>
        <v>864</v>
      </c>
      <c r="W213">
        <f t="shared" si="18"/>
        <v>4.083447814</v>
      </c>
      <c r="X213">
        <f t="shared" si="14"/>
        <v>3.1104</v>
      </c>
      <c r="Y213">
        <f t="shared" si="15"/>
        <v>0.5231034153</v>
      </c>
    </row>
    <row r="214">
      <c r="A214" s="78" t="s">
        <v>533</v>
      </c>
      <c r="B214" s="78">
        <v>1.8</v>
      </c>
      <c r="C214" s="78">
        <f t="shared" si="3"/>
        <v>216</v>
      </c>
      <c r="D214">
        <f t="shared" si="4"/>
        <v>0.216</v>
      </c>
      <c r="E214">
        <v>15.0</v>
      </c>
      <c r="F214">
        <f t="shared" si="5"/>
        <v>0</v>
      </c>
      <c r="G214">
        <f t="shared" si="6"/>
        <v>0</v>
      </c>
      <c r="H214">
        <f>C214*Pumps!$F$18/3600</f>
        <v>9204.506353</v>
      </c>
      <c r="I214">
        <f t="shared" si="7"/>
        <v>13149.29479</v>
      </c>
      <c r="J214">
        <f t="shared" si="8"/>
        <v>15667.84791</v>
      </c>
      <c r="K214">
        <f t="shared" si="22"/>
        <v>0</v>
      </c>
      <c r="M214" s="142">
        <f t="shared" si="9"/>
        <v>0</v>
      </c>
      <c r="N214" s="142">
        <f t="shared" si="10"/>
        <v>0</v>
      </c>
      <c r="O214" s="142">
        <f t="shared" ref="O214:Q214" si="216">H214*3600/(1*10^6)</f>
        <v>33.13622287</v>
      </c>
      <c r="P214" s="142">
        <f t="shared" si="216"/>
        <v>47.33746124</v>
      </c>
      <c r="Q214" s="142">
        <f t="shared" si="216"/>
        <v>56.40425247</v>
      </c>
      <c r="R214" s="142">
        <f t="shared" si="12"/>
        <v>0</v>
      </c>
      <c r="T214">
        <f>Pumps!$F$18*D214/Pumps!$I$4/3600</f>
        <v>13.14929479</v>
      </c>
      <c r="U214">
        <f>IF('Design Specifications'!$C$30="y",Disinfection!G212*Disinfection!$N$3*(1*10^6)/3600,0)</f>
        <v>0</v>
      </c>
      <c r="V214">
        <f t="shared" si="13"/>
        <v>864</v>
      </c>
      <c r="W214">
        <f t="shared" si="18"/>
        <v>3.157737461</v>
      </c>
      <c r="X214">
        <f t="shared" si="14"/>
        <v>3.1104</v>
      </c>
      <c r="Y214">
        <f t="shared" si="15"/>
        <v>0.4569812472</v>
      </c>
    </row>
    <row r="215">
      <c r="A215" s="78" t="s">
        <v>535</v>
      </c>
      <c r="B215" s="78">
        <v>0.0</v>
      </c>
      <c r="C215" s="78">
        <f t="shared" si="3"/>
        <v>0</v>
      </c>
      <c r="D215">
        <f t="shared" si="4"/>
        <v>0</v>
      </c>
      <c r="E215">
        <v>15.0</v>
      </c>
      <c r="F215">
        <f t="shared" si="5"/>
        <v>0</v>
      </c>
      <c r="G215">
        <f t="shared" si="6"/>
        <v>0</v>
      </c>
      <c r="H215">
        <f>C215*Pumps!$F$18/3600</f>
        <v>0</v>
      </c>
      <c r="I215">
        <f t="shared" si="7"/>
        <v>0</v>
      </c>
      <c r="J215">
        <f t="shared" si="8"/>
        <v>898.56</v>
      </c>
      <c r="K215">
        <f t="shared" si="22"/>
        <v>0</v>
      </c>
      <c r="M215" s="142">
        <f t="shared" si="9"/>
        <v>0</v>
      </c>
      <c r="N215" s="142">
        <f t="shared" si="10"/>
        <v>0</v>
      </c>
      <c r="O215" s="142">
        <f t="shared" ref="O215:Q215" si="217">H215*3600/(1*10^6)</f>
        <v>0</v>
      </c>
      <c r="P215" s="142">
        <f t="shared" si="217"/>
        <v>0</v>
      </c>
      <c r="Q215" s="142">
        <f t="shared" si="217"/>
        <v>3.234816</v>
      </c>
      <c r="R215" s="142">
        <f t="shared" si="12"/>
        <v>0</v>
      </c>
      <c r="T215">
        <f>Pumps!$F$18*D215/Pumps!$I$4/3600</f>
        <v>0</v>
      </c>
      <c r="U215">
        <f>IF('Design Specifications'!$C$30="y",Disinfection!G213*Disinfection!$N$3*(1*10^6)/3600,0)</f>
        <v>0</v>
      </c>
      <c r="V215">
        <f t="shared" si="13"/>
        <v>864</v>
      </c>
      <c r="W215">
        <f t="shared" si="18"/>
        <v>3.1104</v>
      </c>
      <c r="X215">
        <f t="shared" si="14"/>
        <v>3.1104</v>
      </c>
      <c r="Y215">
        <f t="shared" si="15"/>
        <v>0.4536</v>
      </c>
    </row>
    <row r="216">
      <c r="A216" s="78" t="s">
        <v>537</v>
      </c>
      <c r="B216" s="78">
        <v>0.0</v>
      </c>
      <c r="C216" s="78">
        <f t="shared" si="3"/>
        <v>0</v>
      </c>
      <c r="D216">
        <f t="shared" si="4"/>
        <v>0</v>
      </c>
      <c r="E216">
        <v>15.0</v>
      </c>
      <c r="F216">
        <f t="shared" si="5"/>
        <v>0</v>
      </c>
      <c r="G216">
        <f t="shared" si="6"/>
        <v>0</v>
      </c>
      <c r="H216">
        <f>C216*Pumps!$F$18/3600</f>
        <v>0</v>
      </c>
      <c r="I216">
        <f t="shared" si="7"/>
        <v>0</v>
      </c>
      <c r="J216">
        <f t="shared" si="8"/>
        <v>898.56</v>
      </c>
      <c r="K216">
        <f t="shared" si="22"/>
        <v>0</v>
      </c>
      <c r="M216" s="142">
        <f t="shared" si="9"/>
        <v>0</v>
      </c>
      <c r="N216" s="142">
        <f t="shared" si="10"/>
        <v>0</v>
      </c>
      <c r="O216" s="142">
        <f t="shared" ref="O216:Q216" si="218">H216*3600/(1*10^6)</f>
        <v>0</v>
      </c>
      <c r="P216" s="142">
        <f t="shared" si="218"/>
        <v>0</v>
      </c>
      <c r="Q216" s="142">
        <f t="shared" si="218"/>
        <v>3.234816</v>
      </c>
      <c r="R216" s="142">
        <f t="shared" si="12"/>
        <v>0</v>
      </c>
      <c r="T216">
        <f>Pumps!$F$18*D216/Pumps!$I$4/3600</f>
        <v>0</v>
      </c>
      <c r="U216">
        <f>IF('Design Specifications'!$C$30="y",Disinfection!G214*Disinfection!$N$3*(1*10^6)/3600,0)</f>
        <v>0</v>
      </c>
      <c r="V216">
        <f t="shared" si="13"/>
        <v>864</v>
      </c>
      <c r="W216">
        <f t="shared" si="18"/>
        <v>3.1104</v>
      </c>
      <c r="X216">
        <f t="shared" si="14"/>
        <v>3.1104</v>
      </c>
      <c r="Y216">
        <f t="shared" si="15"/>
        <v>0.4536</v>
      </c>
    </row>
    <row r="217">
      <c r="A217" s="78" t="s">
        <v>539</v>
      </c>
      <c r="B217" s="78">
        <v>8.0</v>
      </c>
      <c r="C217" s="78">
        <f t="shared" si="3"/>
        <v>960</v>
      </c>
      <c r="D217">
        <f t="shared" si="4"/>
        <v>0.96</v>
      </c>
      <c r="E217">
        <v>15.0</v>
      </c>
      <c r="F217">
        <f t="shared" si="5"/>
        <v>0</v>
      </c>
      <c r="G217">
        <f t="shared" si="6"/>
        <v>0</v>
      </c>
      <c r="H217">
        <f>C217*Pumps!$F$18/3600</f>
        <v>40908.91712</v>
      </c>
      <c r="I217">
        <f t="shared" si="7"/>
        <v>58441.31018</v>
      </c>
      <c r="J217">
        <f t="shared" si="8"/>
        <v>66539.83959</v>
      </c>
      <c r="K217">
        <f t="shared" si="22"/>
        <v>0</v>
      </c>
      <c r="M217" s="142">
        <f t="shared" si="9"/>
        <v>0</v>
      </c>
      <c r="N217" s="142">
        <f t="shared" si="10"/>
        <v>0</v>
      </c>
      <c r="O217" s="142">
        <f t="shared" ref="O217:Q217" si="219">H217*3600/(1*10^6)</f>
        <v>147.2721016</v>
      </c>
      <c r="P217" s="142">
        <f t="shared" si="219"/>
        <v>210.3887166</v>
      </c>
      <c r="Q217" s="142">
        <f t="shared" si="219"/>
        <v>239.5434225</v>
      </c>
      <c r="R217" s="142">
        <f t="shared" si="12"/>
        <v>0</v>
      </c>
      <c r="T217">
        <f>Pumps!$F$18*D217/Pumps!$I$4/3600</f>
        <v>58.44131018</v>
      </c>
      <c r="U217">
        <f>IF('Design Specifications'!$C$30="y",Disinfection!G215*Disinfection!$N$3*(1*10^6)/3600,0)</f>
        <v>0</v>
      </c>
      <c r="V217">
        <f t="shared" si="13"/>
        <v>864</v>
      </c>
      <c r="W217">
        <f t="shared" si="18"/>
        <v>3.320788717</v>
      </c>
      <c r="X217">
        <f t="shared" si="14"/>
        <v>3.1104</v>
      </c>
      <c r="Y217">
        <f t="shared" si="15"/>
        <v>0.4686277655</v>
      </c>
    </row>
    <row r="218">
      <c r="A218" s="78" t="s">
        <v>541</v>
      </c>
      <c r="B218" s="78">
        <v>18.2</v>
      </c>
      <c r="C218" s="78">
        <f t="shared" si="3"/>
        <v>2184</v>
      </c>
      <c r="D218">
        <f t="shared" si="4"/>
        <v>2.184</v>
      </c>
      <c r="E218">
        <v>15.0</v>
      </c>
      <c r="F218">
        <f t="shared" si="5"/>
        <v>0</v>
      </c>
      <c r="G218">
        <f t="shared" si="6"/>
        <v>0</v>
      </c>
      <c r="H218">
        <f>C218*Pumps!$F$18/3600</f>
        <v>93067.78646</v>
      </c>
      <c r="I218">
        <f t="shared" si="7"/>
        <v>132953.9807</v>
      </c>
      <c r="J218">
        <f t="shared" si="8"/>
        <v>150232.4711</v>
      </c>
      <c r="K218">
        <f t="shared" si="22"/>
        <v>0</v>
      </c>
      <c r="M218" s="142">
        <f t="shared" si="9"/>
        <v>0</v>
      </c>
      <c r="N218" s="142">
        <f t="shared" si="10"/>
        <v>0</v>
      </c>
      <c r="O218" s="142">
        <f t="shared" ref="O218:Q218" si="220">H218*3600/(1*10^6)</f>
        <v>335.0440313</v>
      </c>
      <c r="P218" s="142">
        <f t="shared" si="220"/>
        <v>478.6343304</v>
      </c>
      <c r="Q218" s="142">
        <f t="shared" si="220"/>
        <v>540.8368959</v>
      </c>
      <c r="R218" s="142">
        <f t="shared" si="12"/>
        <v>0</v>
      </c>
      <c r="T218">
        <f>Pumps!$F$18*D218/Pumps!$I$4/3600</f>
        <v>132.9539807</v>
      </c>
      <c r="U218">
        <f>IF('Design Specifications'!$C$30="y",Disinfection!G216*Disinfection!$N$3*(1*10^6)/3600,0)</f>
        <v>0</v>
      </c>
      <c r="V218">
        <f t="shared" si="13"/>
        <v>864</v>
      </c>
      <c r="W218">
        <f t="shared" si="18"/>
        <v>3.58903433</v>
      </c>
      <c r="X218">
        <f t="shared" si="14"/>
        <v>3.1104</v>
      </c>
      <c r="Y218">
        <f t="shared" si="15"/>
        <v>0.4877881665</v>
      </c>
    </row>
    <row r="219">
      <c r="A219" s="78" t="s">
        <v>543</v>
      </c>
      <c r="B219" s="78">
        <v>0.6</v>
      </c>
      <c r="C219" s="78">
        <f t="shared" si="3"/>
        <v>72</v>
      </c>
      <c r="D219">
        <f t="shared" si="4"/>
        <v>0.072</v>
      </c>
      <c r="E219">
        <v>15.0</v>
      </c>
      <c r="F219">
        <f t="shared" si="5"/>
        <v>0</v>
      </c>
      <c r="G219">
        <f t="shared" si="6"/>
        <v>0</v>
      </c>
      <c r="H219">
        <f>C219*Pumps!$F$18/3600</f>
        <v>3068.168784</v>
      </c>
      <c r="I219">
        <f t="shared" si="7"/>
        <v>4383.098263</v>
      </c>
      <c r="J219">
        <f t="shared" si="8"/>
        <v>5821.655969</v>
      </c>
      <c r="K219">
        <f t="shared" si="22"/>
        <v>0</v>
      </c>
      <c r="M219" s="142">
        <f t="shared" si="9"/>
        <v>0</v>
      </c>
      <c r="N219" s="142">
        <f t="shared" si="10"/>
        <v>0</v>
      </c>
      <c r="O219" s="142">
        <f t="shared" ref="O219:Q219" si="221">H219*3600/(1*10^6)</f>
        <v>11.04540762</v>
      </c>
      <c r="P219" s="142">
        <f t="shared" si="221"/>
        <v>15.77915375</v>
      </c>
      <c r="Q219" s="142">
        <f t="shared" si="221"/>
        <v>20.95796149</v>
      </c>
      <c r="R219" s="142">
        <f t="shared" si="12"/>
        <v>0</v>
      </c>
      <c r="T219">
        <f>Pumps!$F$18*D219/Pumps!$I$4/3600</f>
        <v>4.383098263</v>
      </c>
      <c r="U219">
        <f>IF('Design Specifications'!$C$30="y",Disinfection!G217*Disinfection!$N$3*(1*10^6)/3600,0)</f>
        <v>0</v>
      </c>
      <c r="V219">
        <f t="shared" si="13"/>
        <v>864</v>
      </c>
      <c r="W219">
        <f t="shared" si="18"/>
        <v>3.126179154</v>
      </c>
      <c r="X219">
        <f t="shared" si="14"/>
        <v>3.1104</v>
      </c>
      <c r="Y219">
        <f t="shared" si="15"/>
        <v>0.4547270824</v>
      </c>
    </row>
    <row r="220">
      <c r="A220" s="78" t="s">
        <v>545</v>
      </c>
      <c r="B220" s="78">
        <v>0.0</v>
      </c>
      <c r="C220" s="78">
        <f t="shared" si="3"/>
        <v>0</v>
      </c>
      <c r="D220">
        <f t="shared" si="4"/>
        <v>0</v>
      </c>
      <c r="E220">
        <v>15.0</v>
      </c>
      <c r="F220">
        <f t="shared" si="5"/>
        <v>0</v>
      </c>
      <c r="G220">
        <f t="shared" si="6"/>
        <v>0</v>
      </c>
      <c r="H220">
        <f>C220*Pumps!$F$18/3600</f>
        <v>0</v>
      </c>
      <c r="I220">
        <f t="shared" si="7"/>
        <v>0</v>
      </c>
      <c r="J220">
        <f t="shared" si="8"/>
        <v>898.56</v>
      </c>
      <c r="K220">
        <f t="shared" si="22"/>
        <v>0</v>
      </c>
      <c r="M220" s="142">
        <f t="shared" si="9"/>
        <v>0</v>
      </c>
      <c r="N220" s="142">
        <f t="shared" si="10"/>
        <v>0</v>
      </c>
      <c r="O220" s="142">
        <f t="shared" ref="O220:Q220" si="222">H220*3600/(1*10^6)</f>
        <v>0</v>
      </c>
      <c r="P220" s="142">
        <f t="shared" si="222"/>
        <v>0</v>
      </c>
      <c r="Q220" s="142">
        <f t="shared" si="222"/>
        <v>3.234816</v>
      </c>
      <c r="R220" s="142">
        <f t="shared" si="12"/>
        <v>0</v>
      </c>
      <c r="T220">
        <f>Pumps!$F$18*D220/Pumps!$I$4/3600</f>
        <v>0</v>
      </c>
      <c r="U220">
        <f>IF('Design Specifications'!$C$30="y",Disinfection!G218*Disinfection!$N$3*(1*10^6)/3600,0)</f>
        <v>0</v>
      </c>
      <c r="V220">
        <f t="shared" si="13"/>
        <v>864</v>
      </c>
      <c r="W220">
        <f t="shared" si="18"/>
        <v>3.1104</v>
      </c>
      <c r="X220">
        <f t="shared" si="14"/>
        <v>3.1104</v>
      </c>
      <c r="Y220">
        <f t="shared" si="15"/>
        <v>0.4536</v>
      </c>
    </row>
    <row r="221">
      <c r="A221" s="78" t="s">
        <v>547</v>
      </c>
      <c r="B221" s="78">
        <v>0.0</v>
      </c>
      <c r="C221" s="78">
        <f t="shared" si="3"/>
        <v>0</v>
      </c>
      <c r="D221">
        <f t="shared" si="4"/>
        <v>0</v>
      </c>
      <c r="E221">
        <v>15.0</v>
      </c>
      <c r="F221">
        <f t="shared" si="5"/>
        <v>0</v>
      </c>
      <c r="G221">
        <f t="shared" si="6"/>
        <v>0</v>
      </c>
      <c r="H221">
        <f>C221*Pumps!$F$18/3600</f>
        <v>0</v>
      </c>
      <c r="I221">
        <f t="shared" si="7"/>
        <v>0</v>
      </c>
      <c r="J221">
        <f t="shared" si="8"/>
        <v>898.56</v>
      </c>
      <c r="K221">
        <f t="shared" si="22"/>
        <v>0</v>
      </c>
      <c r="M221" s="142">
        <f t="shared" si="9"/>
        <v>0</v>
      </c>
      <c r="N221" s="142">
        <f t="shared" si="10"/>
        <v>0</v>
      </c>
      <c r="O221" s="142">
        <f t="shared" ref="O221:Q221" si="223">H221*3600/(1*10^6)</f>
        <v>0</v>
      </c>
      <c r="P221" s="142">
        <f t="shared" si="223"/>
        <v>0</v>
      </c>
      <c r="Q221" s="142">
        <f t="shared" si="223"/>
        <v>3.234816</v>
      </c>
      <c r="R221" s="142">
        <f t="shared" si="12"/>
        <v>0</v>
      </c>
      <c r="T221">
        <f>Pumps!$F$18*D221/Pumps!$I$4/3600</f>
        <v>0</v>
      </c>
      <c r="U221">
        <f>IF('Design Specifications'!$C$30="y",Disinfection!G219*Disinfection!$N$3*(1*10^6)/3600,0)</f>
        <v>0</v>
      </c>
      <c r="V221">
        <f t="shared" si="13"/>
        <v>864</v>
      </c>
      <c r="W221">
        <f t="shared" si="18"/>
        <v>3.1104</v>
      </c>
      <c r="X221">
        <f t="shared" si="14"/>
        <v>3.1104</v>
      </c>
      <c r="Y221">
        <f t="shared" si="15"/>
        <v>0.4536</v>
      </c>
    </row>
    <row r="222">
      <c r="A222" s="78" t="s">
        <v>549</v>
      </c>
      <c r="B222" s="78">
        <v>0.0</v>
      </c>
      <c r="C222" s="78">
        <f t="shared" si="3"/>
        <v>0</v>
      </c>
      <c r="D222">
        <f t="shared" si="4"/>
        <v>0</v>
      </c>
      <c r="E222">
        <v>15.0</v>
      </c>
      <c r="F222">
        <f t="shared" si="5"/>
        <v>0</v>
      </c>
      <c r="G222">
        <f t="shared" si="6"/>
        <v>0</v>
      </c>
      <c r="H222">
        <f>C222*Pumps!$F$18/3600</f>
        <v>0</v>
      </c>
      <c r="I222">
        <f t="shared" si="7"/>
        <v>0</v>
      </c>
      <c r="J222">
        <f t="shared" si="8"/>
        <v>898.56</v>
      </c>
      <c r="K222">
        <f t="shared" si="22"/>
        <v>0</v>
      </c>
      <c r="M222" s="142">
        <f t="shared" si="9"/>
        <v>0</v>
      </c>
      <c r="N222" s="142">
        <f t="shared" si="10"/>
        <v>0</v>
      </c>
      <c r="O222" s="142">
        <f t="shared" ref="O222:Q222" si="224">H222*3600/(1*10^6)</f>
        <v>0</v>
      </c>
      <c r="P222" s="142">
        <f t="shared" si="224"/>
        <v>0</v>
      </c>
      <c r="Q222" s="142">
        <f t="shared" si="224"/>
        <v>3.234816</v>
      </c>
      <c r="R222" s="142">
        <f t="shared" si="12"/>
        <v>0</v>
      </c>
      <c r="T222">
        <f>Pumps!$F$18*D222/Pumps!$I$4/3600</f>
        <v>0</v>
      </c>
      <c r="U222">
        <f>IF('Design Specifications'!$C$30="y",Disinfection!G220*Disinfection!$N$3*(1*10^6)/3600,0)</f>
        <v>0</v>
      </c>
      <c r="V222">
        <f t="shared" si="13"/>
        <v>864</v>
      </c>
      <c r="W222">
        <f t="shared" si="18"/>
        <v>3.1104</v>
      </c>
      <c r="X222">
        <f t="shared" si="14"/>
        <v>3.1104</v>
      </c>
      <c r="Y222">
        <f t="shared" si="15"/>
        <v>0.4536</v>
      </c>
    </row>
    <row r="223">
      <c r="A223" s="78" t="s">
        <v>551</v>
      </c>
      <c r="B223" s="78">
        <v>0.0</v>
      </c>
      <c r="C223" s="78">
        <f t="shared" si="3"/>
        <v>0</v>
      </c>
      <c r="D223">
        <f t="shared" si="4"/>
        <v>0</v>
      </c>
      <c r="E223">
        <v>15.0</v>
      </c>
      <c r="F223">
        <f t="shared" si="5"/>
        <v>0</v>
      </c>
      <c r="G223">
        <f t="shared" si="6"/>
        <v>0</v>
      </c>
      <c r="H223">
        <f>C223*Pumps!$F$18/3600</f>
        <v>0</v>
      </c>
      <c r="I223">
        <f t="shared" si="7"/>
        <v>0</v>
      </c>
      <c r="J223">
        <f t="shared" si="8"/>
        <v>898.56</v>
      </c>
      <c r="K223">
        <f t="shared" si="22"/>
        <v>0</v>
      </c>
      <c r="M223" s="142">
        <f t="shared" si="9"/>
        <v>0</v>
      </c>
      <c r="N223" s="142">
        <f t="shared" si="10"/>
        <v>0</v>
      </c>
      <c r="O223" s="142">
        <f t="shared" ref="O223:Q223" si="225">H223*3600/(1*10^6)</f>
        <v>0</v>
      </c>
      <c r="P223" s="142">
        <f t="shared" si="225"/>
        <v>0</v>
      </c>
      <c r="Q223" s="142">
        <f t="shared" si="225"/>
        <v>3.234816</v>
      </c>
      <c r="R223" s="142">
        <f t="shared" si="12"/>
        <v>0</v>
      </c>
      <c r="T223">
        <f>Pumps!$F$18*D223/Pumps!$I$4/3600</f>
        <v>0</v>
      </c>
      <c r="U223">
        <f>IF('Design Specifications'!$C$30="y",Disinfection!G221*Disinfection!$N$3*(1*10^6)/3600,0)</f>
        <v>0</v>
      </c>
      <c r="V223">
        <f t="shared" si="13"/>
        <v>864</v>
      </c>
      <c r="W223">
        <f t="shared" si="18"/>
        <v>3.1104</v>
      </c>
      <c r="X223">
        <f t="shared" si="14"/>
        <v>3.1104</v>
      </c>
      <c r="Y223">
        <f t="shared" si="15"/>
        <v>0.4536</v>
      </c>
    </row>
    <row r="224">
      <c r="A224" s="78" t="s">
        <v>553</v>
      </c>
      <c r="B224" s="78">
        <v>0.0</v>
      </c>
      <c r="C224" s="78">
        <f t="shared" si="3"/>
        <v>0</v>
      </c>
      <c r="D224">
        <f t="shared" si="4"/>
        <v>0</v>
      </c>
      <c r="E224">
        <v>15.0</v>
      </c>
      <c r="F224">
        <f t="shared" si="5"/>
        <v>0</v>
      </c>
      <c r="G224">
        <f t="shared" si="6"/>
        <v>0</v>
      </c>
      <c r="H224">
        <f>C224*Pumps!$F$18/3600</f>
        <v>0</v>
      </c>
      <c r="I224">
        <f t="shared" si="7"/>
        <v>0</v>
      </c>
      <c r="J224">
        <f t="shared" si="8"/>
        <v>898.56</v>
      </c>
      <c r="K224">
        <f t="shared" si="22"/>
        <v>0</v>
      </c>
      <c r="M224" s="142">
        <f t="shared" si="9"/>
        <v>0</v>
      </c>
      <c r="N224" s="142">
        <f t="shared" si="10"/>
        <v>0</v>
      </c>
      <c r="O224" s="142">
        <f t="shared" ref="O224:Q224" si="226">H224*3600/(1*10^6)</f>
        <v>0</v>
      </c>
      <c r="P224" s="142">
        <f t="shared" si="226"/>
        <v>0</v>
      </c>
      <c r="Q224" s="142">
        <f t="shared" si="226"/>
        <v>3.234816</v>
      </c>
      <c r="R224" s="142">
        <f t="shared" si="12"/>
        <v>0</v>
      </c>
      <c r="T224">
        <f>Pumps!$F$18*D224/Pumps!$I$4/3600</f>
        <v>0</v>
      </c>
      <c r="U224">
        <f>IF('Design Specifications'!$C$30="y",Disinfection!G222*Disinfection!$N$3*(1*10^6)/3600,0)</f>
        <v>0</v>
      </c>
      <c r="V224">
        <f t="shared" si="13"/>
        <v>864</v>
      </c>
      <c r="W224">
        <f t="shared" si="18"/>
        <v>3.1104</v>
      </c>
      <c r="X224">
        <f t="shared" si="14"/>
        <v>3.1104</v>
      </c>
      <c r="Y224">
        <f t="shared" si="15"/>
        <v>0.4536</v>
      </c>
    </row>
    <row r="225">
      <c r="A225" s="78" t="s">
        <v>555</v>
      </c>
      <c r="B225" s="78">
        <v>0.0</v>
      </c>
      <c r="C225" s="78">
        <f t="shared" si="3"/>
        <v>0</v>
      </c>
      <c r="D225">
        <f t="shared" si="4"/>
        <v>0</v>
      </c>
      <c r="E225">
        <v>15.0</v>
      </c>
      <c r="F225">
        <f t="shared" si="5"/>
        <v>0</v>
      </c>
      <c r="G225">
        <f t="shared" si="6"/>
        <v>0</v>
      </c>
      <c r="H225">
        <f>C225*Pumps!$F$18/3600</f>
        <v>0</v>
      </c>
      <c r="I225">
        <f t="shared" si="7"/>
        <v>0</v>
      </c>
      <c r="J225">
        <f t="shared" si="8"/>
        <v>898.56</v>
      </c>
      <c r="K225">
        <f t="shared" si="22"/>
        <v>0</v>
      </c>
      <c r="M225" s="142">
        <f t="shared" si="9"/>
        <v>0</v>
      </c>
      <c r="N225" s="142">
        <f t="shared" si="10"/>
        <v>0</v>
      </c>
      <c r="O225" s="142">
        <f t="shared" ref="O225:Q225" si="227">H225*3600/(1*10^6)</f>
        <v>0</v>
      </c>
      <c r="P225" s="142">
        <f t="shared" si="227"/>
        <v>0</v>
      </c>
      <c r="Q225" s="142">
        <f t="shared" si="227"/>
        <v>3.234816</v>
      </c>
      <c r="R225" s="142">
        <f t="shared" si="12"/>
        <v>0</v>
      </c>
      <c r="T225">
        <f>Pumps!$F$18*D225/Pumps!$I$4/3600</f>
        <v>0</v>
      </c>
      <c r="U225">
        <f>IF('Design Specifications'!$C$30="y",Disinfection!G223*Disinfection!$N$3*(1*10^6)/3600,0)</f>
        <v>0</v>
      </c>
      <c r="V225">
        <f t="shared" si="13"/>
        <v>864</v>
      </c>
      <c r="W225">
        <f t="shared" si="18"/>
        <v>3.1104</v>
      </c>
      <c r="X225">
        <f t="shared" si="14"/>
        <v>3.1104</v>
      </c>
      <c r="Y225">
        <f t="shared" si="15"/>
        <v>0.4536</v>
      </c>
    </row>
    <row r="226">
      <c r="A226" s="78" t="s">
        <v>557</v>
      </c>
      <c r="B226" s="78">
        <v>0.0</v>
      </c>
      <c r="C226" s="78">
        <f t="shared" si="3"/>
        <v>0</v>
      </c>
      <c r="D226">
        <f t="shared" si="4"/>
        <v>0</v>
      </c>
      <c r="E226">
        <v>15.0</v>
      </c>
      <c r="F226">
        <f t="shared" si="5"/>
        <v>0</v>
      </c>
      <c r="G226">
        <f t="shared" si="6"/>
        <v>0</v>
      </c>
      <c r="H226">
        <f>C226*Pumps!$F$18/3600</f>
        <v>0</v>
      </c>
      <c r="I226">
        <f t="shared" si="7"/>
        <v>0</v>
      </c>
      <c r="J226">
        <f t="shared" si="8"/>
        <v>898.56</v>
      </c>
      <c r="K226">
        <f t="shared" si="22"/>
        <v>0</v>
      </c>
      <c r="M226" s="142">
        <f t="shared" si="9"/>
        <v>0</v>
      </c>
      <c r="N226" s="142">
        <f t="shared" si="10"/>
        <v>0</v>
      </c>
      <c r="O226" s="142">
        <f t="shared" ref="O226:Q226" si="228">H226*3600/(1*10^6)</f>
        <v>0</v>
      </c>
      <c r="P226" s="142">
        <f t="shared" si="228"/>
        <v>0</v>
      </c>
      <c r="Q226" s="142">
        <f t="shared" si="228"/>
        <v>3.234816</v>
      </c>
      <c r="R226" s="142">
        <f t="shared" si="12"/>
        <v>0</v>
      </c>
      <c r="T226">
        <f>Pumps!$F$18*D226/Pumps!$I$4/3600</f>
        <v>0</v>
      </c>
      <c r="U226">
        <f>IF('Design Specifications'!$C$30="y",Disinfection!G224*Disinfection!$N$3*(1*10^6)/3600,0)</f>
        <v>0</v>
      </c>
      <c r="V226">
        <f t="shared" si="13"/>
        <v>864</v>
      </c>
      <c r="W226">
        <f t="shared" si="18"/>
        <v>3.1104</v>
      </c>
      <c r="X226">
        <f t="shared" si="14"/>
        <v>3.1104</v>
      </c>
      <c r="Y226">
        <f t="shared" si="15"/>
        <v>0.4536</v>
      </c>
    </row>
    <row r="227">
      <c r="A227" s="78" t="s">
        <v>559</v>
      </c>
      <c r="B227" s="78">
        <v>0.0</v>
      </c>
      <c r="C227" s="78">
        <f t="shared" si="3"/>
        <v>0</v>
      </c>
      <c r="D227">
        <f t="shared" si="4"/>
        <v>0</v>
      </c>
      <c r="E227">
        <v>14.5</v>
      </c>
      <c r="F227">
        <f t="shared" si="5"/>
        <v>0</v>
      </c>
      <c r="G227">
        <f t="shared" si="6"/>
        <v>0</v>
      </c>
      <c r="H227">
        <f>C227*Pumps!$F$18/3600</f>
        <v>0</v>
      </c>
      <c r="I227">
        <f t="shared" si="7"/>
        <v>0</v>
      </c>
      <c r="J227">
        <f t="shared" si="8"/>
        <v>898.56</v>
      </c>
      <c r="K227">
        <f t="shared" si="22"/>
        <v>0</v>
      </c>
      <c r="M227" s="142">
        <f t="shared" si="9"/>
        <v>0</v>
      </c>
      <c r="N227" s="142">
        <f t="shared" si="10"/>
        <v>0</v>
      </c>
      <c r="O227" s="142">
        <f t="shared" ref="O227:Q227" si="229">H227*3600/(1*10^6)</f>
        <v>0</v>
      </c>
      <c r="P227" s="142">
        <f t="shared" si="229"/>
        <v>0</v>
      </c>
      <c r="Q227" s="142">
        <f t="shared" si="229"/>
        <v>3.234816</v>
      </c>
      <c r="R227" s="142">
        <f t="shared" si="12"/>
        <v>0</v>
      </c>
      <c r="T227">
        <f>Pumps!$F$18*D227/Pumps!$I$4/3600</f>
        <v>0</v>
      </c>
      <c r="U227">
        <f>IF('Design Specifications'!$C$30="y",Disinfection!G225*Disinfection!$N$3*(1*10^6)/3600,0)</f>
        <v>0</v>
      </c>
      <c r="V227">
        <f t="shared" si="13"/>
        <v>864</v>
      </c>
      <c r="W227">
        <f t="shared" si="18"/>
        <v>3.1104</v>
      </c>
      <c r="X227">
        <f t="shared" si="14"/>
        <v>3.1104</v>
      </c>
      <c r="Y227">
        <f t="shared" si="15"/>
        <v>0.4536</v>
      </c>
    </row>
    <row r="228">
      <c r="A228" s="78" t="s">
        <v>561</v>
      </c>
      <c r="B228" s="78">
        <v>0.0</v>
      </c>
      <c r="C228" s="78">
        <f t="shared" si="3"/>
        <v>0</v>
      </c>
      <c r="D228">
        <f t="shared" si="4"/>
        <v>0</v>
      </c>
      <c r="E228">
        <v>14.5</v>
      </c>
      <c r="F228">
        <f t="shared" si="5"/>
        <v>0</v>
      </c>
      <c r="G228">
        <f t="shared" si="6"/>
        <v>0</v>
      </c>
      <c r="H228">
        <f>C228*Pumps!$F$18/3600</f>
        <v>0</v>
      </c>
      <c r="I228">
        <f t="shared" si="7"/>
        <v>0</v>
      </c>
      <c r="J228">
        <f t="shared" si="8"/>
        <v>898.56</v>
      </c>
      <c r="K228">
        <f t="shared" si="22"/>
        <v>0</v>
      </c>
      <c r="M228" s="142">
        <f t="shared" si="9"/>
        <v>0</v>
      </c>
      <c r="N228" s="142">
        <f t="shared" si="10"/>
        <v>0</v>
      </c>
      <c r="O228" s="142">
        <f t="shared" ref="O228:Q228" si="230">H228*3600/(1*10^6)</f>
        <v>0</v>
      </c>
      <c r="P228" s="142">
        <f t="shared" si="230"/>
        <v>0</v>
      </c>
      <c r="Q228" s="142">
        <f t="shared" si="230"/>
        <v>3.234816</v>
      </c>
      <c r="R228" s="142">
        <f t="shared" si="12"/>
        <v>0</v>
      </c>
      <c r="T228">
        <f>Pumps!$F$18*D228/Pumps!$I$4/3600</f>
        <v>0</v>
      </c>
      <c r="U228">
        <f>IF('Design Specifications'!$C$30="y",Disinfection!G226*Disinfection!$N$3*(1*10^6)/3600,0)</f>
        <v>0</v>
      </c>
      <c r="V228">
        <f t="shared" si="13"/>
        <v>864</v>
      </c>
      <c r="W228">
        <f t="shared" si="18"/>
        <v>3.1104</v>
      </c>
      <c r="X228">
        <f t="shared" si="14"/>
        <v>3.1104</v>
      </c>
      <c r="Y228">
        <f t="shared" si="15"/>
        <v>0.4536</v>
      </c>
    </row>
    <row r="229">
      <c r="A229" s="78" t="s">
        <v>563</v>
      </c>
      <c r="B229" s="78">
        <v>0.0</v>
      </c>
      <c r="C229" s="78">
        <f t="shared" si="3"/>
        <v>0</v>
      </c>
      <c r="D229">
        <f t="shared" si="4"/>
        <v>0</v>
      </c>
      <c r="E229">
        <v>14.5</v>
      </c>
      <c r="F229">
        <f t="shared" si="5"/>
        <v>0</v>
      </c>
      <c r="G229">
        <f t="shared" si="6"/>
        <v>0</v>
      </c>
      <c r="H229">
        <f>C229*Pumps!$F$18/3600</f>
        <v>0</v>
      </c>
      <c r="I229">
        <f t="shared" si="7"/>
        <v>0</v>
      </c>
      <c r="J229">
        <f t="shared" si="8"/>
        <v>898.56</v>
      </c>
      <c r="K229">
        <f t="shared" si="22"/>
        <v>0</v>
      </c>
      <c r="M229" s="142">
        <f t="shared" si="9"/>
        <v>0</v>
      </c>
      <c r="N229" s="142">
        <f t="shared" si="10"/>
        <v>0</v>
      </c>
      <c r="O229" s="142">
        <f t="shared" ref="O229:Q229" si="231">H229*3600/(1*10^6)</f>
        <v>0</v>
      </c>
      <c r="P229" s="142">
        <f t="shared" si="231"/>
        <v>0</v>
      </c>
      <c r="Q229" s="142">
        <f t="shared" si="231"/>
        <v>3.234816</v>
      </c>
      <c r="R229" s="142">
        <f t="shared" si="12"/>
        <v>0</v>
      </c>
      <c r="T229">
        <f>Pumps!$F$18*D229/Pumps!$I$4/3600</f>
        <v>0</v>
      </c>
      <c r="U229">
        <f>IF('Design Specifications'!$C$30="y",Disinfection!G227*Disinfection!$N$3*(1*10^6)/3600,0)</f>
        <v>0</v>
      </c>
      <c r="V229">
        <f t="shared" si="13"/>
        <v>864</v>
      </c>
      <c r="W229">
        <f t="shared" si="18"/>
        <v>3.1104</v>
      </c>
      <c r="X229">
        <f t="shared" si="14"/>
        <v>3.1104</v>
      </c>
      <c r="Y229">
        <f t="shared" si="15"/>
        <v>0.4536</v>
      </c>
    </row>
    <row r="230">
      <c r="A230" s="78" t="s">
        <v>565</v>
      </c>
      <c r="B230" s="78">
        <v>0.0</v>
      </c>
      <c r="C230" s="78">
        <f t="shared" si="3"/>
        <v>0</v>
      </c>
      <c r="D230">
        <f t="shared" si="4"/>
        <v>0</v>
      </c>
      <c r="E230">
        <v>14.5</v>
      </c>
      <c r="F230">
        <f t="shared" si="5"/>
        <v>0</v>
      </c>
      <c r="G230">
        <f t="shared" si="6"/>
        <v>0</v>
      </c>
      <c r="H230">
        <f>C230*Pumps!$F$18/3600</f>
        <v>0</v>
      </c>
      <c r="I230">
        <f t="shared" si="7"/>
        <v>0</v>
      </c>
      <c r="J230">
        <f t="shared" si="8"/>
        <v>898.56</v>
      </c>
      <c r="K230">
        <f t="shared" si="22"/>
        <v>0</v>
      </c>
      <c r="M230" s="142">
        <f t="shared" si="9"/>
        <v>0</v>
      </c>
      <c r="N230" s="142">
        <f t="shared" si="10"/>
        <v>0</v>
      </c>
      <c r="O230" s="142">
        <f t="shared" ref="O230:Q230" si="232">H230*3600/(1*10^6)</f>
        <v>0</v>
      </c>
      <c r="P230" s="142">
        <f t="shared" si="232"/>
        <v>0</v>
      </c>
      <c r="Q230" s="142">
        <f t="shared" si="232"/>
        <v>3.234816</v>
      </c>
      <c r="R230" s="142">
        <f t="shared" si="12"/>
        <v>0</v>
      </c>
      <c r="T230">
        <f>Pumps!$F$18*D230/Pumps!$I$4/3600</f>
        <v>0</v>
      </c>
      <c r="U230">
        <f>IF('Design Specifications'!$C$30="y",Disinfection!G228*Disinfection!$N$3*(1*10^6)/3600,0)</f>
        <v>0</v>
      </c>
      <c r="V230">
        <f t="shared" si="13"/>
        <v>864</v>
      </c>
      <c r="W230">
        <f t="shared" si="18"/>
        <v>3.1104</v>
      </c>
      <c r="X230">
        <f t="shared" si="14"/>
        <v>3.1104</v>
      </c>
      <c r="Y230">
        <f t="shared" si="15"/>
        <v>0.4536</v>
      </c>
    </row>
    <row r="231">
      <c r="A231" s="78" t="s">
        <v>567</v>
      </c>
      <c r="B231" s="78">
        <v>0.0</v>
      </c>
      <c r="C231" s="78">
        <f t="shared" si="3"/>
        <v>0</v>
      </c>
      <c r="D231">
        <f t="shared" si="4"/>
        <v>0</v>
      </c>
      <c r="E231">
        <v>14.5</v>
      </c>
      <c r="F231">
        <f t="shared" si="5"/>
        <v>0</v>
      </c>
      <c r="G231">
        <f t="shared" si="6"/>
        <v>0</v>
      </c>
      <c r="H231">
        <f>C231*Pumps!$F$18/3600</f>
        <v>0</v>
      </c>
      <c r="I231">
        <f t="shared" si="7"/>
        <v>0</v>
      </c>
      <c r="J231">
        <f t="shared" si="8"/>
        <v>898.56</v>
      </c>
      <c r="K231">
        <f t="shared" si="22"/>
        <v>0</v>
      </c>
      <c r="M231" s="142">
        <f t="shared" si="9"/>
        <v>0</v>
      </c>
      <c r="N231" s="142">
        <f t="shared" si="10"/>
        <v>0</v>
      </c>
      <c r="O231" s="142">
        <f t="shared" ref="O231:Q231" si="233">H231*3600/(1*10^6)</f>
        <v>0</v>
      </c>
      <c r="P231" s="142">
        <f t="shared" si="233"/>
        <v>0</v>
      </c>
      <c r="Q231" s="142">
        <f t="shared" si="233"/>
        <v>3.234816</v>
      </c>
      <c r="R231" s="142">
        <f t="shared" si="12"/>
        <v>0</v>
      </c>
      <c r="T231">
        <f>Pumps!$F$18*D231/Pumps!$I$4/3600</f>
        <v>0</v>
      </c>
      <c r="U231">
        <f>IF('Design Specifications'!$C$30="y",Disinfection!G229*Disinfection!$N$3*(1*10^6)/3600,0)</f>
        <v>0</v>
      </c>
      <c r="V231">
        <f t="shared" si="13"/>
        <v>864</v>
      </c>
      <c r="W231">
        <f t="shared" si="18"/>
        <v>3.1104</v>
      </c>
      <c r="X231">
        <f t="shared" si="14"/>
        <v>3.1104</v>
      </c>
      <c r="Y231">
        <f t="shared" si="15"/>
        <v>0.4536</v>
      </c>
    </row>
    <row r="232">
      <c r="A232" s="78" t="s">
        <v>569</v>
      </c>
      <c r="B232" s="78">
        <v>0.0</v>
      </c>
      <c r="C232" s="78">
        <f t="shared" si="3"/>
        <v>0</v>
      </c>
      <c r="D232">
        <f t="shared" si="4"/>
        <v>0</v>
      </c>
      <c r="E232">
        <v>14.5</v>
      </c>
      <c r="F232">
        <f t="shared" si="5"/>
        <v>0</v>
      </c>
      <c r="G232">
        <f t="shared" si="6"/>
        <v>0</v>
      </c>
      <c r="H232">
        <f>C232*Pumps!$F$18/3600</f>
        <v>0</v>
      </c>
      <c r="I232">
        <f t="shared" si="7"/>
        <v>0</v>
      </c>
      <c r="J232">
        <f t="shared" si="8"/>
        <v>898.56</v>
      </c>
      <c r="K232">
        <f t="shared" si="22"/>
        <v>0</v>
      </c>
      <c r="M232" s="142">
        <f t="shared" si="9"/>
        <v>0</v>
      </c>
      <c r="N232" s="142">
        <f t="shared" si="10"/>
        <v>0</v>
      </c>
      <c r="O232" s="142">
        <f t="shared" ref="O232:Q232" si="234">H232*3600/(1*10^6)</f>
        <v>0</v>
      </c>
      <c r="P232" s="142">
        <f t="shared" si="234"/>
        <v>0</v>
      </c>
      <c r="Q232" s="142">
        <f t="shared" si="234"/>
        <v>3.234816</v>
      </c>
      <c r="R232" s="142">
        <f t="shared" si="12"/>
        <v>0</v>
      </c>
      <c r="T232">
        <f>Pumps!$F$18*D232/Pumps!$I$4/3600</f>
        <v>0</v>
      </c>
      <c r="U232">
        <f>IF('Design Specifications'!$C$30="y",Disinfection!G230*Disinfection!$N$3*(1*10^6)/3600,0)</f>
        <v>0</v>
      </c>
      <c r="V232">
        <f t="shared" si="13"/>
        <v>864</v>
      </c>
      <c r="W232">
        <f t="shared" si="18"/>
        <v>3.1104</v>
      </c>
      <c r="X232">
        <f t="shared" si="14"/>
        <v>3.1104</v>
      </c>
      <c r="Y232">
        <f t="shared" si="15"/>
        <v>0.4536</v>
      </c>
    </row>
    <row r="233">
      <c r="A233" s="78" t="s">
        <v>571</v>
      </c>
      <c r="B233" s="78">
        <v>0.0</v>
      </c>
      <c r="C233" s="78">
        <f t="shared" si="3"/>
        <v>0</v>
      </c>
      <c r="D233">
        <f t="shared" si="4"/>
        <v>0</v>
      </c>
      <c r="E233">
        <v>14.5</v>
      </c>
      <c r="F233">
        <f t="shared" si="5"/>
        <v>0</v>
      </c>
      <c r="G233">
        <f t="shared" si="6"/>
        <v>0</v>
      </c>
      <c r="H233">
        <f>C233*Pumps!$F$18/3600</f>
        <v>0</v>
      </c>
      <c r="I233">
        <f t="shared" si="7"/>
        <v>0</v>
      </c>
      <c r="J233">
        <f t="shared" si="8"/>
        <v>898.56</v>
      </c>
      <c r="K233">
        <f t="shared" si="22"/>
        <v>0</v>
      </c>
      <c r="M233" s="142">
        <f t="shared" si="9"/>
        <v>0</v>
      </c>
      <c r="N233" s="142">
        <f t="shared" si="10"/>
        <v>0</v>
      </c>
      <c r="O233" s="142">
        <f t="shared" ref="O233:Q233" si="235">H233*3600/(1*10^6)</f>
        <v>0</v>
      </c>
      <c r="P233" s="142">
        <f t="shared" si="235"/>
        <v>0</v>
      </c>
      <c r="Q233" s="142">
        <f t="shared" si="235"/>
        <v>3.234816</v>
      </c>
      <c r="R233" s="142">
        <f t="shared" si="12"/>
        <v>0</v>
      </c>
      <c r="T233">
        <f>Pumps!$F$18*D233/Pumps!$I$4/3600</f>
        <v>0</v>
      </c>
      <c r="U233">
        <f>IF('Design Specifications'!$C$30="y",Disinfection!G231*Disinfection!$N$3*(1*10^6)/3600,0)</f>
        <v>0</v>
      </c>
      <c r="V233">
        <f t="shared" si="13"/>
        <v>864</v>
      </c>
      <c r="W233">
        <f t="shared" si="18"/>
        <v>3.1104</v>
      </c>
      <c r="X233">
        <f t="shared" si="14"/>
        <v>3.1104</v>
      </c>
      <c r="Y233">
        <f t="shared" si="15"/>
        <v>0.4536</v>
      </c>
    </row>
    <row r="234">
      <c r="A234" s="78" t="s">
        <v>573</v>
      </c>
      <c r="B234" s="78">
        <v>0.0</v>
      </c>
      <c r="C234" s="78">
        <f t="shared" si="3"/>
        <v>0</v>
      </c>
      <c r="D234">
        <f t="shared" si="4"/>
        <v>0</v>
      </c>
      <c r="E234">
        <v>14.5</v>
      </c>
      <c r="F234">
        <f t="shared" si="5"/>
        <v>0</v>
      </c>
      <c r="G234">
        <f t="shared" si="6"/>
        <v>0</v>
      </c>
      <c r="H234">
        <f>C234*Pumps!$F$18/3600</f>
        <v>0</v>
      </c>
      <c r="I234">
        <f t="shared" si="7"/>
        <v>0</v>
      </c>
      <c r="J234">
        <f t="shared" si="8"/>
        <v>898.56</v>
      </c>
      <c r="K234">
        <f t="shared" si="22"/>
        <v>0</v>
      </c>
      <c r="M234" s="142">
        <f t="shared" si="9"/>
        <v>0</v>
      </c>
      <c r="N234" s="142">
        <f t="shared" si="10"/>
        <v>0</v>
      </c>
      <c r="O234" s="142">
        <f t="shared" ref="O234:Q234" si="236">H234*3600/(1*10^6)</f>
        <v>0</v>
      </c>
      <c r="P234" s="142">
        <f t="shared" si="236"/>
        <v>0</v>
      </c>
      <c r="Q234" s="142">
        <f t="shared" si="236"/>
        <v>3.234816</v>
      </c>
      <c r="R234" s="142">
        <f t="shared" si="12"/>
        <v>0</v>
      </c>
      <c r="T234">
        <f>Pumps!$F$18*D234/Pumps!$I$4/3600</f>
        <v>0</v>
      </c>
      <c r="U234">
        <f>IF('Design Specifications'!$C$30="y",Disinfection!G232*Disinfection!$N$3*(1*10^6)/3600,0)</f>
        <v>0</v>
      </c>
      <c r="V234">
        <f t="shared" si="13"/>
        <v>864</v>
      </c>
      <c r="W234">
        <f t="shared" si="18"/>
        <v>3.1104</v>
      </c>
      <c r="X234">
        <f t="shared" si="14"/>
        <v>3.1104</v>
      </c>
      <c r="Y234">
        <f t="shared" si="15"/>
        <v>0.4536</v>
      </c>
    </row>
    <row r="235">
      <c r="A235" s="78" t="s">
        <v>575</v>
      </c>
      <c r="B235" s="78">
        <v>0.0</v>
      </c>
      <c r="C235" s="78">
        <f t="shared" si="3"/>
        <v>0</v>
      </c>
      <c r="D235">
        <f t="shared" si="4"/>
        <v>0</v>
      </c>
      <c r="E235">
        <v>14.5</v>
      </c>
      <c r="F235">
        <f t="shared" si="5"/>
        <v>0</v>
      </c>
      <c r="G235">
        <f t="shared" si="6"/>
        <v>0</v>
      </c>
      <c r="H235">
        <f>C235*Pumps!$F$18/3600</f>
        <v>0</v>
      </c>
      <c r="I235">
        <f t="shared" si="7"/>
        <v>0</v>
      </c>
      <c r="J235">
        <f t="shared" si="8"/>
        <v>898.56</v>
      </c>
      <c r="K235">
        <f t="shared" si="22"/>
        <v>0</v>
      </c>
      <c r="M235" s="142">
        <f t="shared" si="9"/>
        <v>0</v>
      </c>
      <c r="N235" s="142">
        <f t="shared" si="10"/>
        <v>0</v>
      </c>
      <c r="O235" s="142">
        <f t="shared" ref="O235:Q235" si="237">H235*3600/(1*10^6)</f>
        <v>0</v>
      </c>
      <c r="P235" s="142">
        <f t="shared" si="237"/>
        <v>0</v>
      </c>
      <c r="Q235" s="142">
        <f t="shared" si="237"/>
        <v>3.234816</v>
      </c>
      <c r="R235" s="142">
        <f t="shared" si="12"/>
        <v>0</v>
      </c>
      <c r="T235">
        <f>Pumps!$F$18*D235/Pumps!$I$4/3600</f>
        <v>0</v>
      </c>
      <c r="U235">
        <f>IF('Design Specifications'!$C$30="y",Disinfection!G233*Disinfection!$N$3*(1*10^6)/3600,0)</f>
        <v>0</v>
      </c>
      <c r="V235">
        <f t="shared" si="13"/>
        <v>864</v>
      </c>
      <c r="W235">
        <f t="shared" si="18"/>
        <v>3.1104</v>
      </c>
      <c r="X235">
        <f t="shared" si="14"/>
        <v>3.1104</v>
      </c>
      <c r="Y235">
        <f t="shared" si="15"/>
        <v>0.4536</v>
      </c>
    </row>
    <row r="236">
      <c r="A236" s="78" t="s">
        <v>577</v>
      </c>
      <c r="B236" s="78">
        <v>0.0</v>
      </c>
      <c r="C236" s="78">
        <f t="shared" si="3"/>
        <v>0</v>
      </c>
      <c r="D236">
        <f t="shared" si="4"/>
        <v>0</v>
      </c>
      <c r="E236">
        <v>14.5</v>
      </c>
      <c r="F236">
        <f t="shared" si="5"/>
        <v>0</v>
      </c>
      <c r="G236">
        <f t="shared" si="6"/>
        <v>0</v>
      </c>
      <c r="H236">
        <f>C236*Pumps!$F$18/3600</f>
        <v>0</v>
      </c>
      <c r="I236">
        <f t="shared" si="7"/>
        <v>0</v>
      </c>
      <c r="J236">
        <f t="shared" si="8"/>
        <v>898.56</v>
      </c>
      <c r="K236">
        <f t="shared" si="22"/>
        <v>0</v>
      </c>
      <c r="M236" s="142">
        <f t="shared" si="9"/>
        <v>0</v>
      </c>
      <c r="N236" s="142">
        <f t="shared" si="10"/>
        <v>0</v>
      </c>
      <c r="O236" s="142">
        <f t="shared" ref="O236:Q236" si="238">H236*3600/(1*10^6)</f>
        <v>0</v>
      </c>
      <c r="P236" s="142">
        <f t="shared" si="238"/>
        <v>0</v>
      </c>
      <c r="Q236" s="142">
        <f t="shared" si="238"/>
        <v>3.234816</v>
      </c>
      <c r="R236" s="142">
        <f t="shared" si="12"/>
        <v>0</v>
      </c>
      <c r="T236">
        <f>Pumps!$F$18*D236/Pumps!$I$4/3600</f>
        <v>0</v>
      </c>
      <c r="U236">
        <f>IF('Design Specifications'!$C$30="y",Disinfection!G234*Disinfection!$N$3*(1*10^6)/3600,0)</f>
        <v>0</v>
      </c>
      <c r="V236">
        <f t="shared" si="13"/>
        <v>864</v>
      </c>
      <c r="W236">
        <f t="shared" si="18"/>
        <v>3.1104</v>
      </c>
      <c r="X236">
        <f t="shared" si="14"/>
        <v>3.1104</v>
      </c>
      <c r="Y236">
        <f t="shared" si="15"/>
        <v>0.4536</v>
      </c>
    </row>
    <row r="237">
      <c r="A237" s="78" t="s">
        <v>579</v>
      </c>
      <c r="B237" s="78">
        <v>0.0</v>
      </c>
      <c r="C237" s="78">
        <f t="shared" si="3"/>
        <v>0</v>
      </c>
      <c r="D237">
        <f t="shared" si="4"/>
        <v>0</v>
      </c>
      <c r="E237">
        <v>14.5</v>
      </c>
      <c r="F237">
        <f t="shared" si="5"/>
        <v>0</v>
      </c>
      <c r="G237">
        <f t="shared" si="6"/>
        <v>0</v>
      </c>
      <c r="H237">
        <f>C237*Pumps!$F$18/3600</f>
        <v>0</v>
      </c>
      <c r="I237">
        <f t="shared" si="7"/>
        <v>0</v>
      </c>
      <c r="J237">
        <f t="shared" si="8"/>
        <v>898.56</v>
      </c>
      <c r="K237">
        <f t="shared" si="22"/>
        <v>0</v>
      </c>
      <c r="M237" s="142">
        <f t="shared" si="9"/>
        <v>0</v>
      </c>
      <c r="N237" s="142">
        <f t="shared" si="10"/>
        <v>0</v>
      </c>
      <c r="O237" s="142">
        <f t="shared" ref="O237:Q237" si="239">H237*3600/(1*10^6)</f>
        <v>0</v>
      </c>
      <c r="P237" s="142">
        <f t="shared" si="239"/>
        <v>0</v>
      </c>
      <c r="Q237" s="142">
        <f t="shared" si="239"/>
        <v>3.234816</v>
      </c>
      <c r="R237" s="142">
        <f t="shared" si="12"/>
        <v>0</v>
      </c>
      <c r="T237">
        <f>Pumps!$F$18*D237/Pumps!$I$4/3600</f>
        <v>0</v>
      </c>
      <c r="U237">
        <f>IF('Design Specifications'!$C$30="y",Disinfection!G235*Disinfection!$N$3*(1*10^6)/3600,0)</f>
        <v>0</v>
      </c>
      <c r="V237">
        <f t="shared" si="13"/>
        <v>864</v>
      </c>
      <c r="W237">
        <f t="shared" si="18"/>
        <v>3.1104</v>
      </c>
      <c r="X237">
        <f t="shared" si="14"/>
        <v>3.1104</v>
      </c>
      <c r="Y237">
        <f t="shared" si="15"/>
        <v>0.4536</v>
      </c>
    </row>
    <row r="238">
      <c r="A238" s="78" t="s">
        <v>581</v>
      </c>
      <c r="B238" s="78">
        <v>0.0</v>
      </c>
      <c r="C238" s="78">
        <f t="shared" si="3"/>
        <v>0</v>
      </c>
      <c r="D238">
        <f t="shared" si="4"/>
        <v>0</v>
      </c>
      <c r="E238">
        <v>14.5</v>
      </c>
      <c r="F238">
        <f t="shared" si="5"/>
        <v>0</v>
      </c>
      <c r="G238">
        <f t="shared" si="6"/>
        <v>0</v>
      </c>
      <c r="H238">
        <f>C238*Pumps!$F$18/3600</f>
        <v>0</v>
      </c>
      <c r="I238">
        <f t="shared" si="7"/>
        <v>0</v>
      </c>
      <c r="J238">
        <f t="shared" si="8"/>
        <v>898.56</v>
      </c>
      <c r="K238">
        <f t="shared" si="22"/>
        <v>0</v>
      </c>
      <c r="M238" s="142">
        <f t="shared" si="9"/>
        <v>0</v>
      </c>
      <c r="N238" s="142">
        <f t="shared" si="10"/>
        <v>0</v>
      </c>
      <c r="O238" s="142">
        <f t="shared" ref="O238:Q238" si="240">H238*3600/(1*10^6)</f>
        <v>0</v>
      </c>
      <c r="P238" s="142">
        <f t="shared" si="240"/>
        <v>0</v>
      </c>
      <c r="Q238" s="142">
        <f t="shared" si="240"/>
        <v>3.234816</v>
      </c>
      <c r="R238" s="142">
        <f t="shared" si="12"/>
        <v>0</v>
      </c>
      <c r="T238">
        <f>Pumps!$F$18*D238/Pumps!$I$4/3600</f>
        <v>0</v>
      </c>
      <c r="U238">
        <f>IF('Design Specifications'!$C$30="y",Disinfection!G236*Disinfection!$N$3*(1*10^6)/3600,0)</f>
        <v>0</v>
      </c>
      <c r="V238">
        <f t="shared" si="13"/>
        <v>864</v>
      </c>
      <c r="W238">
        <f t="shared" si="18"/>
        <v>3.1104</v>
      </c>
      <c r="X238">
        <f t="shared" si="14"/>
        <v>3.1104</v>
      </c>
      <c r="Y238">
        <f t="shared" si="15"/>
        <v>0.4536</v>
      </c>
    </row>
    <row r="239">
      <c r="A239" s="78" t="s">
        <v>583</v>
      </c>
      <c r="B239" s="78">
        <v>0.0</v>
      </c>
      <c r="C239" s="78">
        <f t="shared" si="3"/>
        <v>0</v>
      </c>
      <c r="D239">
        <f t="shared" si="4"/>
        <v>0</v>
      </c>
      <c r="E239">
        <v>14.5</v>
      </c>
      <c r="F239">
        <f t="shared" si="5"/>
        <v>0</v>
      </c>
      <c r="G239">
        <f t="shared" si="6"/>
        <v>0</v>
      </c>
      <c r="H239">
        <f>C239*Pumps!$F$18/3600</f>
        <v>0</v>
      </c>
      <c r="I239">
        <f t="shared" si="7"/>
        <v>0</v>
      </c>
      <c r="J239">
        <f t="shared" si="8"/>
        <v>898.56</v>
      </c>
      <c r="K239">
        <f t="shared" si="22"/>
        <v>0</v>
      </c>
      <c r="M239" s="142">
        <f t="shared" si="9"/>
        <v>0</v>
      </c>
      <c r="N239" s="142">
        <f t="shared" si="10"/>
        <v>0</v>
      </c>
      <c r="O239" s="142">
        <f t="shared" ref="O239:Q239" si="241">H239*3600/(1*10^6)</f>
        <v>0</v>
      </c>
      <c r="P239" s="142">
        <f t="shared" si="241"/>
        <v>0</v>
      </c>
      <c r="Q239" s="142">
        <f t="shared" si="241"/>
        <v>3.234816</v>
      </c>
      <c r="R239" s="142">
        <f t="shared" si="12"/>
        <v>0</v>
      </c>
      <c r="T239">
        <f>Pumps!$F$18*D239/Pumps!$I$4/3600</f>
        <v>0</v>
      </c>
      <c r="U239">
        <f>IF('Design Specifications'!$C$30="y",Disinfection!G237*Disinfection!$N$3*(1*10^6)/3600,0)</f>
        <v>0</v>
      </c>
      <c r="V239">
        <f t="shared" si="13"/>
        <v>864</v>
      </c>
      <c r="W239">
        <f t="shared" si="18"/>
        <v>3.1104</v>
      </c>
      <c r="X239">
        <f t="shared" si="14"/>
        <v>3.1104</v>
      </c>
      <c r="Y239">
        <f t="shared" si="15"/>
        <v>0.4536</v>
      </c>
    </row>
    <row r="240">
      <c r="A240" s="78" t="s">
        <v>585</v>
      </c>
      <c r="B240" s="78">
        <v>0.0</v>
      </c>
      <c r="C240" s="78">
        <f t="shared" si="3"/>
        <v>0</v>
      </c>
      <c r="D240">
        <f t="shared" si="4"/>
        <v>0</v>
      </c>
      <c r="E240">
        <v>14.5</v>
      </c>
      <c r="F240">
        <f t="shared" si="5"/>
        <v>0</v>
      </c>
      <c r="G240">
        <f t="shared" si="6"/>
        <v>0</v>
      </c>
      <c r="H240">
        <f>C240*Pumps!$F$18/3600</f>
        <v>0</v>
      </c>
      <c r="I240">
        <f t="shared" si="7"/>
        <v>0</v>
      </c>
      <c r="J240">
        <f t="shared" si="8"/>
        <v>898.56</v>
      </c>
      <c r="K240">
        <f t="shared" si="22"/>
        <v>0</v>
      </c>
      <c r="M240" s="142">
        <f t="shared" si="9"/>
        <v>0</v>
      </c>
      <c r="N240" s="142">
        <f t="shared" si="10"/>
        <v>0</v>
      </c>
      <c r="O240" s="142">
        <f t="shared" ref="O240:Q240" si="242">H240*3600/(1*10^6)</f>
        <v>0</v>
      </c>
      <c r="P240" s="142">
        <f t="shared" si="242"/>
        <v>0</v>
      </c>
      <c r="Q240" s="142">
        <f t="shared" si="242"/>
        <v>3.234816</v>
      </c>
      <c r="R240" s="142">
        <f t="shared" si="12"/>
        <v>0</v>
      </c>
      <c r="T240">
        <f>Pumps!$F$18*D240/Pumps!$I$4/3600</f>
        <v>0</v>
      </c>
      <c r="U240">
        <f>IF('Design Specifications'!$C$30="y",Disinfection!G238*Disinfection!$N$3*(1*10^6)/3600,0)</f>
        <v>0</v>
      </c>
      <c r="V240">
        <f t="shared" si="13"/>
        <v>864</v>
      </c>
      <c r="W240">
        <f t="shared" si="18"/>
        <v>3.1104</v>
      </c>
      <c r="X240">
        <f t="shared" si="14"/>
        <v>3.1104</v>
      </c>
      <c r="Y240">
        <f t="shared" si="15"/>
        <v>0.4536</v>
      </c>
    </row>
    <row r="241">
      <c r="A241" s="78" t="s">
        <v>587</v>
      </c>
      <c r="B241" s="78">
        <v>0.0</v>
      </c>
      <c r="C241" s="78">
        <f t="shared" si="3"/>
        <v>0</v>
      </c>
      <c r="D241">
        <f t="shared" si="4"/>
        <v>0</v>
      </c>
      <c r="E241">
        <v>14.5</v>
      </c>
      <c r="F241">
        <f t="shared" si="5"/>
        <v>0</v>
      </c>
      <c r="G241">
        <f t="shared" si="6"/>
        <v>0</v>
      </c>
      <c r="H241">
        <f>C241*Pumps!$F$18/3600</f>
        <v>0</v>
      </c>
      <c r="I241">
        <f t="shared" si="7"/>
        <v>0</v>
      </c>
      <c r="J241">
        <f t="shared" si="8"/>
        <v>898.56</v>
      </c>
      <c r="K241">
        <f t="shared" si="22"/>
        <v>0</v>
      </c>
      <c r="M241" s="142">
        <f t="shared" si="9"/>
        <v>0</v>
      </c>
      <c r="N241" s="142">
        <f t="shared" si="10"/>
        <v>0</v>
      </c>
      <c r="O241" s="142">
        <f t="shared" ref="O241:Q241" si="243">H241*3600/(1*10^6)</f>
        <v>0</v>
      </c>
      <c r="P241" s="142">
        <f t="shared" si="243"/>
        <v>0</v>
      </c>
      <c r="Q241" s="142">
        <f t="shared" si="243"/>
        <v>3.234816</v>
      </c>
      <c r="R241" s="142">
        <f t="shared" si="12"/>
        <v>0</v>
      </c>
      <c r="T241">
        <f>Pumps!$F$18*D241/Pumps!$I$4/3600</f>
        <v>0</v>
      </c>
      <c r="U241">
        <f>IF('Design Specifications'!$C$30="y",Disinfection!G239*Disinfection!$N$3*(1*10^6)/3600,0)</f>
        <v>0</v>
      </c>
      <c r="V241">
        <f t="shared" si="13"/>
        <v>864</v>
      </c>
      <c r="W241">
        <f t="shared" si="18"/>
        <v>3.1104</v>
      </c>
      <c r="X241">
        <f t="shared" si="14"/>
        <v>3.1104</v>
      </c>
      <c r="Y241">
        <f t="shared" si="15"/>
        <v>0.4536</v>
      </c>
    </row>
    <row r="242">
      <c r="A242" s="78" t="s">
        <v>589</v>
      </c>
      <c r="B242" s="78">
        <v>0.0</v>
      </c>
      <c r="C242" s="78">
        <f t="shared" si="3"/>
        <v>0</v>
      </c>
      <c r="D242">
        <f t="shared" si="4"/>
        <v>0</v>
      </c>
      <c r="E242">
        <v>14.5</v>
      </c>
      <c r="F242">
        <f t="shared" si="5"/>
        <v>0</v>
      </c>
      <c r="G242">
        <f t="shared" si="6"/>
        <v>0</v>
      </c>
      <c r="H242">
        <f>C242*Pumps!$F$18/3600</f>
        <v>0</v>
      </c>
      <c r="I242">
        <f t="shared" si="7"/>
        <v>0</v>
      </c>
      <c r="J242">
        <f t="shared" si="8"/>
        <v>898.56</v>
      </c>
      <c r="K242">
        <f t="shared" si="22"/>
        <v>0</v>
      </c>
      <c r="M242" s="142">
        <f t="shared" si="9"/>
        <v>0</v>
      </c>
      <c r="N242" s="142">
        <f t="shared" si="10"/>
        <v>0</v>
      </c>
      <c r="O242" s="142">
        <f t="shared" ref="O242:Q242" si="244">H242*3600/(1*10^6)</f>
        <v>0</v>
      </c>
      <c r="P242" s="142">
        <f t="shared" si="244"/>
        <v>0</v>
      </c>
      <c r="Q242" s="142">
        <f t="shared" si="244"/>
        <v>3.234816</v>
      </c>
      <c r="R242" s="142">
        <f t="shared" si="12"/>
        <v>0</v>
      </c>
      <c r="T242">
        <f>Pumps!$F$18*D242/Pumps!$I$4/3600</f>
        <v>0</v>
      </c>
      <c r="U242">
        <f>IF('Design Specifications'!$C$30="y",Disinfection!G240*Disinfection!$N$3*(1*10^6)/3600,0)</f>
        <v>0</v>
      </c>
      <c r="V242">
        <f t="shared" si="13"/>
        <v>864</v>
      </c>
      <c r="W242">
        <f t="shared" si="18"/>
        <v>3.1104</v>
      </c>
      <c r="X242">
        <f t="shared" si="14"/>
        <v>3.1104</v>
      </c>
      <c r="Y242">
        <f t="shared" si="15"/>
        <v>0.4536</v>
      </c>
    </row>
    <row r="243">
      <c r="A243" s="78" t="s">
        <v>591</v>
      </c>
      <c r="B243" s="78">
        <v>0.0</v>
      </c>
      <c r="C243" s="78">
        <f t="shared" si="3"/>
        <v>0</v>
      </c>
      <c r="D243">
        <f t="shared" si="4"/>
        <v>0</v>
      </c>
      <c r="E243">
        <v>14.5</v>
      </c>
      <c r="F243">
        <f t="shared" si="5"/>
        <v>0</v>
      </c>
      <c r="G243">
        <f t="shared" si="6"/>
        <v>0</v>
      </c>
      <c r="H243">
        <f>C243*Pumps!$F$18/3600</f>
        <v>0</v>
      </c>
      <c r="I243">
        <f t="shared" si="7"/>
        <v>0</v>
      </c>
      <c r="J243">
        <f t="shared" si="8"/>
        <v>898.56</v>
      </c>
      <c r="K243">
        <f t="shared" si="22"/>
        <v>0</v>
      </c>
      <c r="M243" s="142">
        <f t="shared" si="9"/>
        <v>0</v>
      </c>
      <c r="N243" s="142">
        <f t="shared" si="10"/>
        <v>0</v>
      </c>
      <c r="O243" s="142">
        <f t="shared" ref="O243:Q243" si="245">H243*3600/(1*10^6)</f>
        <v>0</v>
      </c>
      <c r="P243" s="142">
        <f t="shared" si="245"/>
        <v>0</v>
      </c>
      <c r="Q243" s="142">
        <f t="shared" si="245"/>
        <v>3.234816</v>
      </c>
      <c r="R243" s="142">
        <f t="shared" si="12"/>
        <v>0</v>
      </c>
      <c r="T243">
        <f>Pumps!$F$18*D243/Pumps!$I$4/3600</f>
        <v>0</v>
      </c>
      <c r="U243">
        <f>IF('Design Specifications'!$C$30="y",Disinfection!G241*Disinfection!$N$3*(1*10^6)/3600,0)</f>
        <v>0</v>
      </c>
      <c r="V243">
        <f t="shared" si="13"/>
        <v>864</v>
      </c>
      <c r="W243">
        <f t="shared" si="18"/>
        <v>3.1104</v>
      </c>
      <c r="X243">
        <f t="shared" si="14"/>
        <v>3.1104</v>
      </c>
      <c r="Y243">
        <f t="shared" si="15"/>
        <v>0.4536</v>
      </c>
    </row>
    <row r="244">
      <c r="A244" s="78" t="s">
        <v>593</v>
      </c>
      <c r="B244" s="78">
        <v>0.0</v>
      </c>
      <c r="C244" s="78">
        <f t="shared" si="3"/>
        <v>0</v>
      </c>
      <c r="D244">
        <f t="shared" si="4"/>
        <v>0</v>
      </c>
      <c r="E244">
        <v>14.5</v>
      </c>
      <c r="F244">
        <f t="shared" si="5"/>
        <v>0</v>
      </c>
      <c r="G244">
        <f t="shared" si="6"/>
        <v>0</v>
      </c>
      <c r="H244">
        <f>C244*Pumps!$F$18/3600</f>
        <v>0</v>
      </c>
      <c r="I244">
        <f t="shared" si="7"/>
        <v>0</v>
      </c>
      <c r="J244">
        <f t="shared" si="8"/>
        <v>898.56</v>
      </c>
      <c r="K244">
        <f t="shared" si="22"/>
        <v>0</v>
      </c>
      <c r="M244" s="142">
        <f t="shared" si="9"/>
        <v>0</v>
      </c>
      <c r="N244" s="142">
        <f t="shared" si="10"/>
        <v>0</v>
      </c>
      <c r="O244" s="142">
        <f t="shared" ref="O244:Q244" si="246">H244*3600/(1*10^6)</f>
        <v>0</v>
      </c>
      <c r="P244" s="142">
        <f t="shared" si="246"/>
        <v>0</v>
      </c>
      <c r="Q244" s="142">
        <f t="shared" si="246"/>
        <v>3.234816</v>
      </c>
      <c r="R244" s="142">
        <f t="shared" si="12"/>
        <v>0</v>
      </c>
      <c r="T244">
        <f>Pumps!$F$18*D244/Pumps!$I$4/3600</f>
        <v>0</v>
      </c>
      <c r="U244">
        <f>IF('Design Specifications'!$C$30="y",Disinfection!G242*Disinfection!$N$3*(1*10^6)/3600,0)</f>
        <v>0</v>
      </c>
      <c r="V244">
        <f t="shared" si="13"/>
        <v>864</v>
      </c>
      <c r="W244">
        <f t="shared" si="18"/>
        <v>3.1104</v>
      </c>
      <c r="X244">
        <f t="shared" si="14"/>
        <v>3.1104</v>
      </c>
      <c r="Y244">
        <f t="shared" si="15"/>
        <v>0.4536</v>
      </c>
    </row>
    <row r="245">
      <c r="A245" s="78" t="s">
        <v>595</v>
      </c>
      <c r="B245" s="78">
        <v>0.0</v>
      </c>
      <c r="C245" s="78">
        <f t="shared" si="3"/>
        <v>0</v>
      </c>
      <c r="D245">
        <f t="shared" si="4"/>
        <v>0</v>
      </c>
      <c r="E245">
        <v>14.5</v>
      </c>
      <c r="F245">
        <f t="shared" si="5"/>
        <v>0</v>
      </c>
      <c r="G245">
        <f t="shared" si="6"/>
        <v>0</v>
      </c>
      <c r="H245">
        <f>C245*Pumps!$F$18/3600</f>
        <v>0</v>
      </c>
      <c r="I245">
        <f t="shared" si="7"/>
        <v>0</v>
      </c>
      <c r="J245">
        <f t="shared" si="8"/>
        <v>898.56</v>
      </c>
      <c r="K245">
        <f t="shared" si="22"/>
        <v>0</v>
      </c>
      <c r="M245" s="142">
        <f t="shared" si="9"/>
        <v>0</v>
      </c>
      <c r="N245" s="142">
        <f t="shared" si="10"/>
        <v>0</v>
      </c>
      <c r="O245" s="142">
        <f t="shared" ref="O245:Q245" si="247">H245*3600/(1*10^6)</f>
        <v>0</v>
      </c>
      <c r="P245" s="142">
        <f t="shared" si="247"/>
        <v>0</v>
      </c>
      <c r="Q245" s="142">
        <f t="shared" si="247"/>
        <v>3.234816</v>
      </c>
      <c r="R245" s="142">
        <f t="shared" si="12"/>
        <v>0</v>
      </c>
      <c r="T245">
        <f>Pumps!$F$18*D245/Pumps!$I$4/3600</f>
        <v>0</v>
      </c>
      <c r="U245">
        <f>IF('Design Specifications'!$C$30="y",Disinfection!G243*Disinfection!$N$3*(1*10^6)/3600,0)</f>
        <v>0</v>
      </c>
      <c r="V245">
        <f t="shared" si="13"/>
        <v>864</v>
      </c>
      <c r="W245">
        <f t="shared" si="18"/>
        <v>3.1104</v>
      </c>
      <c r="X245">
        <f t="shared" si="14"/>
        <v>3.1104</v>
      </c>
      <c r="Y245">
        <f t="shared" si="15"/>
        <v>0.4536</v>
      </c>
    </row>
    <row r="246">
      <c r="A246" s="78" t="s">
        <v>597</v>
      </c>
      <c r="B246" s="78">
        <v>0.0</v>
      </c>
      <c r="C246" s="78">
        <f t="shared" si="3"/>
        <v>0</v>
      </c>
      <c r="D246">
        <f t="shared" si="4"/>
        <v>0</v>
      </c>
      <c r="E246">
        <v>14.5</v>
      </c>
      <c r="F246">
        <f t="shared" si="5"/>
        <v>0</v>
      </c>
      <c r="G246">
        <f t="shared" si="6"/>
        <v>0</v>
      </c>
      <c r="H246">
        <f>C246*Pumps!$F$18/3600</f>
        <v>0</v>
      </c>
      <c r="I246">
        <f t="shared" si="7"/>
        <v>0</v>
      </c>
      <c r="J246">
        <f t="shared" si="8"/>
        <v>898.56</v>
      </c>
      <c r="K246">
        <f t="shared" si="22"/>
        <v>0</v>
      </c>
      <c r="M246" s="142">
        <f t="shared" si="9"/>
        <v>0</v>
      </c>
      <c r="N246" s="142">
        <f t="shared" si="10"/>
        <v>0</v>
      </c>
      <c r="O246" s="142">
        <f t="shared" ref="O246:Q246" si="248">H246*3600/(1*10^6)</f>
        <v>0</v>
      </c>
      <c r="P246" s="142">
        <f t="shared" si="248"/>
        <v>0</v>
      </c>
      <c r="Q246" s="142">
        <f t="shared" si="248"/>
        <v>3.234816</v>
      </c>
      <c r="R246" s="142">
        <f t="shared" si="12"/>
        <v>0</v>
      </c>
      <c r="T246">
        <f>Pumps!$F$18*D246/Pumps!$I$4/3600</f>
        <v>0</v>
      </c>
      <c r="U246">
        <f>IF('Design Specifications'!$C$30="y",Disinfection!G244*Disinfection!$N$3*(1*10^6)/3600,0)</f>
        <v>0</v>
      </c>
      <c r="V246">
        <f t="shared" si="13"/>
        <v>864</v>
      </c>
      <c r="W246">
        <f t="shared" si="18"/>
        <v>3.1104</v>
      </c>
      <c r="X246">
        <f t="shared" si="14"/>
        <v>3.1104</v>
      </c>
      <c r="Y246">
        <f t="shared" si="15"/>
        <v>0.4536</v>
      </c>
    </row>
    <row r="247">
      <c r="A247" s="78" t="s">
        <v>599</v>
      </c>
      <c r="B247" s="78">
        <v>0.0</v>
      </c>
      <c r="C247" s="78">
        <f t="shared" si="3"/>
        <v>0</v>
      </c>
      <c r="D247">
        <f t="shared" si="4"/>
        <v>0</v>
      </c>
      <c r="E247">
        <v>14.5</v>
      </c>
      <c r="F247">
        <f t="shared" si="5"/>
        <v>0</v>
      </c>
      <c r="G247">
        <f t="shared" si="6"/>
        <v>0</v>
      </c>
      <c r="H247">
        <f>C247*Pumps!$F$18/3600</f>
        <v>0</v>
      </c>
      <c r="I247">
        <f t="shared" si="7"/>
        <v>0</v>
      </c>
      <c r="J247">
        <f t="shared" si="8"/>
        <v>898.56</v>
      </c>
      <c r="K247">
        <f t="shared" si="22"/>
        <v>0</v>
      </c>
      <c r="M247" s="142">
        <f t="shared" si="9"/>
        <v>0</v>
      </c>
      <c r="N247" s="142">
        <f t="shared" si="10"/>
        <v>0</v>
      </c>
      <c r="O247" s="142">
        <f t="shared" ref="O247:Q247" si="249">H247*3600/(1*10^6)</f>
        <v>0</v>
      </c>
      <c r="P247" s="142">
        <f t="shared" si="249"/>
        <v>0</v>
      </c>
      <c r="Q247" s="142">
        <f t="shared" si="249"/>
        <v>3.234816</v>
      </c>
      <c r="R247" s="142">
        <f t="shared" si="12"/>
        <v>0</v>
      </c>
      <c r="T247">
        <f>Pumps!$F$18*D247/Pumps!$I$4/3600</f>
        <v>0</v>
      </c>
      <c r="U247">
        <f>IF('Design Specifications'!$C$30="y",Disinfection!G245*Disinfection!$N$3*(1*10^6)/3600,0)</f>
        <v>0</v>
      </c>
      <c r="V247">
        <f t="shared" si="13"/>
        <v>864</v>
      </c>
      <c r="W247">
        <f t="shared" si="18"/>
        <v>3.1104</v>
      </c>
      <c r="X247">
        <f t="shared" si="14"/>
        <v>3.1104</v>
      </c>
      <c r="Y247">
        <f t="shared" si="15"/>
        <v>0.4536</v>
      </c>
    </row>
    <row r="248">
      <c r="A248" s="78" t="s">
        <v>601</v>
      </c>
      <c r="B248" s="78">
        <v>0.0</v>
      </c>
      <c r="C248" s="78">
        <f t="shared" si="3"/>
        <v>0</v>
      </c>
      <c r="D248">
        <f t="shared" si="4"/>
        <v>0</v>
      </c>
      <c r="E248">
        <v>14.5</v>
      </c>
      <c r="F248">
        <f t="shared" si="5"/>
        <v>0</v>
      </c>
      <c r="G248">
        <f t="shared" si="6"/>
        <v>0</v>
      </c>
      <c r="H248">
        <f>C248*Pumps!$F$18/3600</f>
        <v>0</v>
      </c>
      <c r="I248">
        <f t="shared" si="7"/>
        <v>0</v>
      </c>
      <c r="J248">
        <f t="shared" si="8"/>
        <v>898.56</v>
      </c>
      <c r="K248">
        <f t="shared" si="22"/>
        <v>0</v>
      </c>
      <c r="M248" s="142">
        <f t="shared" si="9"/>
        <v>0</v>
      </c>
      <c r="N248" s="142">
        <f t="shared" si="10"/>
        <v>0</v>
      </c>
      <c r="O248" s="142">
        <f t="shared" ref="O248:Q248" si="250">H248*3600/(1*10^6)</f>
        <v>0</v>
      </c>
      <c r="P248" s="142">
        <f t="shared" si="250"/>
        <v>0</v>
      </c>
      <c r="Q248" s="142">
        <f t="shared" si="250"/>
        <v>3.234816</v>
      </c>
      <c r="R248" s="142">
        <f t="shared" si="12"/>
        <v>0</v>
      </c>
      <c r="T248">
        <f>Pumps!$F$18*D248/Pumps!$I$4/3600</f>
        <v>0</v>
      </c>
      <c r="U248">
        <f>IF('Design Specifications'!$C$30="y",Disinfection!G246*Disinfection!$N$3*(1*10^6)/3600,0)</f>
        <v>0</v>
      </c>
      <c r="V248">
        <f t="shared" si="13"/>
        <v>864</v>
      </c>
      <c r="W248">
        <f t="shared" si="18"/>
        <v>3.1104</v>
      </c>
      <c r="X248">
        <f t="shared" si="14"/>
        <v>3.1104</v>
      </c>
      <c r="Y248">
        <f t="shared" si="15"/>
        <v>0.4536</v>
      </c>
    </row>
    <row r="249">
      <c r="A249" s="78" t="s">
        <v>603</v>
      </c>
      <c r="B249" s="78">
        <v>0.0</v>
      </c>
      <c r="C249" s="78">
        <f t="shared" si="3"/>
        <v>0</v>
      </c>
      <c r="D249">
        <f t="shared" si="4"/>
        <v>0</v>
      </c>
      <c r="E249">
        <v>14.5</v>
      </c>
      <c r="F249">
        <f t="shared" si="5"/>
        <v>0</v>
      </c>
      <c r="G249">
        <f t="shared" si="6"/>
        <v>0</v>
      </c>
      <c r="H249">
        <f>C249*Pumps!$F$18/3600</f>
        <v>0</v>
      </c>
      <c r="I249">
        <f t="shared" si="7"/>
        <v>0</v>
      </c>
      <c r="J249">
        <f t="shared" si="8"/>
        <v>898.56</v>
      </c>
      <c r="K249">
        <f t="shared" si="22"/>
        <v>0</v>
      </c>
      <c r="M249" s="142">
        <f t="shared" si="9"/>
        <v>0</v>
      </c>
      <c r="N249" s="142">
        <f t="shared" si="10"/>
        <v>0</v>
      </c>
      <c r="O249" s="142">
        <f t="shared" ref="O249:Q249" si="251">H249*3600/(1*10^6)</f>
        <v>0</v>
      </c>
      <c r="P249" s="142">
        <f t="shared" si="251"/>
        <v>0</v>
      </c>
      <c r="Q249" s="142">
        <f t="shared" si="251"/>
        <v>3.234816</v>
      </c>
      <c r="R249" s="142">
        <f t="shared" si="12"/>
        <v>0</v>
      </c>
      <c r="T249">
        <f>Pumps!$F$18*D249/Pumps!$I$4/3600</f>
        <v>0</v>
      </c>
      <c r="U249">
        <f>IF('Design Specifications'!$C$30="y",Disinfection!G247*Disinfection!$N$3*(1*10^6)/3600,0)</f>
        <v>0</v>
      </c>
      <c r="V249">
        <f t="shared" si="13"/>
        <v>864</v>
      </c>
      <c r="W249">
        <f t="shared" si="18"/>
        <v>3.1104</v>
      </c>
      <c r="X249">
        <f t="shared" si="14"/>
        <v>3.1104</v>
      </c>
      <c r="Y249">
        <f t="shared" si="15"/>
        <v>0.4536</v>
      </c>
    </row>
    <row r="250">
      <c r="A250" s="78" t="s">
        <v>605</v>
      </c>
      <c r="B250" s="78">
        <v>0.0</v>
      </c>
      <c r="C250" s="78">
        <f t="shared" si="3"/>
        <v>0</v>
      </c>
      <c r="D250">
        <f t="shared" si="4"/>
        <v>0</v>
      </c>
      <c r="E250">
        <v>14.5</v>
      </c>
      <c r="F250">
        <f t="shared" si="5"/>
        <v>0</v>
      </c>
      <c r="G250">
        <f t="shared" si="6"/>
        <v>0</v>
      </c>
      <c r="H250">
        <f>C250*Pumps!$F$18/3600</f>
        <v>0</v>
      </c>
      <c r="I250">
        <f t="shared" si="7"/>
        <v>0</v>
      </c>
      <c r="J250">
        <f t="shared" si="8"/>
        <v>898.56</v>
      </c>
      <c r="K250">
        <f t="shared" si="22"/>
        <v>0</v>
      </c>
      <c r="M250" s="142">
        <f t="shared" si="9"/>
        <v>0</v>
      </c>
      <c r="N250" s="142">
        <f t="shared" si="10"/>
        <v>0</v>
      </c>
      <c r="O250" s="142">
        <f t="shared" ref="O250:Q250" si="252">H250*3600/(1*10^6)</f>
        <v>0</v>
      </c>
      <c r="P250" s="142">
        <f t="shared" si="252"/>
        <v>0</v>
      </c>
      <c r="Q250" s="142">
        <f t="shared" si="252"/>
        <v>3.234816</v>
      </c>
      <c r="R250" s="142">
        <f t="shared" si="12"/>
        <v>0</v>
      </c>
      <c r="T250">
        <f>Pumps!$F$18*D250/Pumps!$I$4/3600</f>
        <v>0</v>
      </c>
      <c r="U250">
        <f>IF('Design Specifications'!$C$30="y",Disinfection!G248*Disinfection!$N$3*(1*10^6)/3600,0)</f>
        <v>0</v>
      </c>
      <c r="V250">
        <f t="shared" si="13"/>
        <v>864</v>
      </c>
      <c r="W250">
        <f t="shared" si="18"/>
        <v>3.1104</v>
      </c>
      <c r="X250">
        <f t="shared" si="14"/>
        <v>3.1104</v>
      </c>
      <c r="Y250">
        <f t="shared" si="15"/>
        <v>0.4536</v>
      </c>
    </row>
    <row r="251">
      <c r="A251" s="78" t="s">
        <v>607</v>
      </c>
      <c r="B251" s="78">
        <v>0.0</v>
      </c>
      <c r="C251" s="78">
        <f t="shared" si="3"/>
        <v>0</v>
      </c>
      <c r="D251">
        <f t="shared" si="4"/>
        <v>0</v>
      </c>
      <c r="E251">
        <v>14.5</v>
      </c>
      <c r="F251">
        <f t="shared" si="5"/>
        <v>0</v>
      </c>
      <c r="G251">
        <f t="shared" si="6"/>
        <v>0</v>
      </c>
      <c r="H251">
        <f>C251*Pumps!$F$18/3600</f>
        <v>0</v>
      </c>
      <c r="I251">
        <f t="shared" si="7"/>
        <v>0</v>
      </c>
      <c r="J251">
        <f t="shared" si="8"/>
        <v>898.56</v>
      </c>
      <c r="K251">
        <f t="shared" si="22"/>
        <v>0</v>
      </c>
      <c r="M251" s="142">
        <f t="shared" si="9"/>
        <v>0</v>
      </c>
      <c r="N251" s="142">
        <f t="shared" si="10"/>
        <v>0</v>
      </c>
      <c r="O251" s="142">
        <f t="shared" ref="O251:Q251" si="253">H251*3600/(1*10^6)</f>
        <v>0</v>
      </c>
      <c r="P251" s="142">
        <f t="shared" si="253"/>
        <v>0</v>
      </c>
      <c r="Q251" s="142">
        <f t="shared" si="253"/>
        <v>3.234816</v>
      </c>
      <c r="R251" s="142">
        <f t="shared" si="12"/>
        <v>0</v>
      </c>
      <c r="T251">
        <f>Pumps!$F$18*D251/Pumps!$I$4/3600</f>
        <v>0</v>
      </c>
      <c r="U251">
        <f>IF('Design Specifications'!$C$30="y",Disinfection!G249*Disinfection!$N$3*(1*10^6)/3600,0)</f>
        <v>0</v>
      </c>
      <c r="V251">
        <f t="shared" si="13"/>
        <v>864</v>
      </c>
      <c r="W251">
        <f t="shared" si="18"/>
        <v>3.1104</v>
      </c>
      <c r="X251">
        <f t="shared" si="14"/>
        <v>3.1104</v>
      </c>
      <c r="Y251">
        <f t="shared" si="15"/>
        <v>0.4536</v>
      </c>
    </row>
    <row r="252">
      <c r="A252" s="78" t="s">
        <v>609</v>
      </c>
      <c r="B252" s="78">
        <v>0.0</v>
      </c>
      <c r="C252" s="78">
        <f t="shared" si="3"/>
        <v>0</v>
      </c>
      <c r="D252">
        <f t="shared" si="4"/>
        <v>0</v>
      </c>
      <c r="E252">
        <v>14.5</v>
      </c>
      <c r="F252">
        <f t="shared" si="5"/>
        <v>0</v>
      </c>
      <c r="G252">
        <f t="shared" si="6"/>
        <v>0</v>
      </c>
      <c r="H252">
        <f>C252*Pumps!$F$18/3600</f>
        <v>0</v>
      </c>
      <c r="I252">
        <f t="shared" si="7"/>
        <v>0</v>
      </c>
      <c r="J252">
        <f t="shared" si="8"/>
        <v>898.56</v>
      </c>
      <c r="K252">
        <f t="shared" si="22"/>
        <v>0</v>
      </c>
      <c r="M252" s="142">
        <f t="shared" si="9"/>
        <v>0</v>
      </c>
      <c r="N252" s="142">
        <f t="shared" si="10"/>
        <v>0</v>
      </c>
      <c r="O252" s="142">
        <f t="shared" ref="O252:Q252" si="254">H252*3600/(1*10^6)</f>
        <v>0</v>
      </c>
      <c r="P252" s="142">
        <f t="shared" si="254"/>
        <v>0</v>
      </c>
      <c r="Q252" s="142">
        <f t="shared" si="254"/>
        <v>3.234816</v>
      </c>
      <c r="R252" s="142">
        <f t="shared" si="12"/>
        <v>0</v>
      </c>
      <c r="T252">
        <f>Pumps!$F$18*D252/Pumps!$I$4/3600</f>
        <v>0</v>
      </c>
      <c r="U252">
        <f>IF('Design Specifications'!$C$30="y",Disinfection!G250*Disinfection!$N$3*(1*10^6)/3600,0)</f>
        <v>0</v>
      </c>
      <c r="V252">
        <f t="shared" si="13"/>
        <v>864</v>
      </c>
      <c r="W252">
        <f t="shared" si="18"/>
        <v>3.1104</v>
      </c>
      <c r="X252">
        <f t="shared" si="14"/>
        <v>3.1104</v>
      </c>
      <c r="Y252">
        <f t="shared" si="15"/>
        <v>0.4536</v>
      </c>
    </row>
    <row r="253">
      <c r="A253" s="78" t="s">
        <v>611</v>
      </c>
      <c r="B253" s="78">
        <v>0.0</v>
      </c>
      <c r="C253" s="78">
        <f t="shared" si="3"/>
        <v>0</v>
      </c>
      <c r="D253">
        <f t="shared" si="4"/>
        <v>0</v>
      </c>
      <c r="E253">
        <v>14.5</v>
      </c>
      <c r="F253">
        <f t="shared" si="5"/>
        <v>0</v>
      </c>
      <c r="G253">
        <f t="shared" si="6"/>
        <v>0</v>
      </c>
      <c r="H253">
        <f>C253*Pumps!$F$18/3600</f>
        <v>0</v>
      </c>
      <c r="I253">
        <f t="shared" si="7"/>
        <v>0</v>
      </c>
      <c r="J253">
        <f t="shared" si="8"/>
        <v>898.56</v>
      </c>
      <c r="K253">
        <f t="shared" si="22"/>
        <v>0</v>
      </c>
      <c r="M253" s="142">
        <f t="shared" si="9"/>
        <v>0</v>
      </c>
      <c r="N253" s="142">
        <f t="shared" si="10"/>
        <v>0</v>
      </c>
      <c r="O253" s="142">
        <f t="shared" ref="O253:Q253" si="255">H253*3600/(1*10^6)</f>
        <v>0</v>
      </c>
      <c r="P253" s="142">
        <f t="shared" si="255"/>
        <v>0</v>
      </c>
      <c r="Q253" s="142">
        <f t="shared" si="255"/>
        <v>3.234816</v>
      </c>
      <c r="R253" s="142">
        <f t="shared" si="12"/>
        <v>0</v>
      </c>
      <c r="T253">
        <f>Pumps!$F$18*D253/Pumps!$I$4/3600</f>
        <v>0</v>
      </c>
      <c r="U253">
        <f>IF('Design Specifications'!$C$30="y",Disinfection!G251*Disinfection!$N$3*(1*10^6)/3600,0)</f>
        <v>0</v>
      </c>
      <c r="V253">
        <f t="shared" si="13"/>
        <v>864</v>
      </c>
      <c r="W253">
        <f t="shared" si="18"/>
        <v>3.1104</v>
      </c>
      <c r="X253">
        <f t="shared" si="14"/>
        <v>3.1104</v>
      </c>
      <c r="Y253">
        <f t="shared" si="15"/>
        <v>0.4536</v>
      </c>
    </row>
    <row r="254">
      <c r="A254" s="78" t="s">
        <v>613</v>
      </c>
      <c r="B254" s="78">
        <v>0.4</v>
      </c>
      <c r="C254" s="78">
        <f t="shared" si="3"/>
        <v>48</v>
      </c>
      <c r="D254">
        <f t="shared" si="4"/>
        <v>0.048</v>
      </c>
      <c r="E254">
        <v>14.5</v>
      </c>
      <c r="F254">
        <f t="shared" si="5"/>
        <v>0</v>
      </c>
      <c r="G254">
        <f t="shared" si="6"/>
        <v>0</v>
      </c>
      <c r="H254">
        <f>C254*Pumps!$F$18/3600</f>
        <v>2045.445856</v>
      </c>
      <c r="I254">
        <f t="shared" si="7"/>
        <v>2922.065509</v>
      </c>
      <c r="J254">
        <f t="shared" si="8"/>
        <v>4180.62398</v>
      </c>
      <c r="K254">
        <f t="shared" si="22"/>
        <v>0</v>
      </c>
      <c r="M254" s="142">
        <f t="shared" si="9"/>
        <v>0</v>
      </c>
      <c r="N254" s="142">
        <f t="shared" si="10"/>
        <v>0</v>
      </c>
      <c r="O254" s="142">
        <f t="shared" ref="O254:Q254" si="256">H254*3600/(1*10^6)</f>
        <v>7.363605082</v>
      </c>
      <c r="P254" s="142">
        <f t="shared" si="256"/>
        <v>10.51943583</v>
      </c>
      <c r="Q254" s="142">
        <f t="shared" si="256"/>
        <v>15.05024633</v>
      </c>
      <c r="R254" s="142">
        <f t="shared" si="12"/>
        <v>0</v>
      </c>
      <c r="T254">
        <f>Pumps!$F$18*D254/Pumps!$I$4/3600</f>
        <v>2.922065509</v>
      </c>
      <c r="U254">
        <f>IF('Design Specifications'!$C$30="y",Disinfection!G252*Disinfection!$N$3*(1*10^6)/3600,0)</f>
        <v>0</v>
      </c>
      <c r="V254">
        <f t="shared" si="13"/>
        <v>864</v>
      </c>
      <c r="W254">
        <f t="shared" si="18"/>
        <v>3.120919436</v>
      </c>
      <c r="X254">
        <f t="shared" si="14"/>
        <v>3.1104</v>
      </c>
      <c r="Y254">
        <f t="shared" si="15"/>
        <v>0.4543513883</v>
      </c>
    </row>
    <row r="255">
      <c r="A255" s="78" t="s">
        <v>615</v>
      </c>
      <c r="B255" s="78">
        <v>7.8</v>
      </c>
      <c r="C255" s="78">
        <f t="shared" si="3"/>
        <v>936</v>
      </c>
      <c r="D255">
        <f t="shared" si="4"/>
        <v>0.936</v>
      </c>
      <c r="E255">
        <v>14.5</v>
      </c>
      <c r="F255">
        <f t="shared" si="5"/>
        <v>0</v>
      </c>
      <c r="G255">
        <f t="shared" si="6"/>
        <v>0</v>
      </c>
      <c r="H255">
        <f>C255*Pumps!$F$18/3600</f>
        <v>39886.1942</v>
      </c>
      <c r="I255">
        <f t="shared" si="7"/>
        <v>56980.27742</v>
      </c>
      <c r="J255">
        <f t="shared" si="8"/>
        <v>64898.8076</v>
      </c>
      <c r="K255">
        <f t="shared" si="22"/>
        <v>0</v>
      </c>
      <c r="M255" s="142">
        <f t="shared" si="9"/>
        <v>0</v>
      </c>
      <c r="N255" s="142">
        <f t="shared" si="10"/>
        <v>0</v>
      </c>
      <c r="O255" s="142">
        <f t="shared" ref="O255:Q255" si="257">H255*3600/(1*10^6)</f>
        <v>143.5902991</v>
      </c>
      <c r="P255" s="142">
        <f t="shared" si="257"/>
        <v>205.1289987</v>
      </c>
      <c r="Q255" s="142">
        <f t="shared" si="257"/>
        <v>233.6357074</v>
      </c>
      <c r="R255" s="142">
        <f t="shared" si="12"/>
        <v>0</v>
      </c>
      <c r="T255">
        <f>Pumps!$F$18*D255/Pumps!$I$4/3600</f>
        <v>56.98027742</v>
      </c>
      <c r="U255">
        <f>IF('Design Specifications'!$C$30="y",Disinfection!G253*Disinfection!$N$3*(1*10^6)/3600,0)</f>
        <v>0</v>
      </c>
      <c r="V255">
        <f t="shared" si="13"/>
        <v>864</v>
      </c>
      <c r="W255">
        <f t="shared" si="18"/>
        <v>3.315528999</v>
      </c>
      <c r="X255">
        <f t="shared" si="14"/>
        <v>3.1104</v>
      </c>
      <c r="Y255">
        <f t="shared" si="15"/>
        <v>0.4682520713</v>
      </c>
    </row>
    <row r="256">
      <c r="A256" s="78" t="s">
        <v>617</v>
      </c>
      <c r="B256" s="78">
        <v>3.6</v>
      </c>
      <c r="C256" s="78">
        <f t="shared" si="3"/>
        <v>432</v>
      </c>
      <c r="D256">
        <f t="shared" si="4"/>
        <v>0.432</v>
      </c>
      <c r="E256">
        <v>14.5</v>
      </c>
      <c r="F256">
        <f t="shared" si="5"/>
        <v>0</v>
      </c>
      <c r="G256">
        <f t="shared" si="6"/>
        <v>0</v>
      </c>
      <c r="H256">
        <f>C256*Pumps!$F$18/3600</f>
        <v>18409.01271</v>
      </c>
      <c r="I256">
        <f t="shared" si="7"/>
        <v>26298.58958</v>
      </c>
      <c r="J256">
        <f t="shared" si="8"/>
        <v>30437.13582</v>
      </c>
      <c r="K256">
        <f t="shared" si="22"/>
        <v>0</v>
      </c>
      <c r="M256" s="142">
        <f t="shared" si="9"/>
        <v>0</v>
      </c>
      <c r="N256" s="142">
        <f t="shared" si="10"/>
        <v>0</v>
      </c>
      <c r="O256" s="142">
        <f t="shared" ref="O256:Q256" si="258">H256*3600/(1*10^6)</f>
        <v>66.27244574</v>
      </c>
      <c r="P256" s="142">
        <f t="shared" si="258"/>
        <v>94.67492249</v>
      </c>
      <c r="Q256" s="142">
        <f t="shared" si="258"/>
        <v>109.5736889</v>
      </c>
      <c r="R256" s="142">
        <f t="shared" si="12"/>
        <v>0</v>
      </c>
      <c r="T256">
        <f>Pumps!$F$18*D256/Pumps!$I$4/3600</f>
        <v>26.29858958</v>
      </c>
      <c r="U256">
        <f>IF('Design Specifications'!$C$30="y",Disinfection!G254*Disinfection!$N$3*(1*10^6)/3600,0)</f>
        <v>0</v>
      </c>
      <c r="V256">
        <f t="shared" si="13"/>
        <v>864</v>
      </c>
      <c r="W256">
        <f t="shared" si="18"/>
        <v>3.205074922</v>
      </c>
      <c r="X256">
        <f t="shared" si="14"/>
        <v>3.1104</v>
      </c>
      <c r="Y256">
        <f t="shared" si="15"/>
        <v>0.4603624945</v>
      </c>
    </row>
    <row r="257">
      <c r="A257" s="78" t="s">
        <v>619</v>
      </c>
      <c r="B257" s="78">
        <v>10.6</v>
      </c>
      <c r="C257" s="78">
        <f t="shared" si="3"/>
        <v>1272</v>
      </c>
      <c r="D257">
        <f t="shared" si="4"/>
        <v>1.272</v>
      </c>
      <c r="E257">
        <v>14.5</v>
      </c>
      <c r="F257">
        <f t="shared" si="5"/>
        <v>0</v>
      </c>
      <c r="G257">
        <f t="shared" si="6"/>
        <v>0</v>
      </c>
      <c r="H257">
        <f>C257*Pumps!$F$18/3600</f>
        <v>54204.31519</v>
      </c>
      <c r="I257">
        <f t="shared" si="7"/>
        <v>77434.73599</v>
      </c>
      <c r="J257">
        <f t="shared" si="8"/>
        <v>87873.25546</v>
      </c>
      <c r="K257">
        <f t="shared" si="22"/>
        <v>0</v>
      </c>
      <c r="M257" s="142">
        <f t="shared" si="9"/>
        <v>0</v>
      </c>
      <c r="N257" s="142">
        <f t="shared" si="10"/>
        <v>0</v>
      </c>
      <c r="O257" s="142">
        <f t="shared" ref="O257:Q257" si="259">H257*3600/(1*10^6)</f>
        <v>195.1355347</v>
      </c>
      <c r="P257" s="142">
        <f t="shared" si="259"/>
        <v>278.7650495</v>
      </c>
      <c r="Q257" s="142">
        <f t="shared" si="259"/>
        <v>316.3437197</v>
      </c>
      <c r="R257" s="142">
        <f t="shared" si="12"/>
        <v>0</v>
      </c>
      <c r="T257">
        <f>Pumps!$F$18*D257/Pumps!$I$4/3600</f>
        <v>77.43473599</v>
      </c>
      <c r="U257">
        <f>IF('Design Specifications'!$C$30="y",Disinfection!G255*Disinfection!$N$3*(1*10^6)/3600,0)</f>
        <v>0</v>
      </c>
      <c r="V257">
        <f t="shared" si="13"/>
        <v>864</v>
      </c>
      <c r="W257">
        <f t="shared" si="18"/>
        <v>3.38916505</v>
      </c>
      <c r="X257">
        <f t="shared" si="14"/>
        <v>3.1104</v>
      </c>
      <c r="Y257">
        <f t="shared" si="15"/>
        <v>0.4735117893</v>
      </c>
    </row>
    <row r="258">
      <c r="A258" s="78" t="s">
        <v>621</v>
      </c>
      <c r="B258" s="78">
        <v>3.2</v>
      </c>
      <c r="C258" s="78">
        <f t="shared" si="3"/>
        <v>384</v>
      </c>
      <c r="D258">
        <f t="shared" si="4"/>
        <v>0.384</v>
      </c>
      <c r="E258">
        <v>13.0</v>
      </c>
      <c r="F258">
        <f t="shared" si="5"/>
        <v>0</v>
      </c>
      <c r="G258">
        <f t="shared" si="6"/>
        <v>0</v>
      </c>
      <c r="H258">
        <f>C258*Pumps!$F$18/3600</f>
        <v>16363.56685</v>
      </c>
      <c r="I258">
        <f t="shared" si="7"/>
        <v>23376.52407</v>
      </c>
      <c r="J258">
        <f t="shared" si="8"/>
        <v>27155.07184</v>
      </c>
      <c r="K258">
        <f t="shared" si="22"/>
        <v>0</v>
      </c>
      <c r="M258" s="142">
        <f t="shared" si="9"/>
        <v>0</v>
      </c>
      <c r="N258" s="142">
        <f t="shared" si="10"/>
        <v>0</v>
      </c>
      <c r="O258" s="142">
        <f t="shared" ref="O258:Q258" si="260">H258*3600/(1*10^6)</f>
        <v>58.90884066</v>
      </c>
      <c r="P258" s="142">
        <f t="shared" si="260"/>
        <v>84.15548666</v>
      </c>
      <c r="Q258" s="142">
        <f t="shared" si="260"/>
        <v>97.75825861</v>
      </c>
      <c r="R258" s="142">
        <f t="shared" si="12"/>
        <v>0</v>
      </c>
      <c r="T258">
        <f>Pumps!$F$18*D258/Pumps!$I$4/3600</f>
        <v>23.37652407</v>
      </c>
      <c r="U258">
        <f>IF('Design Specifications'!$C$30="y",Disinfection!G256*Disinfection!$N$3*(1*10^6)/3600,0)</f>
        <v>0</v>
      </c>
      <c r="V258">
        <f t="shared" si="13"/>
        <v>864</v>
      </c>
      <c r="W258">
        <f t="shared" si="18"/>
        <v>3.194555487</v>
      </c>
      <c r="X258">
        <f t="shared" si="14"/>
        <v>3.1104</v>
      </c>
      <c r="Y258">
        <f t="shared" si="15"/>
        <v>0.4596111062</v>
      </c>
    </row>
    <row r="259">
      <c r="A259" s="78" t="s">
        <v>623</v>
      </c>
      <c r="B259" s="78">
        <v>6.2</v>
      </c>
      <c r="C259" s="78">
        <f t="shared" si="3"/>
        <v>744</v>
      </c>
      <c r="D259">
        <f t="shared" si="4"/>
        <v>0.744</v>
      </c>
      <c r="E259">
        <v>13.0</v>
      </c>
      <c r="F259">
        <f t="shared" si="5"/>
        <v>0</v>
      </c>
      <c r="G259">
        <f t="shared" si="6"/>
        <v>0</v>
      </c>
      <c r="H259">
        <f>C259*Pumps!$F$18/3600</f>
        <v>31704.41077</v>
      </c>
      <c r="I259">
        <f t="shared" si="7"/>
        <v>45292.01539</v>
      </c>
      <c r="J259">
        <f t="shared" si="8"/>
        <v>51770.55168</v>
      </c>
      <c r="K259">
        <f t="shared" si="22"/>
        <v>0</v>
      </c>
      <c r="M259" s="142">
        <f t="shared" si="9"/>
        <v>0</v>
      </c>
      <c r="N259" s="142">
        <f t="shared" si="10"/>
        <v>0</v>
      </c>
      <c r="O259" s="142">
        <f t="shared" ref="O259:Q259" si="261">H259*3600/(1*10^6)</f>
        <v>114.1358788</v>
      </c>
      <c r="P259" s="142">
        <f t="shared" si="261"/>
        <v>163.0512554</v>
      </c>
      <c r="Q259" s="142">
        <f t="shared" si="261"/>
        <v>186.3739861</v>
      </c>
      <c r="R259" s="142">
        <f t="shared" si="12"/>
        <v>0</v>
      </c>
      <c r="T259">
        <f>Pumps!$F$18*D259/Pumps!$I$4/3600</f>
        <v>45.29201539</v>
      </c>
      <c r="U259">
        <f>IF('Design Specifications'!$C$30="y",Disinfection!G257*Disinfection!$N$3*(1*10^6)/3600,0)</f>
        <v>0</v>
      </c>
      <c r="V259">
        <f t="shared" si="13"/>
        <v>864</v>
      </c>
      <c r="W259">
        <f t="shared" si="18"/>
        <v>3.273451255</v>
      </c>
      <c r="X259">
        <f t="shared" si="14"/>
        <v>3.1104</v>
      </c>
      <c r="Y259">
        <f t="shared" si="15"/>
        <v>0.4652465182</v>
      </c>
    </row>
    <row r="260">
      <c r="A260" s="78" t="s">
        <v>625</v>
      </c>
      <c r="B260" s="78">
        <v>0.0</v>
      </c>
      <c r="C260" s="78">
        <f t="shared" si="3"/>
        <v>0</v>
      </c>
      <c r="D260">
        <f t="shared" si="4"/>
        <v>0</v>
      </c>
      <c r="E260">
        <v>13.0</v>
      </c>
      <c r="F260">
        <f t="shared" si="5"/>
        <v>0</v>
      </c>
      <c r="G260">
        <f t="shared" si="6"/>
        <v>0</v>
      </c>
      <c r="H260">
        <f>C260*Pumps!$F$18/3600</f>
        <v>0</v>
      </c>
      <c r="I260">
        <f t="shared" si="7"/>
        <v>0</v>
      </c>
      <c r="J260">
        <f t="shared" si="8"/>
        <v>898.56</v>
      </c>
      <c r="K260">
        <f t="shared" si="22"/>
        <v>0</v>
      </c>
      <c r="M260" s="142">
        <f t="shared" si="9"/>
        <v>0</v>
      </c>
      <c r="N260" s="142">
        <f t="shared" si="10"/>
        <v>0</v>
      </c>
      <c r="O260" s="142">
        <f t="shared" ref="O260:Q260" si="262">H260*3600/(1*10^6)</f>
        <v>0</v>
      </c>
      <c r="P260" s="142">
        <f t="shared" si="262"/>
        <v>0</v>
      </c>
      <c r="Q260" s="142">
        <f t="shared" si="262"/>
        <v>3.234816</v>
      </c>
      <c r="R260" s="142">
        <f t="shared" si="12"/>
        <v>0</v>
      </c>
      <c r="T260">
        <f>Pumps!$F$18*D260/Pumps!$I$4/3600</f>
        <v>0</v>
      </c>
      <c r="U260">
        <f>IF('Design Specifications'!$C$30="y",Disinfection!G258*Disinfection!$N$3*(1*10^6)/3600,0)</f>
        <v>0</v>
      </c>
      <c r="V260">
        <f t="shared" si="13"/>
        <v>864</v>
      </c>
      <c r="W260">
        <f t="shared" si="18"/>
        <v>3.1104</v>
      </c>
      <c r="X260">
        <f t="shared" si="14"/>
        <v>3.1104</v>
      </c>
      <c r="Y260">
        <f t="shared" si="15"/>
        <v>0.4536</v>
      </c>
    </row>
    <row r="261">
      <c r="A261" s="78" t="s">
        <v>627</v>
      </c>
      <c r="B261" s="78">
        <v>0.0</v>
      </c>
      <c r="C261" s="78">
        <f t="shared" si="3"/>
        <v>0</v>
      </c>
      <c r="D261">
        <f t="shared" si="4"/>
        <v>0</v>
      </c>
      <c r="E261">
        <v>13.0</v>
      </c>
      <c r="F261">
        <f t="shared" si="5"/>
        <v>0</v>
      </c>
      <c r="G261">
        <f t="shared" si="6"/>
        <v>0</v>
      </c>
      <c r="H261">
        <f>C261*Pumps!$F$18/3600</f>
        <v>0</v>
      </c>
      <c r="I261">
        <f t="shared" si="7"/>
        <v>0</v>
      </c>
      <c r="J261">
        <f t="shared" si="8"/>
        <v>898.56</v>
      </c>
      <c r="K261">
        <f t="shared" si="22"/>
        <v>0</v>
      </c>
      <c r="M261" s="142">
        <f t="shared" si="9"/>
        <v>0</v>
      </c>
      <c r="N261" s="142">
        <f t="shared" si="10"/>
        <v>0</v>
      </c>
      <c r="O261" s="142">
        <f t="shared" ref="O261:Q261" si="263">H261*3600/(1*10^6)</f>
        <v>0</v>
      </c>
      <c r="P261" s="142">
        <f t="shared" si="263"/>
        <v>0</v>
      </c>
      <c r="Q261" s="142">
        <f t="shared" si="263"/>
        <v>3.234816</v>
      </c>
      <c r="R261" s="142">
        <f t="shared" si="12"/>
        <v>0</v>
      </c>
      <c r="T261">
        <f>Pumps!$F$18*D261/Pumps!$I$4/3600</f>
        <v>0</v>
      </c>
      <c r="U261">
        <f>IF('Design Specifications'!$C$30="y",Disinfection!G259*Disinfection!$N$3*(1*10^6)/3600,0)</f>
        <v>0</v>
      </c>
      <c r="V261">
        <f t="shared" si="13"/>
        <v>864</v>
      </c>
      <c r="W261">
        <f t="shared" si="18"/>
        <v>3.1104</v>
      </c>
      <c r="X261">
        <f t="shared" si="14"/>
        <v>3.1104</v>
      </c>
      <c r="Y261">
        <f t="shared" si="15"/>
        <v>0.4536</v>
      </c>
    </row>
    <row r="262">
      <c r="A262" s="78" t="s">
        <v>629</v>
      </c>
      <c r="B262" s="78">
        <v>0.0</v>
      </c>
      <c r="C262" s="78">
        <f t="shared" si="3"/>
        <v>0</v>
      </c>
      <c r="D262">
        <f t="shared" si="4"/>
        <v>0</v>
      </c>
      <c r="E262">
        <v>13.0</v>
      </c>
      <c r="F262">
        <f t="shared" si="5"/>
        <v>0</v>
      </c>
      <c r="G262">
        <f t="shared" si="6"/>
        <v>0</v>
      </c>
      <c r="H262">
        <f>C262*Pumps!$F$18/3600</f>
        <v>0</v>
      </c>
      <c r="I262">
        <f t="shared" si="7"/>
        <v>0</v>
      </c>
      <c r="J262">
        <f t="shared" si="8"/>
        <v>898.56</v>
      </c>
      <c r="K262">
        <f t="shared" si="22"/>
        <v>0</v>
      </c>
      <c r="M262" s="142">
        <f t="shared" si="9"/>
        <v>0</v>
      </c>
      <c r="N262" s="142">
        <f t="shared" si="10"/>
        <v>0</v>
      </c>
      <c r="O262" s="142">
        <f t="shared" ref="O262:Q262" si="264">H262*3600/(1*10^6)</f>
        <v>0</v>
      </c>
      <c r="P262" s="142">
        <f t="shared" si="264"/>
        <v>0</v>
      </c>
      <c r="Q262" s="142">
        <f t="shared" si="264"/>
        <v>3.234816</v>
      </c>
      <c r="R262" s="142">
        <f t="shared" si="12"/>
        <v>0</v>
      </c>
      <c r="T262">
        <f>Pumps!$F$18*D262/Pumps!$I$4/3600</f>
        <v>0</v>
      </c>
      <c r="U262">
        <f>IF('Design Specifications'!$C$30="y",Disinfection!G260*Disinfection!$N$3*(1*10^6)/3600,0)</f>
        <v>0</v>
      </c>
      <c r="V262">
        <f t="shared" si="13"/>
        <v>864</v>
      </c>
      <c r="W262">
        <f t="shared" si="18"/>
        <v>3.1104</v>
      </c>
      <c r="X262">
        <f t="shared" si="14"/>
        <v>3.1104</v>
      </c>
      <c r="Y262">
        <f t="shared" si="15"/>
        <v>0.4536</v>
      </c>
    </row>
    <row r="263">
      <c r="A263" s="78" t="s">
        <v>631</v>
      </c>
      <c r="B263" s="78">
        <v>0.0</v>
      </c>
      <c r="C263" s="78">
        <f t="shared" si="3"/>
        <v>0</v>
      </c>
      <c r="D263">
        <f t="shared" si="4"/>
        <v>0</v>
      </c>
      <c r="E263">
        <v>13.0</v>
      </c>
      <c r="F263">
        <f t="shared" si="5"/>
        <v>0</v>
      </c>
      <c r="G263">
        <f t="shared" si="6"/>
        <v>0</v>
      </c>
      <c r="H263">
        <f>C263*Pumps!$F$18/3600</f>
        <v>0</v>
      </c>
      <c r="I263">
        <f t="shared" si="7"/>
        <v>0</v>
      </c>
      <c r="J263">
        <f t="shared" si="8"/>
        <v>898.56</v>
      </c>
      <c r="K263">
        <f t="shared" si="22"/>
        <v>0</v>
      </c>
      <c r="M263" s="142">
        <f t="shared" si="9"/>
        <v>0</v>
      </c>
      <c r="N263" s="142">
        <f t="shared" si="10"/>
        <v>0</v>
      </c>
      <c r="O263" s="142">
        <f t="shared" ref="O263:Q263" si="265">H263*3600/(1*10^6)</f>
        <v>0</v>
      </c>
      <c r="P263" s="142">
        <f t="shared" si="265"/>
        <v>0</v>
      </c>
      <c r="Q263" s="142">
        <f t="shared" si="265"/>
        <v>3.234816</v>
      </c>
      <c r="R263" s="142">
        <f t="shared" si="12"/>
        <v>0</v>
      </c>
      <c r="T263">
        <f>Pumps!$F$18*D263/Pumps!$I$4/3600</f>
        <v>0</v>
      </c>
      <c r="U263">
        <f>IF('Design Specifications'!$C$30="y",Disinfection!G261*Disinfection!$N$3*(1*10^6)/3600,0)</f>
        <v>0</v>
      </c>
      <c r="V263">
        <f t="shared" si="13"/>
        <v>864</v>
      </c>
      <c r="W263">
        <f t="shared" si="18"/>
        <v>3.1104</v>
      </c>
      <c r="X263">
        <f t="shared" si="14"/>
        <v>3.1104</v>
      </c>
      <c r="Y263">
        <f t="shared" si="15"/>
        <v>0.4536</v>
      </c>
    </row>
    <row r="264">
      <c r="A264" s="78" t="s">
        <v>633</v>
      </c>
      <c r="B264" s="78">
        <v>0.0</v>
      </c>
      <c r="C264" s="78">
        <f t="shared" si="3"/>
        <v>0</v>
      </c>
      <c r="D264">
        <f t="shared" si="4"/>
        <v>0</v>
      </c>
      <c r="E264">
        <v>13.0</v>
      </c>
      <c r="F264">
        <f t="shared" si="5"/>
        <v>0</v>
      </c>
      <c r="G264">
        <f t="shared" si="6"/>
        <v>0</v>
      </c>
      <c r="H264">
        <f>C264*Pumps!$F$18/3600</f>
        <v>0</v>
      </c>
      <c r="I264">
        <f t="shared" si="7"/>
        <v>0</v>
      </c>
      <c r="J264">
        <f t="shared" si="8"/>
        <v>898.56</v>
      </c>
      <c r="K264">
        <f t="shared" si="22"/>
        <v>0</v>
      </c>
      <c r="M264" s="142">
        <f t="shared" si="9"/>
        <v>0</v>
      </c>
      <c r="N264" s="142">
        <f t="shared" si="10"/>
        <v>0</v>
      </c>
      <c r="O264" s="142">
        <f t="shared" ref="O264:Q264" si="266">H264*3600/(1*10^6)</f>
        <v>0</v>
      </c>
      <c r="P264" s="142">
        <f t="shared" si="266"/>
        <v>0</v>
      </c>
      <c r="Q264" s="142">
        <f t="shared" si="266"/>
        <v>3.234816</v>
      </c>
      <c r="R264" s="142">
        <f t="shared" si="12"/>
        <v>0</v>
      </c>
      <c r="T264">
        <f>Pumps!$F$18*D264/Pumps!$I$4/3600</f>
        <v>0</v>
      </c>
      <c r="U264">
        <f>IF('Design Specifications'!$C$30="y",Disinfection!G262*Disinfection!$N$3*(1*10^6)/3600,0)</f>
        <v>0</v>
      </c>
      <c r="V264">
        <f t="shared" si="13"/>
        <v>864</v>
      </c>
      <c r="W264">
        <f t="shared" si="18"/>
        <v>3.1104</v>
      </c>
      <c r="X264">
        <f t="shared" si="14"/>
        <v>3.1104</v>
      </c>
      <c r="Y264">
        <f t="shared" si="15"/>
        <v>0.4536</v>
      </c>
    </row>
    <row r="265">
      <c r="A265" s="78" t="s">
        <v>635</v>
      </c>
      <c r="B265" s="78">
        <v>0.0</v>
      </c>
      <c r="C265" s="78">
        <f t="shared" si="3"/>
        <v>0</v>
      </c>
      <c r="D265">
        <f t="shared" si="4"/>
        <v>0</v>
      </c>
      <c r="E265">
        <v>13.0</v>
      </c>
      <c r="F265">
        <f t="shared" si="5"/>
        <v>0</v>
      </c>
      <c r="G265">
        <f t="shared" si="6"/>
        <v>0</v>
      </c>
      <c r="H265">
        <f>C265*Pumps!$F$18/3600</f>
        <v>0</v>
      </c>
      <c r="I265">
        <f t="shared" si="7"/>
        <v>0</v>
      </c>
      <c r="J265">
        <f t="shared" si="8"/>
        <v>898.56</v>
      </c>
      <c r="K265">
        <f t="shared" si="22"/>
        <v>0</v>
      </c>
      <c r="M265" s="142">
        <f t="shared" si="9"/>
        <v>0</v>
      </c>
      <c r="N265" s="142">
        <f t="shared" si="10"/>
        <v>0</v>
      </c>
      <c r="O265" s="142">
        <f t="shared" ref="O265:Q265" si="267">H265*3600/(1*10^6)</f>
        <v>0</v>
      </c>
      <c r="P265" s="142">
        <f t="shared" si="267"/>
        <v>0</v>
      </c>
      <c r="Q265" s="142">
        <f t="shared" si="267"/>
        <v>3.234816</v>
      </c>
      <c r="R265" s="142">
        <f t="shared" si="12"/>
        <v>0</v>
      </c>
      <c r="T265">
        <f>Pumps!$F$18*D265/Pumps!$I$4/3600</f>
        <v>0</v>
      </c>
      <c r="U265">
        <f>IF('Design Specifications'!$C$30="y",Disinfection!G263*Disinfection!$N$3*(1*10^6)/3600,0)</f>
        <v>0</v>
      </c>
      <c r="V265">
        <f t="shared" si="13"/>
        <v>864</v>
      </c>
      <c r="W265">
        <f t="shared" si="18"/>
        <v>3.1104</v>
      </c>
      <c r="X265">
        <f t="shared" si="14"/>
        <v>3.1104</v>
      </c>
      <c r="Y265">
        <f t="shared" si="15"/>
        <v>0.4536</v>
      </c>
    </row>
    <row r="266">
      <c r="A266" s="78" t="s">
        <v>637</v>
      </c>
      <c r="B266" s="78">
        <v>0.0</v>
      </c>
      <c r="C266" s="78">
        <f t="shared" si="3"/>
        <v>0</v>
      </c>
      <c r="D266">
        <f t="shared" si="4"/>
        <v>0</v>
      </c>
      <c r="E266">
        <v>13.0</v>
      </c>
      <c r="F266">
        <f t="shared" si="5"/>
        <v>0</v>
      </c>
      <c r="G266">
        <f t="shared" si="6"/>
        <v>0</v>
      </c>
      <c r="H266">
        <f>C266*Pumps!$F$18/3600</f>
        <v>0</v>
      </c>
      <c r="I266">
        <f t="shared" si="7"/>
        <v>0</v>
      </c>
      <c r="J266">
        <f t="shared" si="8"/>
        <v>898.56</v>
      </c>
      <c r="K266">
        <f t="shared" si="22"/>
        <v>0</v>
      </c>
      <c r="M266" s="142">
        <f t="shared" si="9"/>
        <v>0</v>
      </c>
      <c r="N266" s="142">
        <f t="shared" si="10"/>
        <v>0</v>
      </c>
      <c r="O266" s="142">
        <f t="shared" ref="O266:Q266" si="268">H266*3600/(1*10^6)</f>
        <v>0</v>
      </c>
      <c r="P266" s="142">
        <f t="shared" si="268"/>
        <v>0</v>
      </c>
      <c r="Q266" s="142">
        <f t="shared" si="268"/>
        <v>3.234816</v>
      </c>
      <c r="R266" s="142">
        <f t="shared" si="12"/>
        <v>0</v>
      </c>
      <c r="T266">
        <f>Pumps!$F$18*D266/Pumps!$I$4/3600</f>
        <v>0</v>
      </c>
      <c r="U266">
        <f>IF('Design Specifications'!$C$30="y",Disinfection!G264*Disinfection!$N$3*(1*10^6)/3600,0)</f>
        <v>0</v>
      </c>
      <c r="V266">
        <f t="shared" si="13"/>
        <v>864</v>
      </c>
      <c r="W266">
        <f t="shared" si="18"/>
        <v>3.1104</v>
      </c>
      <c r="X266">
        <f t="shared" si="14"/>
        <v>3.1104</v>
      </c>
      <c r="Y266">
        <f t="shared" si="15"/>
        <v>0.4536</v>
      </c>
    </row>
    <row r="267">
      <c r="A267" s="78" t="s">
        <v>639</v>
      </c>
      <c r="B267" s="78">
        <v>0.0</v>
      </c>
      <c r="C267" s="78">
        <f t="shared" si="3"/>
        <v>0</v>
      </c>
      <c r="D267">
        <f t="shared" si="4"/>
        <v>0</v>
      </c>
      <c r="E267">
        <v>13.0</v>
      </c>
      <c r="F267">
        <f t="shared" si="5"/>
        <v>0</v>
      </c>
      <c r="G267">
        <f t="shared" si="6"/>
        <v>0</v>
      </c>
      <c r="H267">
        <f>C267*Pumps!$F$18/3600</f>
        <v>0</v>
      </c>
      <c r="I267">
        <f t="shared" si="7"/>
        <v>0</v>
      </c>
      <c r="J267">
        <f t="shared" si="8"/>
        <v>898.56</v>
      </c>
      <c r="K267">
        <f t="shared" si="22"/>
        <v>0</v>
      </c>
      <c r="M267" s="142">
        <f t="shared" si="9"/>
        <v>0</v>
      </c>
      <c r="N267" s="142">
        <f t="shared" si="10"/>
        <v>0</v>
      </c>
      <c r="O267" s="142">
        <f t="shared" ref="O267:Q267" si="269">H267*3600/(1*10^6)</f>
        <v>0</v>
      </c>
      <c r="P267" s="142">
        <f t="shared" si="269"/>
        <v>0</v>
      </c>
      <c r="Q267" s="142">
        <f t="shared" si="269"/>
        <v>3.234816</v>
      </c>
      <c r="R267" s="142">
        <f t="shared" si="12"/>
        <v>0</v>
      </c>
      <c r="T267">
        <f>Pumps!$F$18*D267/Pumps!$I$4/3600</f>
        <v>0</v>
      </c>
      <c r="U267">
        <f>IF('Design Specifications'!$C$30="y",Disinfection!G265*Disinfection!$N$3*(1*10^6)/3600,0)</f>
        <v>0</v>
      </c>
      <c r="V267">
        <f t="shared" si="13"/>
        <v>864</v>
      </c>
      <c r="W267">
        <f t="shared" si="18"/>
        <v>3.1104</v>
      </c>
      <c r="X267">
        <f t="shared" si="14"/>
        <v>3.1104</v>
      </c>
      <c r="Y267">
        <f t="shared" si="15"/>
        <v>0.4536</v>
      </c>
    </row>
    <row r="268">
      <c r="A268" s="78" t="s">
        <v>641</v>
      </c>
      <c r="B268" s="78">
        <v>0.0</v>
      </c>
      <c r="C268" s="78">
        <f t="shared" si="3"/>
        <v>0</v>
      </c>
      <c r="D268">
        <f t="shared" si="4"/>
        <v>0</v>
      </c>
      <c r="E268">
        <v>13.0</v>
      </c>
      <c r="F268">
        <f t="shared" si="5"/>
        <v>0</v>
      </c>
      <c r="G268">
        <f t="shared" si="6"/>
        <v>0</v>
      </c>
      <c r="H268">
        <f>C268*Pumps!$F$18/3600</f>
        <v>0</v>
      </c>
      <c r="I268">
        <f t="shared" si="7"/>
        <v>0</v>
      </c>
      <c r="J268">
        <f t="shared" si="8"/>
        <v>898.56</v>
      </c>
      <c r="K268">
        <f t="shared" si="22"/>
        <v>0</v>
      </c>
      <c r="M268" s="142">
        <f t="shared" si="9"/>
        <v>0</v>
      </c>
      <c r="N268" s="142">
        <f t="shared" si="10"/>
        <v>0</v>
      </c>
      <c r="O268" s="142">
        <f t="shared" ref="O268:Q268" si="270">H268*3600/(1*10^6)</f>
        <v>0</v>
      </c>
      <c r="P268" s="142">
        <f t="shared" si="270"/>
        <v>0</v>
      </c>
      <c r="Q268" s="142">
        <f t="shared" si="270"/>
        <v>3.234816</v>
      </c>
      <c r="R268" s="142">
        <f t="shared" si="12"/>
        <v>0</v>
      </c>
      <c r="T268">
        <f>Pumps!$F$18*D268/Pumps!$I$4/3600</f>
        <v>0</v>
      </c>
      <c r="U268">
        <f>IF('Design Specifications'!$C$30="y",Disinfection!G266*Disinfection!$N$3*(1*10^6)/3600,0)</f>
        <v>0</v>
      </c>
      <c r="V268">
        <f t="shared" si="13"/>
        <v>864</v>
      </c>
      <c r="W268">
        <f t="shared" si="18"/>
        <v>3.1104</v>
      </c>
      <c r="X268">
        <f t="shared" si="14"/>
        <v>3.1104</v>
      </c>
      <c r="Y268">
        <f t="shared" si="15"/>
        <v>0.4536</v>
      </c>
    </row>
    <row r="269">
      <c r="A269" s="78" t="s">
        <v>643</v>
      </c>
      <c r="B269" s="78">
        <v>0.0</v>
      </c>
      <c r="C269" s="78">
        <f t="shared" si="3"/>
        <v>0</v>
      </c>
      <c r="D269">
        <f t="shared" si="4"/>
        <v>0</v>
      </c>
      <c r="E269">
        <v>13.0</v>
      </c>
      <c r="F269">
        <f t="shared" si="5"/>
        <v>0</v>
      </c>
      <c r="G269">
        <f t="shared" si="6"/>
        <v>0</v>
      </c>
      <c r="H269">
        <f>C269*Pumps!$F$18/3600</f>
        <v>0</v>
      </c>
      <c r="I269">
        <f t="shared" si="7"/>
        <v>0</v>
      </c>
      <c r="J269">
        <f t="shared" si="8"/>
        <v>898.56</v>
      </c>
      <c r="K269">
        <f t="shared" si="22"/>
        <v>0</v>
      </c>
      <c r="M269" s="142">
        <f t="shared" si="9"/>
        <v>0</v>
      </c>
      <c r="N269" s="142">
        <f t="shared" si="10"/>
        <v>0</v>
      </c>
      <c r="O269" s="142">
        <f t="shared" ref="O269:Q269" si="271">H269*3600/(1*10^6)</f>
        <v>0</v>
      </c>
      <c r="P269" s="142">
        <f t="shared" si="271"/>
        <v>0</v>
      </c>
      <c r="Q269" s="142">
        <f t="shared" si="271"/>
        <v>3.234816</v>
      </c>
      <c r="R269" s="142">
        <f t="shared" si="12"/>
        <v>0</v>
      </c>
      <c r="T269">
        <f>Pumps!$F$18*D269/Pumps!$I$4/3600</f>
        <v>0</v>
      </c>
      <c r="U269">
        <f>IF('Design Specifications'!$C$30="y",Disinfection!G267*Disinfection!$N$3*(1*10^6)/3600,0)</f>
        <v>0</v>
      </c>
      <c r="V269">
        <f t="shared" si="13"/>
        <v>864</v>
      </c>
      <c r="W269">
        <f t="shared" si="18"/>
        <v>3.1104</v>
      </c>
      <c r="X269">
        <f t="shared" si="14"/>
        <v>3.1104</v>
      </c>
      <c r="Y269">
        <f t="shared" si="15"/>
        <v>0.4536</v>
      </c>
    </row>
    <row r="270">
      <c r="A270" s="78" t="s">
        <v>645</v>
      </c>
      <c r="B270" s="78">
        <v>0.0</v>
      </c>
      <c r="C270" s="78">
        <f t="shared" si="3"/>
        <v>0</v>
      </c>
      <c r="D270">
        <f t="shared" si="4"/>
        <v>0</v>
      </c>
      <c r="E270">
        <v>13.0</v>
      </c>
      <c r="F270">
        <f t="shared" si="5"/>
        <v>0</v>
      </c>
      <c r="G270">
        <f t="shared" si="6"/>
        <v>0</v>
      </c>
      <c r="H270">
        <f>C270*Pumps!$F$18/3600</f>
        <v>0</v>
      </c>
      <c r="I270">
        <f t="shared" si="7"/>
        <v>0</v>
      </c>
      <c r="J270">
        <f t="shared" si="8"/>
        <v>898.56</v>
      </c>
      <c r="K270">
        <f t="shared" si="22"/>
        <v>0</v>
      </c>
      <c r="M270" s="142">
        <f t="shared" si="9"/>
        <v>0</v>
      </c>
      <c r="N270" s="142">
        <f t="shared" si="10"/>
        <v>0</v>
      </c>
      <c r="O270" s="142">
        <f t="shared" ref="O270:Q270" si="272">H270*3600/(1*10^6)</f>
        <v>0</v>
      </c>
      <c r="P270" s="142">
        <f t="shared" si="272"/>
        <v>0</v>
      </c>
      <c r="Q270" s="142">
        <f t="shared" si="272"/>
        <v>3.234816</v>
      </c>
      <c r="R270" s="142">
        <f t="shared" si="12"/>
        <v>0</v>
      </c>
      <c r="T270">
        <f>Pumps!$F$18*D270/Pumps!$I$4/3600</f>
        <v>0</v>
      </c>
      <c r="U270">
        <f>IF('Design Specifications'!$C$30="y",Disinfection!G268*Disinfection!$N$3*(1*10^6)/3600,0)</f>
        <v>0</v>
      </c>
      <c r="V270">
        <f t="shared" si="13"/>
        <v>864</v>
      </c>
      <c r="W270">
        <f t="shared" si="18"/>
        <v>3.1104</v>
      </c>
      <c r="X270">
        <f t="shared" si="14"/>
        <v>3.1104</v>
      </c>
      <c r="Y270">
        <f t="shared" si="15"/>
        <v>0.4536</v>
      </c>
    </row>
    <row r="271">
      <c r="A271" s="78" t="s">
        <v>647</v>
      </c>
      <c r="B271" s="78">
        <v>0.0</v>
      </c>
      <c r="C271" s="78">
        <f t="shared" si="3"/>
        <v>0</v>
      </c>
      <c r="D271">
        <f t="shared" si="4"/>
        <v>0</v>
      </c>
      <c r="E271">
        <v>13.0</v>
      </c>
      <c r="F271">
        <f t="shared" si="5"/>
        <v>0</v>
      </c>
      <c r="G271">
        <f t="shared" si="6"/>
        <v>0</v>
      </c>
      <c r="H271">
        <f>C271*Pumps!$F$18/3600</f>
        <v>0</v>
      </c>
      <c r="I271">
        <f t="shared" si="7"/>
        <v>0</v>
      </c>
      <c r="J271">
        <f t="shared" si="8"/>
        <v>898.56</v>
      </c>
      <c r="K271">
        <f t="shared" si="22"/>
        <v>0</v>
      </c>
      <c r="M271" s="142">
        <f t="shared" si="9"/>
        <v>0</v>
      </c>
      <c r="N271" s="142">
        <f t="shared" si="10"/>
        <v>0</v>
      </c>
      <c r="O271" s="142">
        <f t="shared" ref="O271:Q271" si="273">H271*3600/(1*10^6)</f>
        <v>0</v>
      </c>
      <c r="P271" s="142">
        <f t="shared" si="273"/>
        <v>0</v>
      </c>
      <c r="Q271" s="142">
        <f t="shared" si="273"/>
        <v>3.234816</v>
      </c>
      <c r="R271" s="142">
        <f t="shared" si="12"/>
        <v>0</v>
      </c>
      <c r="T271">
        <f>Pumps!$F$18*D271/Pumps!$I$4/3600</f>
        <v>0</v>
      </c>
      <c r="U271">
        <f>IF('Design Specifications'!$C$30="y",Disinfection!G269*Disinfection!$N$3*(1*10^6)/3600,0)</f>
        <v>0</v>
      </c>
      <c r="V271">
        <f t="shared" si="13"/>
        <v>864</v>
      </c>
      <c r="W271">
        <f t="shared" si="18"/>
        <v>3.1104</v>
      </c>
      <c r="X271">
        <f t="shared" si="14"/>
        <v>3.1104</v>
      </c>
      <c r="Y271">
        <f t="shared" si="15"/>
        <v>0.4536</v>
      </c>
    </row>
    <row r="272">
      <c r="A272" s="78" t="s">
        <v>649</v>
      </c>
      <c r="B272" s="78">
        <v>0.0</v>
      </c>
      <c r="C272" s="78">
        <f t="shared" si="3"/>
        <v>0</v>
      </c>
      <c r="D272">
        <f t="shared" si="4"/>
        <v>0</v>
      </c>
      <c r="E272">
        <v>13.0</v>
      </c>
      <c r="F272">
        <f t="shared" si="5"/>
        <v>0</v>
      </c>
      <c r="G272">
        <f t="shared" si="6"/>
        <v>0</v>
      </c>
      <c r="H272">
        <f>C272*Pumps!$F$18/3600</f>
        <v>0</v>
      </c>
      <c r="I272">
        <f t="shared" si="7"/>
        <v>0</v>
      </c>
      <c r="J272">
        <f t="shared" si="8"/>
        <v>898.56</v>
      </c>
      <c r="K272">
        <f t="shared" si="22"/>
        <v>0</v>
      </c>
      <c r="M272" s="142">
        <f t="shared" si="9"/>
        <v>0</v>
      </c>
      <c r="N272" s="142">
        <f t="shared" si="10"/>
        <v>0</v>
      </c>
      <c r="O272" s="142">
        <f t="shared" ref="O272:Q272" si="274">H272*3600/(1*10^6)</f>
        <v>0</v>
      </c>
      <c r="P272" s="142">
        <f t="shared" si="274"/>
        <v>0</v>
      </c>
      <c r="Q272" s="142">
        <f t="shared" si="274"/>
        <v>3.234816</v>
      </c>
      <c r="R272" s="142">
        <f t="shared" si="12"/>
        <v>0</v>
      </c>
      <c r="T272">
        <f>Pumps!$F$18*D272/Pumps!$I$4/3600</f>
        <v>0</v>
      </c>
      <c r="U272">
        <f>IF('Design Specifications'!$C$30="y",Disinfection!G270*Disinfection!$N$3*(1*10^6)/3600,0)</f>
        <v>0</v>
      </c>
      <c r="V272">
        <f t="shared" si="13"/>
        <v>864</v>
      </c>
      <c r="W272">
        <f t="shared" si="18"/>
        <v>3.1104</v>
      </c>
      <c r="X272">
        <f t="shared" si="14"/>
        <v>3.1104</v>
      </c>
      <c r="Y272">
        <f t="shared" si="15"/>
        <v>0.4536</v>
      </c>
    </row>
    <row r="273">
      <c r="A273" s="78" t="s">
        <v>651</v>
      </c>
      <c r="B273" s="78">
        <v>0.0</v>
      </c>
      <c r="C273" s="78">
        <f t="shared" si="3"/>
        <v>0</v>
      </c>
      <c r="D273">
        <f t="shared" si="4"/>
        <v>0</v>
      </c>
      <c r="E273">
        <v>13.0</v>
      </c>
      <c r="F273">
        <f t="shared" si="5"/>
        <v>0</v>
      </c>
      <c r="G273">
        <f t="shared" si="6"/>
        <v>0</v>
      </c>
      <c r="H273">
        <f>C273*Pumps!$F$18/3600</f>
        <v>0</v>
      </c>
      <c r="I273">
        <f t="shared" si="7"/>
        <v>0</v>
      </c>
      <c r="J273">
        <f t="shared" si="8"/>
        <v>898.56</v>
      </c>
      <c r="K273">
        <f t="shared" si="22"/>
        <v>0</v>
      </c>
      <c r="M273" s="142">
        <f t="shared" si="9"/>
        <v>0</v>
      </c>
      <c r="N273" s="142">
        <f t="shared" si="10"/>
        <v>0</v>
      </c>
      <c r="O273" s="142">
        <f t="shared" ref="O273:Q273" si="275">H273*3600/(1*10^6)</f>
        <v>0</v>
      </c>
      <c r="P273" s="142">
        <f t="shared" si="275"/>
        <v>0</v>
      </c>
      <c r="Q273" s="142">
        <f t="shared" si="275"/>
        <v>3.234816</v>
      </c>
      <c r="R273" s="142">
        <f t="shared" si="12"/>
        <v>0</v>
      </c>
      <c r="T273">
        <f>Pumps!$F$18*D273/Pumps!$I$4/3600</f>
        <v>0</v>
      </c>
      <c r="U273">
        <f>IF('Design Specifications'!$C$30="y",Disinfection!G271*Disinfection!$N$3*(1*10^6)/3600,0)</f>
        <v>0</v>
      </c>
      <c r="V273">
        <f t="shared" si="13"/>
        <v>864</v>
      </c>
      <c r="W273">
        <f t="shared" si="18"/>
        <v>3.1104</v>
      </c>
      <c r="X273">
        <f t="shared" si="14"/>
        <v>3.1104</v>
      </c>
      <c r="Y273">
        <f t="shared" si="15"/>
        <v>0.4536</v>
      </c>
    </row>
    <row r="274">
      <c r="A274" s="78" t="s">
        <v>653</v>
      </c>
      <c r="B274" s="78">
        <v>0.0</v>
      </c>
      <c r="C274" s="78">
        <f t="shared" si="3"/>
        <v>0</v>
      </c>
      <c r="D274">
        <f t="shared" si="4"/>
        <v>0</v>
      </c>
      <c r="E274">
        <v>13.0</v>
      </c>
      <c r="F274">
        <f t="shared" si="5"/>
        <v>0</v>
      </c>
      <c r="G274">
        <f t="shared" si="6"/>
        <v>0</v>
      </c>
      <c r="H274">
        <f>C274*Pumps!$F$18/3600</f>
        <v>0</v>
      </c>
      <c r="I274">
        <f t="shared" si="7"/>
        <v>0</v>
      </c>
      <c r="J274">
        <f t="shared" si="8"/>
        <v>898.56</v>
      </c>
      <c r="K274">
        <f t="shared" si="22"/>
        <v>0</v>
      </c>
      <c r="M274" s="142">
        <f t="shared" si="9"/>
        <v>0</v>
      </c>
      <c r="N274" s="142">
        <f t="shared" si="10"/>
        <v>0</v>
      </c>
      <c r="O274" s="142">
        <f t="shared" ref="O274:Q274" si="276">H274*3600/(1*10^6)</f>
        <v>0</v>
      </c>
      <c r="P274" s="142">
        <f t="shared" si="276"/>
        <v>0</v>
      </c>
      <c r="Q274" s="142">
        <f t="shared" si="276"/>
        <v>3.234816</v>
      </c>
      <c r="R274" s="142">
        <f t="shared" si="12"/>
        <v>0</v>
      </c>
      <c r="T274">
        <f>Pumps!$F$18*D274/Pumps!$I$4/3600</f>
        <v>0</v>
      </c>
      <c r="U274">
        <f>IF('Design Specifications'!$C$30="y",Disinfection!G272*Disinfection!$N$3*(1*10^6)/3600,0)</f>
        <v>0</v>
      </c>
      <c r="V274">
        <f t="shared" si="13"/>
        <v>864</v>
      </c>
      <c r="W274">
        <f t="shared" si="18"/>
        <v>3.1104</v>
      </c>
      <c r="X274">
        <f t="shared" si="14"/>
        <v>3.1104</v>
      </c>
      <c r="Y274">
        <f t="shared" si="15"/>
        <v>0.4536</v>
      </c>
    </row>
    <row r="275">
      <c r="A275" s="78" t="s">
        <v>655</v>
      </c>
      <c r="B275" s="78">
        <v>26.4</v>
      </c>
      <c r="C275" s="78">
        <f t="shared" si="3"/>
        <v>3168</v>
      </c>
      <c r="D275">
        <f t="shared" si="4"/>
        <v>3.168</v>
      </c>
      <c r="E275">
        <v>13.0</v>
      </c>
      <c r="F275">
        <f t="shared" si="5"/>
        <v>0</v>
      </c>
      <c r="G275">
        <f t="shared" si="6"/>
        <v>0</v>
      </c>
      <c r="H275">
        <f>C275*Pumps!$F$18/3600</f>
        <v>134999.4265</v>
      </c>
      <c r="I275">
        <f t="shared" si="7"/>
        <v>192856.3236</v>
      </c>
      <c r="J275">
        <f t="shared" si="8"/>
        <v>217514.7827</v>
      </c>
      <c r="K275">
        <f t="shared" si="22"/>
        <v>0</v>
      </c>
      <c r="M275" s="142">
        <f t="shared" si="9"/>
        <v>0</v>
      </c>
      <c r="N275" s="142">
        <f t="shared" si="10"/>
        <v>0</v>
      </c>
      <c r="O275" s="142">
        <f t="shared" ref="O275:Q275" si="277">H275*3600/(1*10^6)</f>
        <v>485.9979354</v>
      </c>
      <c r="P275" s="142">
        <f t="shared" si="277"/>
        <v>694.2827649</v>
      </c>
      <c r="Q275" s="142">
        <f t="shared" si="277"/>
        <v>783.0532176</v>
      </c>
      <c r="R275" s="142">
        <f t="shared" si="12"/>
        <v>0</v>
      </c>
      <c r="T275">
        <f>Pumps!$F$18*D275/Pumps!$I$4/3600</f>
        <v>192.8563236</v>
      </c>
      <c r="U275">
        <f>IF('Design Specifications'!$C$30="y",Disinfection!G273*Disinfection!$N$3*(1*10^6)/3600,0)</f>
        <v>0</v>
      </c>
      <c r="V275">
        <f t="shared" si="13"/>
        <v>864</v>
      </c>
      <c r="W275">
        <f t="shared" si="18"/>
        <v>3.804682765</v>
      </c>
      <c r="X275">
        <f t="shared" si="14"/>
        <v>3.1104</v>
      </c>
      <c r="Y275">
        <f t="shared" si="15"/>
        <v>0.5031916261</v>
      </c>
    </row>
    <row r="276">
      <c r="A276" s="78" t="s">
        <v>657</v>
      </c>
      <c r="B276" s="78">
        <v>0.4</v>
      </c>
      <c r="C276" s="78">
        <f t="shared" si="3"/>
        <v>48</v>
      </c>
      <c r="D276">
        <f t="shared" si="4"/>
        <v>0.048</v>
      </c>
      <c r="E276">
        <v>13.0</v>
      </c>
      <c r="F276">
        <f t="shared" si="5"/>
        <v>0</v>
      </c>
      <c r="G276">
        <f t="shared" si="6"/>
        <v>0</v>
      </c>
      <c r="H276">
        <f>C276*Pumps!$F$18/3600</f>
        <v>2045.445856</v>
      </c>
      <c r="I276">
        <f t="shared" si="7"/>
        <v>2922.065509</v>
      </c>
      <c r="J276">
        <f t="shared" si="8"/>
        <v>4180.62398</v>
      </c>
      <c r="K276">
        <f t="shared" si="22"/>
        <v>0</v>
      </c>
      <c r="M276" s="142">
        <f t="shared" si="9"/>
        <v>0</v>
      </c>
      <c r="N276" s="142">
        <f t="shared" si="10"/>
        <v>0</v>
      </c>
      <c r="O276" s="142">
        <f t="shared" ref="O276:Q276" si="278">H276*3600/(1*10^6)</f>
        <v>7.363605082</v>
      </c>
      <c r="P276" s="142">
        <f t="shared" si="278"/>
        <v>10.51943583</v>
      </c>
      <c r="Q276" s="142">
        <f t="shared" si="278"/>
        <v>15.05024633</v>
      </c>
      <c r="R276" s="142">
        <f t="shared" si="12"/>
        <v>0</v>
      </c>
      <c r="T276">
        <f>Pumps!$F$18*D276/Pumps!$I$4/3600</f>
        <v>2.922065509</v>
      </c>
      <c r="U276">
        <f>IF('Design Specifications'!$C$30="y",Disinfection!G274*Disinfection!$N$3*(1*10^6)/3600,0)</f>
        <v>0</v>
      </c>
      <c r="V276">
        <f t="shared" si="13"/>
        <v>864</v>
      </c>
      <c r="W276">
        <f t="shared" si="18"/>
        <v>3.120919436</v>
      </c>
      <c r="X276">
        <f t="shared" si="14"/>
        <v>3.1104</v>
      </c>
      <c r="Y276">
        <f t="shared" si="15"/>
        <v>0.4543513883</v>
      </c>
    </row>
    <row r="277">
      <c r="A277" s="78" t="s">
        <v>659</v>
      </c>
      <c r="B277" s="78">
        <v>0.0</v>
      </c>
      <c r="C277" s="78">
        <f t="shared" si="3"/>
        <v>0</v>
      </c>
      <c r="D277">
        <f t="shared" si="4"/>
        <v>0</v>
      </c>
      <c r="E277">
        <v>13.0</v>
      </c>
      <c r="F277">
        <f t="shared" si="5"/>
        <v>0</v>
      </c>
      <c r="G277">
        <f t="shared" si="6"/>
        <v>0</v>
      </c>
      <c r="H277">
        <f>C277*Pumps!$F$18/3600</f>
        <v>0</v>
      </c>
      <c r="I277">
        <f t="shared" si="7"/>
        <v>0</v>
      </c>
      <c r="J277">
        <f t="shared" si="8"/>
        <v>898.56</v>
      </c>
      <c r="K277">
        <f t="shared" si="22"/>
        <v>0</v>
      </c>
      <c r="M277" s="142">
        <f t="shared" si="9"/>
        <v>0</v>
      </c>
      <c r="N277" s="142">
        <f t="shared" si="10"/>
        <v>0</v>
      </c>
      <c r="O277" s="142">
        <f t="shared" ref="O277:Q277" si="279">H277*3600/(1*10^6)</f>
        <v>0</v>
      </c>
      <c r="P277" s="142">
        <f t="shared" si="279"/>
        <v>0</v>
      </c>
      <c r="Q277" s="142">
        <f t="shared" si="279"/>
        <v>3.234816</v>
      </c>
      <c r="R277" s="142">
        <f t="shared" si="12"/>
        <v>0</v>
      </c>
      <c r="T277">
        <f>Pumps!$F$18*D277/Pumps!$I$4/3600</f>
        <v>0</v>
      </c>
      <c r="U277">
        <f>IF('Design Specifications'!$C$30="y",Disinfection!G275*Disinfection!$N$3*(1*10^6)/3600,0)</f>
        <v>0</v>
      </c>
      <c r="V277">
        <f t="shared" si="13"/>
        <v>864</v>
      </c>
      <c r="W277">
        <f t="shared" si="18"/>
        <v>3.1104</v>
      </c>
      <c r="X277">
        <f t="shared" si="14"/>
        <v>3.1104</v>
      </c>
      <c r="Y277">
        <f t="shared" si="15"/>
        <v>0.4536</v>
      </c>
    </row>
    <row r="278">
      <c r="A278" s="78" t="s">
        <v>661</v>
      </c>
      <c r="B278" s="78">
        <v>2.0</v>
      </c>
      <c r="C278" s="78">
        <f t="shared" si="3"/>
        <v>240</v>
      </c>
      <c r="D278">
        <f t="shared" si="4"/>
        <v>0.24</v>
      </c>
      <c r="E278">
        <v>13.0</v>
      </c>
      <c r="F278">
        <f t="shared" si="5"/>
        <v>0</v>
      </c>
      <c r="G278">
        <f t="shared" si="6"/>
        <v>0</v>
      </c>
      <c r="H278">
        <f>C278*Pumps!$F$18/3600</f>
        <v>10227.22928</v>
      </c>
      <c r="I278">
        <f t="shared" si="7"/>
        <v>14610.32754</v>
      </c>
      <c r="J278">
        <f t="shared" si="8"/>
        <v>17308.8799</v>
      </c>
      <c r="K278">
        <f t="shared" si="22"/>
        <v>0</v>
      </c>
      <c r="M278" s="142">
        <f t="shared" si="9"/>
        <v>0</v>
      </c>
      <c r="N278" s="142">
        <f t="shared" si="10"/>
        <v>0</v>
      </c>
      <c r="O278" s="142">
        <f t="shared" ref="O278:Q278" si="280">H278*3600/(1*10^6)</f>
        <v>36.81802541</v>
      </c>
      <c r="P278" s="142">
        <f t="shared" si="280"/>
        <v>52.59717916</v>
      </c>
      <c r="Q278" s="142">
        <f t="shared" si="280"/>
        <v>62.31196763</v>
      </c>
      <c r="R278" s="142">
        <f t="shared" si="12"/>
        <v>0</v>
      </c>
      <c r="T278">
        <f>Pumps!$F$18*D278/Pumps!$I$4/3600</f>
        <v>14.61032754</v>
      </c>
      <c r="U278">
        <f>IF('Design Specifications'!$C$30="y",Disinfection!G276*Disinfection!$N$3*(1*10^6)/3600,0)</f>
        <v>0</v>
      </c>
      <c r="V278">
        <f t="shared" si="13"/>
        <v>864</v>
      </c>
      <c r="W278">
        <f t="shared" si="18"/>
        <v>3.162997179</v>
      </c>
      <c r="X278">
        <f t="shared" si="14"/>
        <v>3.1104</v>
      </c>
      <c r="Y278">
        <f t="shared" si="15"/>
        <v>0.4573569414</v>
      </c>
    </row>
    <row r="279">
      <c r="A279" s="78" t="s">
        <v>663</v>
      </c>
      <c r="B279" s="78">
        <v>12.4</v>
      </c>
      <c r="C279" s="78">
        <f t="shared" si="3"/>
        <v>1488</v>
      </c>
      <c r="D279">
        <f t="shared" si="4"/>
        <v>1.488</v>
      </c>
      <c r="E279">
        <v>13.0</v>
      </c>
      <c r="F279">
        <f t="shared" si="5"/>
        <v>0</v>
      </c>
      <c r="G279">
        <f t="shared" si="6"/>
        <v>0</v>
      </c>
      <c r="H279">
        <f>C279*Pumps!$F$18/3600</f>
        <v>63408.82154</v>
      </c>
      <c r="I279">
        <f t="shared" si="7"/>
        <v>90584.03078</v>
      </c>
      <c r="J279">
        <f t="shared" si="8"/>
        <v>102642.5434</v>
      </c>
      <c r="K279">
        <f t="shared" si="22"/>
        <v>0</v>
      </c>
      <c r="M279" s="142">
        <f t="shared" si="9"/>
        <v>0</v>
      </c>
      <c r="N279" s="142">
        <f t="shared" si="10"/>
        <v>0</v>
      </c>
      <c r="O279" s="142">
        <f t="shared" ref="O279:Q279" si="281">H279*3600/(1*10^6)</f>
        <v>228.2717576</v>
      </c>
      <c r="P279" s="142">
        <f t="shared" si="281"/>
        <v>326.1025108</v>
      </c>
      <c r="Q279" s="142">
        <f t="shared" si="281"/>
        <v>369.5131561</v>
      </c>
      <c r="R279" s="142">
        <f t="shared" si="12"/>
        <v>0</v>
      </c>
      <c r="T279">
        <f>Pumps!$F$18*D279/Pumps!$I$4/3600</f>
        <v>90.58403078</v>
      </c>
      <c r="U279">
        <f>IF('Design Specifications'!$C$30="y",Disinfection!G277*Disinfection!$N$3*(1*10^6)/3600,0)</f>
        <v>0</v>
      </c>
      <c r="V279">
        <f t="shared" si="13"/>
        <v>864</v>
      </c>
      <c r="W279">
        <f t="shared" si="18"/>
        <v>3.436502511</v>
      </c>
      <c r="X279">
        <f t="shared" si="14"/>
        <v>3.1104</v>
      </c>
      <c r="Y279">
        <f t="shared" si="15"/>
        <v>0.4768930365</v>
      </c>
    </row>
    <row r="280">
      <c r="A280" s="78" t="s">
        <v>665</v>
      </c>
      <c r="B280" s="78">
        <v>29.4</v>
      </c>
      <c r="C280" s="78">
        <f t="shared" si="3"/>
        <v>3528</v>
      </c>
      <c r="D280">
        <f t="shared" si="4"/>
        <v>3.528</v>
      </c>
      <c r="E280">
        <v>13.0</v>
      </c>
      <c r="F280">
        <f t="shared" si="5"/>
        <v>0</v>
      </c>
      <c r="G280">
        <f t="shared" si="6"/>
        <v>0</v>
      </c>
      <c r="H280">
        <f>C280*Pumps!$F$18/3600</f>
        <v>150340.2704</v>
      </c>
      <c r="I280">
        <f t="shared" si="7"/>
        <v>214771.8149</v>
      </c>
      <c r="J280">
        <f t="shared" si="8"/>
        <v>242130.2625</v>
      </c>
      <c r="K280">
        <f t="shared" si="22"/>
        <v>0</v>
      </c>
      <c r="M280" s="142">
        <f t="shared" si="9"/>
        <v>0</v>
      </c>
      <c r="N280" s="142">
        <f t="shared" si="10"/>
        <v>0</v>
      </c>
      <c r="O280" s="142">
        <f t="shared" ref="O280:Q280" si="282">H280*3600/(1*10^6)</f>
        <v>541.2249736</v>
      </c>
      <c r="P280" s="142">
        <f t="shared" si="282"/>
        <v>773.1785337</v>
      </c>
      <c r="Q280" s="142">
        <f t="shared" si="282"/>
        <v>871.668945</v>
      </c>
      <c r="R280" s="142">
        <f t="shared" si="12"/>
        <v>0</v>
      </c>
      <c r="T280">
        <f>Pumps!$F$18*D280/Pumps!$I$4/3600</f>
        <v>214.7718149</v>
      </c>
      <c r="U280">
        <f>IF('Design Specifications'!$C$30="y",Disinfection!G278*Disinfection!$N$3*(1*10^6)/3600,0)</f>
        <v>0</v>
      </c>
      <c r="V280">
        <f t="shared" si="13"/>
        <v>864</v>
      </c>
      <c r="W280">
        <f t="shared" si="18"/>
        <v>3.883578534</v>
      </c>
      <c r="X280">
        <f t="shared" si="14"/>
        <v>3.1104</v>
      </c>
      <c r="Y280">
        <f t="shared" si="15"/>
        <v>0.5088270381</v>
      </c>
    </row>
    <row r="281">
      <c r="A281" s="78" t="s">
        <v>667</v>
      </c>
      <c r="B281" s="78">
        <v>1.6</v>
      </c>
      <c r="C281" s="78">
        <f t="shared" si="3"/>
        <v>192</v>
      </c>
      <c r="D281">
        <f t="shared" si="4"/>
        <v>0.192</v>
      </c>
      <c r="E281">
        <v>13.0</v>
      </c>
      <c r="F281">
        <f t="shared" si="5"/>
        <v>0</v>
      </c>
      <c r="G281">
        <f t="shared" si="6"/>
        <v>0</v>
      </c>
      <c r="H281">
        <f>C281*Pumps!$F$18/3600</f>
        <v>8181.783425</v>
      </c>
      <c r="I281">
        <f t="shared" si="7"/>
        <v>11688.26204</v>
      </c>
      <c r="J281">
        <f t="shared" si="8"/>
        <v>14026.81592</v>
      </c>
      <c r="K281">
        <f t="shared" si="22"/>
        <v>0</v>
      </c>
      <c r="M281" s="142">
        <f t="shared" si="9"/>
        <v>0</v>
      </c>
      <c r="N281" s="142">
        <f t="shared" si="10"/>
        <v>0</v>
      </c>
      <c r="O281" s="142">
        <f t="shared" ref="O281:Q281" si="283">H281*3600/(1*10^6)</f>
        <v>29.45442033</v>
      </c>
      <c r="P281" s="142">
        <f t="shared" si="283"/>
        <v>42.07774333</v>
      </c>
      <c r="Q281" s="142">
        <f t="shared" si="283"/>
        <v>50.49653731</v>
      </c>
      <c r="R281" s="142">
        <f t="shared" si="12"/>
        <v>0</v>
      </c>
      <c r="T281">
        <f>Pumps!$F$18*D281/Pumps!$I$4/3600</f>
        <v>11.68826204</v>
      </c>
      <c r="U281">
        <f>IF('Design Specifications'!$C$30="y",Disinfection!G279*Disinfection!$N$3*(1*10^6)/3600,0)</f>
        <v>0</v>
      </c>
      <c r="V281">
        <f t="shared" si="13"/>
        <v>864</v>
      </c>
      <c r="W281">
        <f t="shared" si="18"/>
        <v>3.152477743</v>
      </c>
      <c r="X281">
        <f t="shared" si="14"/>
        <v>3.1104</v>
      </c>
      <c r="Y281">
        <f t="shared" si="15"/>
        <v>0.4566055531</v>
      </c>
    </row>
    <row r="282">
      <c r="A282" s="78" t="s">
        <v>669</v>
      </c>
      <c r="B282" s="78">
        <v>0.6</v>
      </c>
      <c r="C282" s="78">
        <f t="shared" si="3"/>
        <v>72</v>
      </c>
      <c r="D282">
        <f t="shared" si="4"/>
        <v>0.072</v>
      </c>
      <c r="E282">
        <v>13.0</v>
      </c>
      <c r="F282">
        <f t="shared" si="5"/>
        <v>0</v>
      </c>
      <c r="G282">
        <f t="shared" si="6"/>
        <v>0</v>
      </c>
      <c r="H282">
        <f>C282*Pumps!$F$18/3600</f>
        <v>3068.168784</v>
      </c>
      <c r="I282">
        <f t="shared" si="7"/>
        <v>4383.098263</v>
      </c>
      <c r="J282">
        <f t="shared" si="8"/>
        <v>5821.655969</v>
      </c>
      <c r="K282">
        <f t="shared" si="22"/>
        <v>0</v>
      </c>
      <c r="M282" s="142">
        <f t="shared" si="9"/>
        <v>0</v>
      </c>
      <c r="N282" s="142">
        <f t="shared" si="10"/>
        <v>0</v>
      </c>
      <c r="O282" s="142">
        <f t="shared" ref="O282:Q282" si="284">H282*3600/(1*10^6)</f>
        <v>11.04540762</v>
      </c>
      <c r="P282" s="142">
        <f t="shared" si="284"/>
        <v>15.77915375</v>
      </c>
      <c r="Q282" s="142">
        <f t="shared" si="284"/>
        <v>20.95796149</v>
      </c>
      <c r="R282" s="142">
        <f t="shared" si="12"/>
        <v>0</v>
      </c>
      <c r="T282">
        <f>Pumps!$F$18*D282/Pumps!$I$4/3600</f>
        <v>4.383098263</v>
      </c>
      <c r="U282">
        <f>IF('Design Specifications'!$C$30="y",Disinfection!G280*Disinfection!$N$3*(1*10^6)/3600,0)</f>
        <v>0</v>
      </c>
      <c r="V282">
        <f t="shared" si="13"/>
        <v>864</v>
      </c>
      <c r="W282">
        <f t="shared" si="18"/>
        <v>3.126179154</v>
      </c>
      <c r="X282">
        <f t="shared" si="14"/>
        <v>3.1104</v>
      </c>
      <c r="Y282">
        <f t="shared" si="15"/>
        <v>0.4547270824</v>
      </c>
    </row>
    <row r="283">
      <c r="A283" s="78" t="s">
        <v>671</v>
      </c>
      <c r="B283" s="78">
        <v>8.2</v>
      </c>
      <c r="C283" s="78">
        <f t="shared" si="3"/>
        <v>984</v>
      </c>
      <c r="D283">
        <f t="shared" si="4"/>
        <v>0.984</v>
      </c>
      <c r="E283">
        <v>13.0</v>
      </c>
      <c r="F283">
        <f t="shared" si="5"/>
        <v>0</v>
      </c>
      <c r="G283">
        <f t="shared" si="6"/>
        <v>0</v>
      </c>
      <c r="H283">
        <f>C283*Pumps!$F$18/3600</f>
        <v>41931.64005</v>
      </c>
      <c r="I283">
        <f t="shared" si="7"/>
        <v>59902.34293</v>
      </c>
      <c r="J283">
        <f t="shared" si="8"/>
        <v>68180.87158</v>
      </c>
      <c r="K283">
        <f t="shared" si="22"/>
        <v>0</v>
      </c>
      <c r="M283" s="142">
        <f t="shared" si="9"/>
        <v>0</v>
      </c>
      <c r="N283" s="142">
        <f t="shared" si="10"/>
        <v>0</v>
      </c>
      <c r="O283" s="142">
        <f t="shared" ref="O283:Q283" si="285">H283*3600/(1*10^6)</f>
        <v>150.9539042</v>
      </c>
      <c r="P283" s="142">
        <f t="shared" si="285"/>
        <v>215.6484346</v>
      </c>
      <c r="Q283" s="142">
        <f t="shared" si="285"/>
        <v>245.4511377</v>
      </c>
      <c r="R283" s="142">
        <f t="shared" si="12"/>
        <v>0</v>
      </c>
      <c r="T283">
        <f>Pumps!$F$18*D283/Pumps!$I$4/3600</f>
        <v>59.90234293</v>
      </c>
      <c r="U283">
        <f>IF('Design Specifications'!$C$30="y",Disinfection!G281*Disinfection!$N$3*(1*10^6)/3600,0)</f>
        <v>0</v>
      </c>
      <c r="V283">
        <f t="shared" si="13"/>
        <v>864</v>
      </c>
      <c r="W283">
        <f t="shared" si="18"/>
        <v>3.326048435</v>
      </c>
      <c r="X283">
        <f t="shared" si="14"/>
        <v>3.1104</v>
      </c>
      <c r="Y283">
        <f t="shared" si="15"/>
        <v>0.4690034596</v>
      </c>
    </row>
    <row r="284">
      <c r="A284" s="78" t="s">
        <v>673</v>
      </c>
      <c r="B284" s="78">
        <v>0.0</v>
      </c>
      <c r="C284" s="78">
        <f t="shared" si="3"/>
        <v>0</v>
      </c>
      <c r="D284">
        <f t="shared" si="4"/>
        <v>0</v>
      </c>
      <c r="E284">
        <v>13.0</v>
      </c>
      <c r="F284">
        <f t="shared" si="5"/>
        <v>0</v>
      </c>
      <c r="G284">
        <f t="shared" si="6"/>
        <v>0</v>
      </c>
      <c r="H284">
        <f>C284*Pumps!$F$18/3600</f>
        <v>0</v>
      </c>
      <c r="I284">
        <f t="shared" si="7"/>
        <v>0</v>
      </c>
      <c r="J284">
        <f t="shared" si="8"/>
        <v>898.56</v>
      </c>
      <c r="K284">
        <f t="shared" si="22"/>
        <v>0</v>
      </c>
      <c r="M284" s="142">
        <f t="shared" si="9"/>
        <v>0</v>
      </c>
      <c r="N284" s="142">
        <f t="shared" si="10"/>
        <v>0</v>
      </c>
      <c r="O284" s="142">
        <f t="shared" ref="O284:Q284" si="286">H284*3600/(1*10^6)</f>
        <v>0</v>
      </c>
      <c r="P284" s="142">
        <f t="shared" si="286"/>
        <v>0</v>
      </c>
      <c r="Q284" s="142">
        <f t="shared" si="286"/>
        <v>3.234816</v>
      </c>
      <c r="R284" s="142">
        <f t="shared" si="12"/>
        <v>0</v>
      </c>
      <c r="T284">
        <f>Pumps!$F$18*D284/Pumps!$I$4/3600</f>
        <v>0</v>
      </c>
      <c r="U284">
        <f>IF('Design Specifications'!$C$30="y",Disinfection!G282*Disinfection!$N$3*(1*10^6)/3600,0)</f>
        <v>0</v>
      </c>
      <c r="V284">
        <f t="shared" si="13"/>
        <v>864</v>
      </c>
      <c r="W284">
        <f t="shared" si="18"/>
        <v>3.1104</v>
      </c>
      <c r="X284">
        <f t="shared" si="14"/>
        <v>3.1104</v>
      </c>
      <c r="Y284">
        <f t="shared" si="15"/>
        <v>0.4536</v>
      </c>
    </row>
    <row r="285">
      <c r="A285" s="78" t="s">
        <v>675</v>
      </c>
      <c r="B285" s="78">
        <v>12.4</v>
      </c>
      <c r="C285" s="78">
        <f t="shared" si="3"/>
        <v>1488</v>
      </c>
      <c r="D285">
        <f t="shared" si="4"/>
        <v>1.488</v>
      </c>
      <c r="E285">
        <v>13.0</v>
      </c>
      <c r="F285">
        <f t="shared" si="5"/>
        <v>0</v>
      </c>
      <c r="G285">
        <f t="shared" si="6"/>
        <v>0</v>
      </c>
      <c r="H285">
        <f>C285*Pumps!$F$18/3600</f>
        <v>63408.82154</v>
      </c>
      <c r="I285">
        <f t="shared" si="7"/>
        <v>90584.03078</v>
      </c>
      <c r="J285">
        <f t="shared" si="8"/>
        <v>102642.5434</v>
      </c>
      <c r="K285">
        <f t="shared" si="22"/>
        <v>0</v>
      </c>
      <c r="M285" s="142">
        <f t="shared" si="9"/>
        <v>0</v>
      </c>
      <c r="N285" s="142">
        <f t="shared" si="10"/>
        <v>0</v>
      </c>
      <c r="O285" s="142">
        <f t="shared" ref="O285:Q285" si="287">H285*3600/(1*10^6)</f>
        <v>228.2717576</v>
      </c>
      <c r="P285" s="142">
        <f t="shared" si="287"/>
        <v>326.1025108</v>
      </c>
      <c r="Q285" s="142">
        <f t="shared" si="287"/>
        <v>369.5131561</v>
      </c>
      <c r="R285" s="142">
        <f t="shared" si="12"/>
        <v>0</v>
      </c>
      <c r="T285">
        <f>Pumps!$F$18*D285/Pumps!$I$4/3600</f>
        <v>90.58403078</v>
      </c>
      <c r="U285">
        <f>IF('Design Specifications'!$C$30="y",Disinfection!G283*Disinfection!$N$3*(1*10^6)/3600,0)</f>
        <v>0</v>
      </c>
      <c r="V285">
        <f t="shared" si="13"/>
        <v>864</v>
      </c>
      <c r="W285">
        <f t="shared" si="18"/>
        <v>3.436502511</v>
      </c>
      <c r="X285">
        <f t="shared" si="14"/>
        <v>3.1104</v>
      </c>
      <c r="Y285">
        <f t="shared" si="15"/>
        <v>0.4768930365</v>
      </c>
    </row>
    <row r="286">
      <c r="A286" s="78" t="s">
        <v>677</v>
      </c>
      <c r="B286" s="78">
        <v>5.6</v>
      </c>
      <c r="C286" s="78">
        <f t="shared" si="3"/>
        <v>672</v>
      </c>
      <c r="D286">
        <f t="shared" si="4"/>
        <v>0.672</v>
      </c>
      <c r="E286">
        <v>13.0</v>
      </c>
      <c r="F286">
        <f t="shared" si="5"/>
        <v>0</v>
      </c>
      <c r="G286">
        <f t="shared" si="6"/>
        <v>0</v>
      </c>
      <c r="H286">
        <f>C286*Pumps!$F$18/3600</f>
        <v>28636.24199</v>
      </c>
      <c r="I286">
        <f t="shared" si="7"/>
        <v>40908.91712</v>
      </c>
      <c r="J286">
        <f t="shared" si="8"/>
        <v>46847.45571</v>
      </c>
      <c r="K286">
        <f t="shared" si="22"/>
        <v>0</v>
      </c>
      <c r="M286" s="142">
        <f t="shared" si="9"/>
        <v>0</v>
      </c>
      <c r="N286" s="142">
        <f t="shared" si="10"/>
        <v>0</v>
      </c>
      <c r="O286" s="142">
        <f t="shared" ref="O286:Q286" si="288">H286*3600/(1*10^6)</f>
        <v>103.0904712</v>
      </c>
      <c r="P286" s="142">
        <f t="shared" si="288"/>
        <v>147.2721016</v>
      </c>
      <c r="Q286" s="142">
        <f t="shared" si="288"/>
        <v>168.6508406</v>
      </c>
      <c r="R286" s="142">
        <f t="shared" si="12"/>
        <v>0</v>
      </c>
      <c r="T286">
        <f>Pumps!$F$18*D286/Pumps!$I$4/3600</f>
        <v>40.90891712</v>
      </c>
      <c r="U286">
        <f>IF('Design Specifications'!$C$30="y",Disinfection!G284*Disinfection!$N$3*(1*10^6)/3600,0)</f>
        <v>0</v>
      </c>
      <c r="V286">
        <f t="shared" si="13"/>
        <v>864</v>
      </c>
      <c r="W286">
        <f t="shared" si="18"/>
        <v>3.257672102</v>
      </c>
      <c r="X286">
        <f t="shared" si="14"/>
        <v>3.1104</v>
      </c>
      <c r="Y286">
        <f t="shared" si="15"/>
        <v>0.4641194358</v>
      </c>
    </row>
    <row r="287">
      <c r="A287" s="78" t="s">
        <v>679</v>
      </c>
      <c r="B287" s="78">
        <v>0.0</v>
      </c>
      <c r="C287" s="78">
        <f t="shared" si="3"/>
        <v>0</v>
      </c>
      <c r="D287">
        <f t="shared" si="4"/>
        <v>0</v>
      </c>
      <c r="E287">
        <v>13.0</v>
      </c>
      <c r="F287">
        <f t="shared" si="5"/>
        <v>0</v>
      </c>
      <c r="G287">
        <f t="shared" si="6"/>
        <v>0</v>
      </c>
      <c r="H287">
        <f>C287*Pumps!$F$18/3600</f>
        <v>0</v>
      </c>
      <c r="I287">
        <f t="shared" si="7"/>
        <v>0</v>
      </c>
      <c r="J287">
        <f t="shared" si="8"/>
        <v>898.56</v>
      </c>
      <c r="K287">
        <f t="shared" si="22"/>
        <v>0</v>
      </c>
      <c r="M287" s="142">
        <f t="shared" si="9"/>
        <v>0</v>
      </c>
      <c r="N287" s="142">
        <f t="shared" si="10"/>
        <v>0</v>
      </c>
      <c r="O287" s="142">
        <f t="shared" ref="O287:Q287" si="289">H287*3600/(1*10^6)</f>
        <v>0</v>
      </c>
      <c r="P287" s="142">
        <f t="shared" si="289"/>
        <v>0</v>
      </c>
      <c r="Q287" s="142">
        <f t="shared" si="289"/>
        <v>3.234816</v>
      </c>
      <c r="R287" s="142">
        <f t="shared" si="12"/>
        <v>0</v>
      </c>
      <c r="T287">
        <f>Pumps!$F$18*D287/Pumps!$I$4/3600</f>
        <v>0</v>
      </c>
      <c r="U287">
        <f>IF('Design Specifications'!$C$30="y",Disinfection!G285*Disinfection!$N$3*(1*10^6)/3600,0)</f>
        <v>0</v>
      </c>
      <c r="V287">
        <f t="shared" si="13"/>
        <v>864</v>
      </c>
      <c r="W287">
        <f t="shared" si="18"/>
        <v>3.1104</v>
      </c>
      <c r="X287">
        <f t="shared" si="14"/>
        <v>3.1104</v>
      </c>
      <c r="Y287">
        <f t="shared" si="15"/>
        <v>0.4536</v>
      </c>
    </row>
    <row r="288">
      <c r="A288" s="78" t="s">
        <v>681</v>
      </c>
      <c r="B288" s="78">
        <v>0.0</v>
      </c>
      <c r="C288" s="78">
        <f t="shared" si="3"/>
        <v>0</v>
      </c>
      <c r="D288">
        <f t="shared" si="4"/>
        <v>0</v>
      </c>
      <c r="E288">
        <v>10.5</v>
      </c>
      <c r="F288">
        <f t="shared" si="5"/>
        <v>0</v>
      </c>
      <c r="G288">
        <f t="shared" si="6"/>
        <v>0</v>
      </c>
      <c r="H288">
        <f>C288*Pumps!$F$18/3600</f>
        <v>0</v>
      </c>
      <c r="I288">
        <f t="shared" si="7"/>
        <v>0</v>
      </c>
      <c r="J288">
        <f t="shared" si="8"/>
        <v>898.56</v>
      </c>
      <c r="K288">
        <f t="shared" si="22"/>
        <v>0</v>
      </c>
      <c r="M288" s="142">
        <f t="shared" si="9"/>
        <v>0</v>
      </c>
      <c r="N288" s="142">
        <f t="shared" si="10"/>
        <v>0</v>
      </c>
      <c r="O288" s="142">
        <f t="shared" ref="O288:Q288" si="290">H288*3600/(1*10^6)</f>
        <v>0</v>
      </c>
      <c r="P288" s="142">
        <f t="shared" si="290"/>
        <v>0</v>
      </c>
      <c r="Q288" s="142">
        <f t="shared" si="290"/>
        <v>3.234816</v>
      </c>
      <c r="R288" s="142">
        <f t="shared" si="12"/>
        <v>0</v>
      </c>
      <c r="T288">
        <f>Pumps!$F$18*D288/Pumps!$I$4/3600</f>
        <v>0</v>
      </c>
      <c r="U288">
        <f>IF('Design Specifications'!$C$30="y",Disinfection!G286*Disinfection!$N$3*(1*10^6)/3600,0)</f>
        <v>0</v>
      </c>
      <c r="V288">
        <f t="shared" si="13"/>
        <v>864</v>
      </c>
      <c r="W288">
        <f t="shared" si="18"/>
        <v>3.1104</v>
      </c>
      <c r="X288">
        <f t="shared" si="14"/>
        <v>3.1104</v>
      </c>
      <c r="Y288">
        <f t="shared" si="15"/>
        <v>0.4536</v>
      </c>
    </row>
    <row r="289">
      <c r="A289" s="78" t="s">
        <v>683</v>
      </c>
      <c r="B289" s="78">
        <v>0.0</v>
      </c>
      <c r="C289" s="78">
        <f t="shared" si="3"/>
        <v>0</v>
      </c>
      <c r="D289">
        <f t="shared" si="4"/>
        <v>0</v>
      </c>
      <c r="E289">
        <v>10.5</v>
      </c>
      <c r="F289">
        <f t="shared" si="5"/>
        <v>0</v>
      </c>
      <c r="G289">
        <f t="shared" si="6"/>
        <v>0</v>
      </c>
      <c r="H289">
        <f>C289*Pumps!$F$18/3600</f>
        <v>0</v>
      </c>
      <c r="I289">
        <f t="shared" si="7"/>
        <v>0</v>
      </c>
      <c r="J289">
        <f t="shared" si="8"/>
        <v>898.56</v>
      </c>
      <c r="K289">
        <f t="shared" si="22"/>
        <v>0</v>
      </c>
      <c r="M289" s="142">
        <f t="shared" si="9"/>
        <v>0</v>
      </c>
      <c r="N289" s="142">
        <f t="shared" si="10"/>
        <v>0</v>
      </c>
      <c r="O289" s="142">
        <f t="shared" ref="O289:Q289" si="291">H289*3600/(1*10^6)</f>
        <v>0</v>
      </c>
      <c r="P289" s="142">
        <f t="shared" si="291"/>
        <v>0</v>
      </c>
      <c r="Q289" s="142">
        <f t="shared" si="291"/>
        <v>3.234816</v>
      </c>
      <c r="R289" s="142">
        <f t="shared" si="12"/>
        <v>0</v>
      </c>
      <c r="T289">
        <f>Pumps!$F$18*D289/Pumps!$I$4/3600</f>
        <v>0</v>
      </c>
      <c r="U289">
        <f>IF('Design Specifications'!$C$30="y",Disinfection!G287*Disinfection!$N$3*(1*10^6)/3600,0)</f>
        <v>0</v>
      </c>
      <c r="V289">
        <f t="shared" si="13"/>
        <v>864</v>
      </c>
      <c r="W289">
        <f t="shared" si="18"/>
        <v>3.1104</v>
      </c>
      <c r="X289">
        <f t="shared" si="14"/>
        <v>3.1104</v>
      </c>
      <c r="Y289">
        <f t="shared" si="15"/>
        <v>0.4536</v>
      </c>
    </row>
    <row r="290">
      <c r="A290" s="78" t="s">
        <v>685</v>
      </c>
      <c r="B290" s="78">
        <v>57.8</v>
      </c>
      <c r="C290" s="78">
        <f t="shared" si="3"/>
        <v>6936</v>
      </c>
      <c r="D290">
        <f t="shared" si="4"/>
        <v>6.936</v>
      </c>
      <c r="E290">
        <v>10.5</v>
      </c>
      <c r="F290">
        <f t="shared" si="5"/>
        <v>0</v>
      </c>
      <c r="G290">
        <f t="shared" si="6"/>
        <v>0</v>
      </c>
      <c r="H290">
        <f>C290*Pumps!$F$18/3600</f>
        <v>295566.9262</v>
      </c>
      <c r="I290">
        <f t="shared" si="7"/>
        <v>422238.466</v>
      </c>
      <c r="J290">
        <f t="shared" si="8"/>
        <v>475156.8051</v>
      </c>
      <c r="K290">
        <f t="shared" si="22"/>
        <v>0</v>
      </c>
      <c r="M290" s="142">
        <f t="shared" si="9"/>
        <v>0</v>
      </c>
      <c r="N290" s="142">
        <f t="shared" si="10"/>
        <v>0</v>
      </c>
      <c r="O290" s="142">
        <f t="shared" ref="O290:Q290" si="292">H290*3600/(1*10^6)</f>
        <v>1064.040934</v>
      </c>
      <c r="P290" s="142">
        <f t="shared" si="292"/>
        <v>1520.058478</v>
      </c>
      <c r="Q290" s="142">
        <f t="shared" si="292"/>
        <v>1710.564498</v>
      </c>
      <c r="R290" s="142">
        <f t="shared" si="12"/>
        <v>0</v>
      </c>
      <c r="T290">
        <f>Pumps!$F$18*D290/Pumps!$I$4/3600</f>
        <v>422.238466</v>
      </c>
      <c r="U290">
        <f>IF('Design Specifications'!$C$30="y",Disinfection!G288*Disinfection!$N$3*(1*10^6)/3600,0)</f>
        <v>0</v>
      </c>
      <c r="V290">
        <f t="shared" si="13"/>
        <v>864</v>
      </c>
      <c r="W290">
        <f t="shared" si="18"/>
        <v>4.630458478</v>
      </c>
      <c r="X290">
        <f t="shared" si="14"/>
        <v>3.1104</v>
      </c>
      <c r="Y290">
        <f t="shared" si="15"/>
        <v>0.5621756056</v>
      </c>
    </row>
    <row r="291">
      <c r="A291" s="78" t="s">
        <v>687</v>
      </c>
      <c r="B291" s="78">
        <v>6.0</v>
      </c>
      <c r="C291" s="78">
        <f t="shared" si="3"/>
        <v>720</v>
      </c>
      <c r="D291">
        <f t="shared" si="4"/>
        <v>0.72</v>
      </c>
      <c r="E291">
        <v>10.5</v>
      </c>
      <c r="F291">
        <f t="shared" si="5"/>
        <v>0</v>
      </c>
      <c r="G291">
        <f t="shared" si="6"/>
        <v>0</v>
      </c>
      <c r="H291">
        <f>C291*Pumps!$F$18/3600</f>
        <v>30681.68784</v>
      </c>
      <c r="I291">
        <f t="shared" si="7"/>
        <v>43830.98263</v>
      </c>
      <c r="J291">
        <f t="shared" si="8"/>
        <v>50129.51969</v>
      </c>
      <c r="K291">
        <f t="shared" si="22"/>
        <v>0</v>
      </c>
      <c r="M291" s="142">
        <f t="shared" si="9"/>
        <v>0</v>
      </c>
      <c r="N291" s="142">
        <f t="shared" si="10"/>
        <v>0</v>
      </c>
      <c r="O291" s="142">
        <f t="shared" ref="O291:Q291" si="293">H291*3600/(1*10^6)</f>
        <v>110.4540762</v>
      </c>
      <c r="P291" s="142">
        <f t="shared" si="293"/>
        <v>157.7915375</v>
      </c>
      <c r="Q291" s="142">
        <f t="shared" si="293"/>
        <v>180.4662709</v>
      </c>
      <c r="R291" s="142">
        <f t="shared" si="12"/>
        <v>0</v>
      </c>
      <c r="T291">
        <f>Pumps!$F$18*D291/Pumps!$I$4/3600</f>
        <v>43.83098263</v>
      </c>
      <c r="U291">
        <f>IF('Design Specifications'!$C$30="y",Disinfection!G289*Disinfection!$N$3*(1*10^6)/3600,0)</f>
        <v>0</v>
      </c>
      <c r="V291">
        <f t="shared" si="13"/>
        <v>864</v>
      </c>
      <c r="W291">
        <f t="shared" si="18"/>
        <v>3.268191537</v>
      </c>
      <c r="X291">
        <f t="shared" si="14"/>
        <v>3.1104</v>
      </c>
      <c r="Y291">
        <f t="shared" si="15"/>
        <v>0.4648708241</v>
      </c>
    </row>
    <row r="292">
      <c r="A292" s="78" t="s">
        <v>689</v>
      </c>
      <c r="B292" s="78">
        <v>9.2</v>
      </c>
      <c r="C292" s="78">
        <f t="shared" si="3"/>
        <v>1104</v>
      </c>
      <c r="D292">
        <f t="shared" si="4"/>
        <v>1.104</v>
      </c>
      <c r="E292">
        <v>10.5</v>
      </c>
      <c r="F292">
        <f t="shared" si="5"/>
        <v>0</v>
      </c>
      <c r="G292">
        <f t="shared" si="6"/>
        <v>0</v>
      </c>
      <c r="H292">
        <f>C292*Pumps!$F$18/3600</f>
        <v>47045.25469</v>
      </c>
      <c r="I292">
        <f t="shared" si="7"/>
        <v>67207.5067</v>
      </c>
      <c r="J292">
        <f t="shared" si="8"/>
        <v>76386.03153</v>
      </c>
      <c r="K292">
        <f t="shared" si="22"/>
        <v>0</v>
      </c>
      <c r="M292" s="142">
        <f t="shared" si="9"/>
        <v>0</v>
      </c>
      <c r="N292" s="142">
        <f t="shared" si="10"/>
        <v>0</v>
      </c>
      <c r="O292" s="142">
        <f t="shared" ref="O292:Q292" si="294">H292*3600/(1*10^6)</f>
        <v>169.3629169</v>
      </c>
      <c r="P292" s="142">
        <f t="shared" si="294"/>
        <v>241.9470241</v>
      </c>
      <c r="Q292" s="142">
        <f t="shared" si="294"/>
        <v>274.9897135</v>
      </c>
      <c r="R292" s="142">
        <f t="shared" si="12"/>
        <v>0</v>
      </c>
      <c r="T292">
        <f>Pumps!$F$18*D292/Pumps!$I$4/3600</f>
        <v>67.2075067</v>
      </c>
      <c r="U292">
        <f>IF('Design Specifications'!$C$30="y",Disinfection!G290*Disinfection!$N$3*(1*10^6)/3600,0)</f>
        <v>0</v>
      </c>
      <c r="V292">
        <f t="shared" si="13"/>
        <v>864</v>
      </c>
      <c r="W292">
        <f t="shared" si="18"/>
        <v>3.352347024</v>
      </c>
      <c r="X292">
        <f t="shared" si="14"/>
        <v>3.1104</v>
      </c>
      <c r="Y292">
        <f t="shared" si="15"/>
        <v>0.4708819303</v>
      </c>
    </row>
    <row r="293">
      <c r="A293" s="78" t="s">
        <v>691</v>
      </c>
      <c r="B293" s="78">
        <v>0.4</v>
      </c>
      <c r="C293" s="78">
        <f t="shared" si="3"/>
        <v>48</v>
      </c>
      <c r="D293">
        <f t="shared" si="4"/>
        <v>0.048</v>
      </c>
      <c r="E293">
        <v>10.5</v>
      </c>
      <c r="F293">
        <f t="shared" si="5"/>
        <v>0</v>
      </c>
      <c r="G293">
        <f t="shared" si="6"/>
        <v>0</v>
      </c>
      <c r="H293">
        <f>C293*Pumps!$F$18/3600</f>
        <v>2045.445856</v>
      </c>
      <c r="I293">
        <f t="shared" si="7"/>
        <v>2922.065509</v>
      </c>
      <c r="J293">
        <f t="shared" si="8"/>
        <v>4180.62398</v>
      </c>
      <c r="K293">
        <f t="shared" si="22"/>
        <v>0</v>
      </c>
      <c r="M293" s="142">
        <f t="shared" si="9"/>
        <v>0</v>
      </c>
      <c r="N293" s="142">
        <f t="shared" si="10"/>
        <v>0</v>
      </c>
      <c r="O293" s="142">
        <f t="shared" ref="O293:Q293" si="295">H293*3600/(1*10^6)</f>
        <v>7.363605082</v>
      </c>
      <c r="P293" s="142">
        <f t="shared" si="295"/>
        <v>10.51943583</v>
      </c>
      <c r="Q293" s="142">
        <f t="shared" si="295"/>
        <v>15.05024633</v>
      </c>
      <c r="R293" s="142">
        <f t="shared" si="12"/>
        <v>0</v>
      </c>
      <c r="T293">
        <f>Pumps!$F$18*D293/Pumps!$I$4/3600</f>
        <v>2.922065509</v>
      </c>
      <c r="U293">
        <f>IF('Design Specifications'!$C$30="y",Disinfection!G291*Disinfection!$N$3*(1*10^6)/3600,0)</f>
        <v>0</v>
      </c>
      <c r="V293">
        <f t="shared" si="13"/>
        <v>864</v>
      </c>
      <c r="W293">
        <f t="shared" si="18"/>
        <v>3.120919436</v>
      </c>
      <c r="X293">
        <f t="shared" si="14"/>
        <v>3.1104</v>
      </c>
      <c r="Y293">
        <f t="shared" si="15"/>
        <v>0.4543513883</v>
      </c>
    </row>
    <row r="294">
      <c r="A294" s="78" t="s">
        <v>693</v>
      </c>
      <c r="B294" s="78">
        <v>0.0</v>
      </c>
      <c r="C294" s="78">
        <f t="shared" si="3"/>
        <v>0</v>
      </c>
      <c r="D294">
        <f t="shared" si="4"/>
        <v>0</v>
      </c>
      <c r="E294">
        <v>10.5</v>
      </c>
      <c r="F294">
        <f t="shared" si="5"/>
        <v>0</v>
      </c>
      <c r="G294">
        <f t="shared" si="6"/>
        <v>0</v>
      </c>
      <c r="H294">
        <f>C294*Pumps!$F$18/3600</f>
        <v>0</v>
      </c>
      <c r="I294">
        <f t="shared" si="7"/>
        <v>0</v>
      </c>
      <c r="J294">
        <f t="shared" si="8"/>
        <v>898.56</v>
      </c>
      <c r="K294">
        <f t="shared" si="22"/>
        <v>0</v>
      </c>
      <c r="M294" s="142">
        <f t="shared" si="9"/>
        <v>0</v>
      </c>
      <c r="N294" s="142">
        <f t="shared" si="10"/>
        <v>0</v>
      </c>
      <c r="O294" s="142">
        <f t="shared" ref="O294:Q294" si="296">H294*3600/(1*10^6)</f>
        <v>0</v>
      </c>
      <c r="P294" s="142">
        <f t="shared" si="296"/>
        <v>0</v>
      </c>
      <c r="Q294" s="142">
        <f t="shared" si="296"/>
        <v>3.234816</v>
      </c>
      <c r="R294" s="142">
        <f t="shared" si="12"/>
        <v>0</v>
      </c>
      <c r="T294">
        <f>Pumps!$F$18*D294/Pumps!$I$4/3600</f>
        <v>0</v>
      </c>
      <c r="U294">
        <f>IF('Design Specifications'!$C$30="y",Disinfection!G292*Disinfection!$N$3*(1*10^6)/3600,0)</f>
        <v>0</v>
      </c>
      <c r="V294">
        <f t="shared" si="13"/>
        <v>864</v>
      </c>
      <c r="W294">
        <f t="shared" si="18"/>
        <v>3.1104</v>
      </c>
      <c r="X294">
        <f t="shared" si="14"/>
        <v>3.1104</v>
      </c>
      <c r="Y294">
        <f t="shared" si="15"/>
        <v>0.4536</v>
      </c>
    </row>
    <row r="295">
      <c r="A295" s="78" t="s">
        <v>695</v>
      </c>
      <c r="B295" s="78">
        <v>1.4</v>
      </c>
      <c r="C295" s="78">
        <f t="shared" si="3"/>
        <v>168</v>
      </c>
      <c r="D295">
        <f t="shared" si="4"/>
        <v>0.168</v>
      </c>
      <c r="E295">
        <v>10.5</v>
      </c>
      <c r="F295">
        <f t="shared" si="5"/>
        <v>0</v>
      </c>
      <c r="G295">
        <f t="shared" si="6"/>
        <v>0</v>
      </c>
      <c r="H295">
        <f>C295*Pumps!$F$18/3600</f>
        <v>7159.060497</v>
      </c>
      <c r="I295">
        <f t="shared" si="7"/>
        <v>10227.22928</v>
      </c>
      <c r="J295">
        <f t="shared" si="8"/>
        <v>12385.78393</v>
      </c>
      <c r="K295">
        <f t="shared" si="22"/>
        <v>0</v>
      </c>
      <c r="M295" s="142">
        <f t="shared" si="9"/>
        <v>0</v>
      </c>
      <c r="N295" s="142">
        <f t="shared" si="10"/>
        <v>0</v>
      </c>
      <c r="O295" s="142">
        <f t="shared" ref="O295:Q295" si="297">H295*3600/(1*10^6)</f>
        <v>25.77261779</v>
      </c>
      <c r="P295" s="142">
        <f t="shared" si="297"/>
        <v>36.81802541</v>
      </c>
      <c r="Q295" s="142">
        <f t="shared" si="297"/>
        <v>44.58882214</v>
      </c>
      <c r="R295" s="142">
        <f t="shared" si="12"/>
        <v>0</v>
      </c>
      <c r="T295">
        <f>Pumps!$F$18*D295/Pumps!$I$4/3600</f>
        <v>10.22722928</v>
      </c>
      <c r="U295">
        <f>IF('Design Specifications'!$C$30="y",Disinfection!G293*Disinfection!$N$3*(1*10^6)/3600,0)</f>
        <v>0</v>
      </c>
      <c r="V295">
        <f t="shared" si="13"/>
        <v>864</v>
      </c>
      <c r="W295">
        <f t="shared" si="18"/>
        <v>3.147218025</v>
      </c>
      <c r="X295">
        <f t="shared" si="14"/>
        <v>3.1104</v>
      </c>
      <c r="Y295">
        <f t="shared" si="15"/>
        <v>0.456229859</v>
      </c>
    </row>
    <row r="296">
      <c r="A296" s="78" t="s">
        <v>697</v>
      </c>
      <c r="B296" s="78">
        <v>1.8</v>
      </c>
      <c r="C296" s="78">
        <f t="shared" si="3"/>
        <v>216</v>
      </c>
      <c r="D296">
        <f t="shared" si="4"/>
        <v>0.216</v>
      </c>
      <c r="E296">
        <v>10.5</v>
      </c>
      <c r="F296">
        <f t="shared" si="5"/>
        <v>0</v>
      </c>
      <c r="G296">
        <f t="shared" si="6"/>
        <v>0</v>
      </c>
      <c r="H296">
        <f>C296*Pumps!$F$18/3600</f>
        <v>9204.506353</v>
      </c>
      <c r="I296">
        <f t="shared" si="7"/>
        <v>13149.29479</v>
      </c>
      <c r="J296">
        <f t="shared" si="8"/>
        <v>15667.84791</v>
      </c>
      <c r="K296">
        <f t="shared" si="22"/>
        <v>0</v>
      </c>
      <c r="M296" s="142">
        <f t="shared" si="9"/>
        <v>0</v>
      </c>
      <c r="N296" s="142">
        <f t="shared" si="10"/>
        <v>0</v>
      </c>
      <c r="O296" s="142">
        <f t="shared" ref="O296:Q296" si="298">H296*3600/(1*10^6)</f>
        <v>33.13622287</v>
      </c>
      <c r="P296" s="142">
        <f t="shared" si="298"/>
        <v>47.33746124</v>
      </c>
      <c r="Q296" s="142">
        <f t="shared" si="298"/>
        <v>56.40425247</v>
      </c>
      <c r="R296" s="142">
        <f t="shared" si="12"/>
        <v>0</v>
      </c>
      <c r="T296">
        <f>Pumps!$F$18*D296/Pumps!$I$4/3600</f>
        <v>13.14929479</v>
      </c>
      <c r="U296">
        <f>IF('Design Specifications'!$C$30="y",Disinfection!G294*Disinfection!$N$3*(1*10^6)/3600,0)</f>
        <v>0</v>
      </c>
      <c r="V296">
        <f t="shared" si="13"/>
        <v>864</v>
      </c>
      <c r="W296">
        <f t="shared" si="18"/>
        <v>3.157737461</v>
      </c>
      <c r="X296">
        <f t="shared" si="14"/>
        <v>3.1104</v>
      </c>
      <c r="Y296">
        <f t="shared" si="15"/>
        <v>0.4569812472</v>
      </c>
    </row>
    <row r="297">
      <c r="A297" s="78" t="s">
        <v>699</v>
      </c>
      <c r="B297" s="78">
        <v>17.8</v>
      </c>
      <c r="C297" s="78">
        <f t="shared" si="3"/>
        <v>2136</v>
      </c>
      <c r="D297">
        <f t="shared" si="4"/>
        <v>2.136</v>
      </c>
      <c r="E297">
        <v>10.5</v>
      </c>
      <c r="F297">
        <f t="shared" si="5"/>
        <v>0</v>
      </c>
      <c r="G297">
        <f t="shared" si="6"/>
        <v>0</v>
      </c>
      <c r="H297">
        <f>C297*Pumps!$F$18/3600</f>
        <v>91022.3406</v>
      </c>
      <c r="I297">
        <f t="shared" si="7"/>
        <v>130031.9151</v>
      </c>
      <c r="J297">
        <f t="shared" si="8"/>
        <v>146950.4071</v>
      </c>
      <c r="K297">
        <f t="shared" si="22"/>
        <v>0</v>
      </c>
      <c r="M297" s="142">
        <f t="shared" si="9"/>
        <v>0</v>
      </c>
      <c r="N297" s="142">
        <f t="shared" si="10"/>
        <v>0</v>
      </c>
      <c r="O297" s="142">
        <f t="shared" ref="O297:Q297" si="299">H297*3600/(1*10^6)</f>
        <v>327.6804262</v>
      </c>
      <c r="P297" s="142">
        <f t="shared" si="299"/>
        <v>468.1148945</v>
      </c>
      <c r="Q297" s="142">
        <f t="shared" si="299"/>
        <v>529.0214655</v>
      </c>
      <c r="R297" s="142">
        <f t="shared" si="12"/>
        <v>0</v>
      </c>
      <c r="T297">
        <f>Pumps!$F$18*D297/Pumps!$I$4/3600</f>
        <v>130.0319151</v>
      </c>
      <c r="U297">
        <f>IF('Design Specifications'!$C$30="y",Disinfection!G295*Disinfection!$N$3*(1*10^6)/3600,0)</f>
        <v>0</v>
      </c>
      <c r="V297">
        <f t="shared" si="13"/>
        <v>864</v>
      </c>
      <c r="W297">
        <f t="shared" si="18"/>
        <v>3.578514895</v>
      </c>
      <c r="X297">
        <f t="shared" si="14"/>
        <v>3.1104</v>
      </c>
      <c r="Y297">
        <f t="shared" si="15"/>
        <v>0.4870367782</v>
      </c>
    </row>
    <row r="298">
      <c r="A298" s="78" t="s">
        <v>701</v>
      </c>
      <c r="B298" s="78">
        <v>15.4</v>
      </c>
      <c r="C298" s="78">
        <f t="shared" si="3"/>
        <v>1848</v>
      </c>
      <c r="D298">
        <f t="shared" si="4"/>
        <v>1.848</v>
      </c>
      <c r="E298">
        <v>10.5</v>
      </c>
      <c r="F298">
        <f t="shared" si="5"/>
        <v>0</v>
      </c>
      <c r="G298">
        <f t="shared" si="6"/>
        <v>0</v>
      </c>
      <c r="H298">
        <f>C298*Pumps!$F$18/3600</f>
        <v>78749.66546</v>
      </c>
      <c r="I298">
        <f t="shared" si="7"/>
        <v>112499.5221</v>
      </c>
      <c r="J298">
        <f t="shared" si="8"/>
        <v>127258.0232</v>
      </c>
      <c r="K298">
        <f t="shared" si="22"/>
        <v>0</v>
      </c>
      <c r="M298" s="142">
        <f t="shared" si="9"/>
        <v>0</v>
      </c>
      <c r="N298" s="142">
        <f t="shared" si="10"/>
        <v>0</v>
      </c>
      <c r="O298" s="142">
        <f t="shared" ref="O298:Q298" si="300">H298*3600/(1*10^6)</f>
        <v>283.4987957</v>
      </c>
      <c r="P298" s="142">
        <f t="shared" si="300"/>
        <v>404.9982795</v>
      </c>
      <c r="Q298" s="142">
        <f t="shared" si="300"/>
        <v>458.1288836</v>
      </c>
      <c r="R298" s="142">
        <f t="shared" si="12"/>
        <v>0</v>
      </c>
      <c r="T298">
        <f>Pumps!$F$18*D298/Pumps!$I$4/3600</f>
        <v>112.4995221</v>
      </c>
      <c r="U298">
        <f>IF('Design Specifications'!$C$30="y",Disinfection!G296*Disinfection!$N$3*(1*10^6)/3600,0)</f>
        <v>0</v>
      </c>
      <c r="V298">
        <f t="shared" si="13"/>
        <v>864</v>
      </c>
      <c r="W298">
        <f t="shared" si="18"/>
        <v>3.51539828</v>
      </c>
      <c r="X298">
        <f t="shared" si="14"/>
        <v>3.1104</v>
      </c>
      <c r="Y298">
        <f t="shared" si="15"/>
        <v>0.4825284485</v>
      </c>
    </row>
    <row r="299">
      <c r="A299" s="78" t="s">
        <v>703</v>
      </c>
      <c r="B299" s="78">
        <v>33.0</v>
      </c>
      <c r="C299" s="78">
        <f t="shared" si="3"/>
        <v>3960</v>
      </c>
      <c r="D299">
        <f t="shared" si="4"/>
        <v>3.96</v>
      </c>
      <c r="E299">
        <v>10.5</v>
      </c>
      <c r="F299">
        <f t="shared" si="5"/>
        <v>0</v>
      </c>
      <c r="G299">
        <f t="shared" si="6"/>
        <v>0</v>
      </c>
      <c r="H299">
        <f>C299*Pumps!$F$18/3600</f>
        <v>168749.2831</v>
      </c>
      <c r="I299">
        <f t="shared" si="7"/>
        <v>241070.4045</v>
      </c>
      <c r="J299">
        <f t="shared" si="8"/>
        <v>271668.8383</v>
      </c>
      <c r="K299">
        <f t="shared" si="22"/>
        <v>0</v>
      </c>
      <c r="M299" s="142">
        <f t="shared" si="9"/>
        <v>0</v>
      </c>
      <c r="N299" s="142">
        <f t="shared" si="10"/>
        <v>0</v>
      </c>
      <c r="O299" s="142">
        <f t="shared" ref="O299:Q299" si="301">H299*3600/(1*10^6)</f>
        <v>607.4974193</v>
      </c>
      <c r="P299" s="142">
        <f t="shared" si="301"/>
        <v>867.8534561</v>
      </c>
      <c r="Q299" s="142">
        <f t="shared" si="301"/>
        <v>978.0078179</v>
      </c>
      <c r="R299" s="142">
        <f t="shared" si="12"/>
        <v>0</v>
      </c>
      <c r="T299">
        <f>Pumps!$F$18*D299/Pumps!$I$4/3600</f>
        <v>241.0704045</v>
      </c>
      <c r="U299">
        <f>IF('Design Specifications'!$C$30="y",Disinfection!G297*Disinfection!$N$3*(1*10^6)/3600,0)</f>
        <v>0</v>
      </c>
      <c r="V299">
        <f t="shared" si="13"/>
        <v>864</v>
      </c>
      <c r="W299">
        <f t="shared" si="18"/>
        <v>3.978253456</v>
      </c>
      <c r="X299">
        <f t="shared" si="14"/>
        <v>3.1104</v>
      </c>
      <c r="Y299">
        <f t="shared" si="15"/>
        <v>0.5155895326</v>
      </c>
    </row>
    <row r="300">
      <c r="A300" s="78" t="s">
        <v>705</v>
      </c>
      <c r="B300" s="78">
        <v>31.4</v>
      </c>
      <c r="C300" s="78">
        <f t="shared" si="3"/>
        <v>3768</v>
      </c>
      <c r="D300">
        <f t="shared" si="4"/>
        <v>3.768</v>
      </c>
      <c r="E300">
        <v>10.5</v>
      </c>
      <c r="F300">
        <f t="shared" si="5"/>
        <v>0</v>
      </c>
      <c r="G300">
        <f t="shared" si="6"/>
        <v>0</v>
      </c>
      <c r="H300">
        <f>C300*Pumps!$F$18/3600</f>
        <v>160567.4997</v>
      </c>
      <c r="I300">
        <f t="shared" si="7"/>
        <v>229382.1424</v>
      </c>
      <c r="J300">
        <f t="shared" si="8"/>
        <v>258540.5824</v>
      </c>
      <c r="K300">
        <f t="shared" si="22"/>
        <v>0</v>
      </c>
      <c r="M300" s="142">
        <f t="shared" si="9"/>
        <v>0</v>
      </c>
      <c r="N300" s="142">
        <f t="shared" si="10"/>
        <v>0</v>
      </c>
      <c r="O300" s="142">
        <f t="shared" ref="O300:Q300" si="302">H300*3600/(1*10^6)</f>
        <v>578.042999</v>
      </c>
      <c r="P300" s="142">
        <f t="shared" si="302"/>
        <v>825.7757128</v>
      </c>
      <c r="Q300" s="142">
        <f t="shared" si="302"/>
        <v>930.7460966</v>
      </c>
      <c r="R300" s="142">
        <f t="shared" si="12"/>
        <v>0</v>
      </c>
      <c r="T300">
        <f>Pumps!$F$18*D300/Pumps!$I$4/3600</f>
        <v>229.3821424</v>
      </c>
      <c r="U300">
        <f>IF('Design Specifications'!$C$30="y",Disinfection!G298*Disinfection!$N$3*(1*10^6)/3600,0)</f>
        <v>0</v>
      </c>
      <c r="V300">
        <f t="shared" si="13"/>
        <v>864</v>
      </c>
      <c r="W300">
        <f t="shared" si="18"/>
        <v>3.936175713</v>
      </c>
      <c r="X300">
        <f t="shared" si="14"/>
        <v>3.1104</v>
      </c>
      <c r="Y300">
        <f t="shared" si="15"/>
        <v>0.5125839795</v>
      </c>
    </row>
    <row r="301">
      <c r="A301" s="78" t="s">
        <v>707</v>
      </c>
      <c r="B301" s="78">
        <v>28.4</v>
      </c>
      <c r="C301" s="78">
        <f t="shared" si="3"/>
        <v>3408</v>
      </c>
      <c r="D301">
        <f t="shared" si="4"/>
        <v>3.408</v>
      </c>
      <c r="E301">
        <v>10.5</v>
      </c>
      <c r="F301">
        <f t="shared" si="5"/>
        <v>0</v>
      </c>
      <c r="G301">
        <f t="shared" si="6"/>
        <v>0</v>
      </c>
      <c r="H301">
        <f>C301*Pumps!$F$18/3600</f>
        <v>145226.6558</v>
      </c>
      <c r="I301">
        <f t="shared" si="7"/>
        <v>207466.6511</v>
      </c>
      <c r="J301">
        <f t="shared" si="8"/>
        <v>233925.1026</v>
      </c>
      <c r="K301">
        <f t="shared" si="22"/>
        <v>0</v>
      </c>
      <c r="M301" s="142">
        <f t="shared" si="9"/>
        <v>0</v>
      </c>
      <c r="N301" s="142">
        <f t="shared" si="10"/>
        <v>0</v>
      </c>
      <c r="O301" s="142">
        <f t="shared" ref="O301:Q301" si="303">H301*3600/(1*10^6)</f>
        <v>522.8159609</v>
      </c>
      <c r="P301" s="142">
        <f t="shared" si="303"/>
        <v>746.8799441</v>
      </c>
      <c r="Q301" s="142">
        <f t="shared" si="303"/>
        <v>842.1303692</v>
      </c>
      <c r="R301" s="142">
        <f t="shared" si="12"/>
        <v>0</v>
      </c>
      <c r="T301">
        <f>Pumps!$F$18*D301/Pumps!$I$4/3600</f>
        <v>207.4666511</v>
      </c>
      <c r="U301">
        <f>IF('Design Specifications'!$C$30="y",Disinfection!G299*Disinfection!$N$3*(1*10^6)/3600,0)</f>
        <v>0</v>
      </c>
      <c r="V301">
        <f t="shared" si="13"/>
        <v>864</v>
      </c>
      <c r="W301">
        <f t="shared" si="18"/>
        <v>3.857279944</v>
      </c>
      <c r="X301">
        <f t="shared" si="14"/>
        <v>3.1104</v>
      </c>
      <c r="Y301">
        <f t="shared" si="15"/>
        <v>0.5069485674</v>
      </c>
    </row>
    <row r="302">
      <c r="A302" s="78" t="s">
        <v>709</v>
      </c>
      <c r="B302" s="78">
        <v>6.4</v>
      </c>
      <c r="C302" s="78">
        <f t="shared" si="3"/>
        <v>768</v>
      </c>
      <c r="D302">
        <f t="shared" si="4"/>
        <v>0.768</v>
      </c>
      <c r="E302">
        <v>10.5</v>
      </c>
      <c r="F302">
        <f t="shared" si="5"/>
        <v>0</v>
      </c>
      <c r="G302">
        <f t="shared" si="6"/>
        <v>0</v>
      </c>
      <c r="H302">
        <f>C302*Pumps!$F$18/3600</f>
        <v>32727.1337</v>
      </c>
      <c r="I302">
        <f t="shared" si="7"/>
        <v>46753.04814</v>
      </c>
      <c r="J302">
        <f t="shared" si="8"/>
        <v>53411.58367</v>
      </c>
      <c r="K302">
        <f t="shared" si="22"/>
        <v>0</v>
      </c>
      <c r="M302" s="142">
        <f t="shared" si="9"/>
        <v>0</v>
      </c>
      <c r="N302" s="142">
        <f t="shared" si="10"/>
        <v>0</v>
      </c>
      <c r="O302" s="142">
        <f t="shared" ref="O302:Q302" si="304">H302*3600/(1*10^6)</f>
        <v>117.8176813</v>
      </c>
      <c r="P302" s="142">
        <f t="shared" si="304"/>
        <v>168.3109733</v>
      </c>
      <c r="Q302" s="142">
        <f t="shared" si="304"/>
        <v>192.2817012</v>
      </c>
      <c r="R302" s="142">
        <f t="shared" si="12"/>
        <v>0</v>
      </c>
      <c r="T302">
        <f>Pumps!$F$18*D302/Pumps!$I$4/3600</f>
        <v>46.75304814</v>
      </c>
      <c r="U302">
        <f>IF('Design Specifications'!$C$30="y",Disinfection!G300*Disinfection!$N$3*(1*10^6)/3600,0)</f>
        <v>0</v>
      </c>
      <c r="V302">
        <f t="shared" si="13"/>
        <v>864</v>
      </c>
      <c r="W302">
        <f t="shared" si="18"/>
        <v>3.278710973</v>
      </c>
      <c r="X302">
        <f t="shared" si="14"/>
        <v>3.1104</v>
      </c>
      <c r="Y302">
        <f t="shared" si="15"/>
        <v>0.4656222124</v>
      </c>
    </row>
    <row r="303">
      <c r="A303" s="78" t="s">
        <v>711</v>
      </c>
      <c r="B303" s="78">
        <v>17.2</v>
      </c>
      <c r="C303" s="78">
        <f t="shared" si="3"/>
        <v>2064</v>
      </c>
      <c r="D303">
        <f t="shared" si="4"/>
        <v>2.064</v>
      </c>
      <c r="E303">
        <v>10.5</v>
      </c>
      <c r="F303">
        <f t="shared" si="5"/>
        <v>0</v>
      </c>
      <c r="G303">
        <f t="shared" si="6"/>
        <v>0</v>
      </c>
      <c r="H303">
        <f>C303*Pumps!$F$18/3600</f>
        <v>87954.17182</v>
      </c>
      <c r="I303">
        <f t="shared" si="7"/>
        <v>125648.8169</v>
      </c>
      <c r="J303">
        <f t="shared" si="8"/>
        <v>142027.3111</v>
      </c>
      <c r="K303">
        <f t="shared" si="22"/>
        <v>0</v>
      </c>
      <c r="M303" s="142">
        <f t="shared" si="9"/>
        <v>0</v>
      </c>
      <c r="N303" s="142">
        <f t="shared" si="10"/>
        <v>0</v>
      </c>
      <c r="O303" s="142">
        <f t="shared" ref="O303:Q303" si="305">H303*3600/(1*10^6)</f>
        <v>316.6350185</v>
      </c>
      <c r="P303" s="142">
        <f t="shared" si="305"/>
        <v>452.3357408</v>
      </c>
      <c r="Q303" s="142">
        <f t="shared" si="305"/>
        <v>511.29832</v>
      </c>
      <c r="R303" s="142">
        <f t="shared" si="12"/>
        <v>0</v>
      </c>
      <c r="T303">
        <f>Pumps!$F$18*D303/Pumps!$I$4/3600</f>
        <v>125.6488169</v>
      </c>
      <c r="U303">
        <f>IF('Design Specifications'!$C$30="y",Disinfection!G301*Disinfection!$N$3*(1*10^6)/3600,0)</f>
        <v>0</v>
      </c>
      <c r="V303">
        <f t="shared" si="13"/>
        <v>864</v>
      </c>
      <c r="W303">
        <f t="shared" si="18"/>
        <v>3.562735741</v>
      </c>
      <c r="X303">
        <f t="shared" si="14"/>
        <v>3.1104</v>
      </c>
      <c r="Y303">
        <f t="shared" si="15"/>
        <v>0.4859096958</v>
      </c>
    </row>
    <row r="304">
      <c r="A304" s="78" t="s">
        <v>713</v>
      </c>
      <c r="B304" s="78">
        <v>27.0</v>
      </c>
      <c r="C304" s="78">
        <f t="shared" si="3"/>
        <v>3240</v>
      </c>
      <c r="D304">
        <f t="shared" si="4"/>
        <v>3.24</v>
      </c>
      <c r="E304">
        <v>10.5</v>
      </c>
      <c r="F304">
        <f t="shared" si="5"/>
        <v>0</v>
      </c>
      <c r="G304">
        <f t="shared" si="6"/>
        <v>0</v>
      </c>
      <c r="H304">
        <f>C304*Pumps!$F$18/3600</f>
        <v>138067.5953</v>
      </c>
      <c r="I304">
        <f t="shared" si="7"/>
        <v>197239.4219</v>
      </c>
      <c r="J304">
        <f t="shared" si="8"/>
        <v>222437.8786</v>
      </c>
      <c r="K304">
        <f t="shared" si="22"/>
        <v>0</v>
      </c>
      <c r="M304" s="142">
        <f t="shared" si="9"/>
        <v>0</v>
      </c>
      <c r="N304" s="142">
        <f t="shared" si="10"/>
        <v>0</v>
      </c>
      <c r="O304" s="142">
        <f t="shared" ref="O304:Q304" si="306">H304*3600/(1*10^6)</f>
        <v>497.0433431</v>
      </c>
      <c r="P304" s="142">
        <f t="shared" si="306"/>
        <v>710.0619187</v>
      </c>
      <c r="Q304" s="142">
        <f t="shared" si="306"/>
        <v>800.776363</v>
      </c>
      <c r="R304" s="142">
        <f t="shared" si="12"/>
        <v>0</v>
      </c>
      <c r="T304">
        <f>Pumps!$F$18*D304/Pumps!$I$4/3600</f>
        <v>197.2394219</v>
      </c>
      <c r="U304">
        <f>IF('Design Specifications'!$C$30="y",Disinfection!G302*Disinfection!$N$3*(1*10^6)/3600,0)</f>
        <v>0</v>
      </c>
      <c r="V304">
        <f t="shared" si="13"/>
        <v>864</v>
      </c>
      <c r="W304">
        <f t="shared" si="18"/>
        <v>3.820461919</v>
      </c>
      <c r="X304">
        <f t="shared" si="14"/>
        <v>3.1104</v>
      </c>
      <c r="Y304">
        <f t="shared" si="15"/>
        <v>0.5043187085</v>
      </c>
    </row>
    <row r="305">
      <c r="A305" s="78" t="s">
        <v>715</v>
      </c>
      <c r="B305" s="78">
        <v>16.8</v>
      </c>
      <c r="C305" s="78">
        <f t="shared" si="3"/>
        <v>2016</v>
      </c>
      <c r="D305">
        <f t="shared" si="4"/>
        <v>2.016</v>
      </c>
      <c r="E305">
        <v>10.5</v>
      </c>
      <c r="F305">
        <f t="shared" si="5"/>
        <v>0</v>
      </c>
      <c r="G305">
        <f t="shared" si="6"/>
        <v>0</v>
      </c>
      <c r="H305">
        <f>C305*Pumps!$F$18/3600</f>
        <v>85908.72596</v>
      </c>
      <c r="I305">
        <f t="shared" si="7"/>
        <v>122726.7514</v>
      </c>
      <c r="J305">
        <f t="shared" si="8"/>
        <v>138745.2471</v>
      </c>
      <c r="K305">
        <f t="shared" si="22"/>
        <v>0</v>
      </c>
      <c r="M305" s="142">
        <f t="shared" si="9"/>
        <v>0</v>
      </c>
      <c r="N305" s="142">
        <f t="shared" si="10"/>
        <v>0</v>
      </c>
      <c r="O305" s="142">
        <f t="shared" ref="O305:Q305" si="307">H305*3600/(1*10^6)</f>
        <v>309.2714135</v>
      </c>
      <c r="P305" s="142">
        <f t="shared" si="307"/>
        <v>441.8163049</v>
      </c>
      <c r="Q305" s="142">
        <f t="shared" si="307"/>
        <v>499.4828897</v>
      </c>
      <c r="R305" s="142">
        <f t="shared" si="12"/>
        <v>0</v>
      </c>
      <c r="T305">
        <f>Pumps!$F$18*D305/Pumps!$I$4/3600</f>
        <v>122.7267514</v>
      </c>
      <c r="U305">
        <f>IF('Design Specifications'!$C$30="y",Disinfection!G303*Disinfection!$N$3*(1*10^6)/3600,0)</f>
        <v>0</v>
      </c>
      <c r="V305">
        <f t="shared" si="13"/>
        <v>864</v>
      </c>
      <c r="W305">
        <f t="shared" si="18"/>
        <v>3.552216305</v>
      </c>
      <c r="X305">
        <f t="shared" si="14"/>
        <v>3.1104</v>
      </c>
      <c r="Y305">
        <f t="shared" si="15"/>
        <v>0.4851583075</v>
      </c>
    </row>
    <row r="306">
      <c r="A306" s="78" t="s">
        <v>717</v>
      </c>
      <c r="B306" s="78">
        <v>46.2</v>
      </c>
      <c r="C306" s="78">
        <f t="shared" si="3"/>
        <v>5544</v>
      </c>
      <c r="D306">
        <f t="shared" si="4"/>
        <v>5.544</v>
      </c>
      <c r="E306">
        <v>10.5</v>
      </c>
      <c r="F306">
        <f t="shared" si="5"/>
        <v>0</v>
      </c>
      <c r="G306">
        <f t="shared" si="6"/>
        <v>0</v>
      </c>
      <c r="H306">
        <f>C306*Pumps!$F$18/3600</f>
        <v>236248.9964</v>
      </c>
      <c r="I306">
        <f t="shared" si="7"/>
        <v>337498.5663</v>
      </c>
      <c r="J306">
        <f t="shared" si="8"/>
        <v>379976.9496</v>
      </c>
      <c r="K306">
        <f t="shared" si="22"/>
        <v>0</v>
      </c>
      <c r="M306" s="142">
        <f t="shared" si="9"/>
        <v>0</v>
      </c>
      <c r="N306" s="142">
        <f t="shared" si="10"/>
        <v>0</v>
      </c>
      <c r="O306" s="142">
        <f t="shared" ref="O306:Q306" si="308">H306*3600/(1*10^6)</f>
        <v>850.496387</v>
      </c>
      <c r="P306" s="142">
        <f t="shared" si="308"/>
        <v>1214.994839</v>
      </c>
      <c r="Q306" s="142">
        <f t="shared" si="308"/>
        <v>1367.917019</v>
      </c>
      <c r="R306" s="142">
        <f t="shared" si="12"/>
        <v>0</v>
      </c>
      <c r="T306">
        <f>Pumps!$F$18*D306/Pumps!$I$4/3600</f>
        <v>337.4985663</v>
      </c>
      <c r="U306">
        <f>IF('Design Specifications'!$C$30="y",Disinfection!G304*Disinfection!$N$3*(1*10^6)/3600,0)</f>
        <v>0</v>
      </c>
      <c r="V306">
        <f t="shared" si="13"/>
        <v>864</v>
      </c>
      <c r="W306">
        <f t="shared" si="18"/>
        <v>4.325394839</v>
      </c>
      <c r="X306">
        <f t="shared" si="14"/>
        <v>3.1104</v>
      </c>
      <c r="Y306">
        <f t="shared" si="15"/>
        <v>0.5403853456</v>
      </c>
    </row>
    <row r="307">
      <c r="A307" s="78" t="s">
        <v>719</v>
      </c>
      <c r="B307" s="78">
        <v>10.8</v>
      </c>
      <c r="C307" s="78">
        <f t="shared" si="3"/>
        <v>1296</v>
      </c>
      <c r="D307">
        <f t="shared" si="4"/>
        <v>1.296</v>
      </c>
      <c r="E307">
        <v>10.5</v>
      </c>
      <c r="F307">
        <f t="shared" si="5"/>
        <v>0</v>
      </c>
      <c r="G307">
        <f t="shared" si="6"/>
        <v>0</v>
      </c>
      <c r="H307">
        <f>C307*Pumps!$F$18/3600</f>
        <v>55227.03812</v>
      </c>
      <c r="I307">
        <f t="shared" si="7"/>
        <v>78895.76874</v>
      </c>
      <c r="J307">
        <f t="shared" si="8"/>
        <v>89514.28745</v>
      </c>
      <c r="K307">
        <f t="shared" si="22"/>
        <v>0</v>
      </c>
      <c r="M307" s="142">
        <f t="shared" si="9"/>
        <v>0</v>
      </c>
      <c r="N307" s="142">
        <f t="shared" si="10"/>
        <v>0</v>
      </c>
      <c r="O307" s="142">
        <f t="shared" ref="O307:Q307" si="309">H307*3600/(1*10^6)</f>
        <v>198.8173372</v>
      </c>
      <c r="P307" s="142">
        <f t="shared" si="309"/>
        <v>284.0247675</v>
      </c>
      <c r="Q307" s="142">
        <f t="shared" si="309"/>
        <v>322.2514348</v>
      </c>
      <c r="R307" s="142">
        <f t="shared" si="12"/>
        <v>0</v>
      </c>
      <c r="T307">
        <f>Pumps!$F$18*D307/Pumps!$I$4/3600</f>
        <v>78.89576874</v>
      </c>
      <c r="U307">
        <f>IF('Design Specifications'!$C$30="y",Disinfection!G305*Disinfection!$N$3*(1*10^6)/3600,0)</f>
        <v>0</v>
      </c>
      <c r="V307">
        <f t="shared" si="13"/>
        <v>864</v>
      </c>
      <c r="W307">
        <f t="shared" si="18"/>
        <v>3.394424767</v>
      </c>
      <c r="X307">
        <f t="shared" si="14"/>
        <v>3.1104</v>
      </c>
      <c r="Y307">
        <f t="shared" si="15"/>
        <v>0.4738874834</v>
      </c>
    </row>
    <row r="308">
      <c r="A308" s="78" t="s">
        <v>721</v>
      </c>
      <c r="B308" s="78">
        <v>40.2</v>
      </c>
      <c r="C308" s="78">
        <f t="shared" si="3"/>
        <v>4824</v>
      </c>
      <c r="D308">
        <f t="shared" si="4"/>
        <v>4.824</v>
      </c>
      <c r="E308">
        <v>10.5</v>
      </c>
      <c r="F308">
        <f t="shared" si="5"/>
        <v>0</v>
      </c>
      <c r="G308">
        <f t="shared" si="6"/>
        <v>0</v>
      </c>
      <c r="H308">
        <f>C308*Pumps!$F$18/3600</f>
        <v>205567.3086</v>
      </c>
      <c r="I308">
        <f t="shared" si="7"/>
        <v>293667.5836</v>
      </c>
      <c r="J308">
        <f t="shared" si="8"/>
        <v>330745.99</v>
      </c>
      <c r="K308">
        <f t="shared" si="22"/>
        <v>0</v>
      </c>
      <c r="M308" s="142">
        <f t="shared" si="9"/>
        <v>0</v>
      </c>
      <c r="N308" s="142">
        <f t="shared" si="10"/>
        <v>0</v>
      </c>
      <c r="O308" s="142">
        <f t="shared" ref="O308:Q308" si="310">H308*3600/(1*10^6)</f>
        <v>740.0423108</v>
      </c>
      <c r="P308" s="142">
        <f t="shared" si="310"/>
        <v>1057.203301</v>
      </c>
      <c r="Q308" s="142">
        <f t="shared" si="310"/>
        <v>1190.685564</v>
      </c>
      <c r="R308" s="142">
        <f t="shared" si="12"/>
        <v>0</v>
      </c>
      <c r="T308">
        <f>Pumps!$F$18*D308/Pumps!$I$4/3600</f>
        <v>293.6675836</v>
      </c>
      <c r="U308">
        <f>IF('Design Specifications'!$C$30="y",Disinfection!G306*Disinfection!$N$3*(1*10^6)/3600,0)</f>
        <v>0</v>
      </c>
      <c r="V308">
        <f t="shared" si="13"/>
        <v>864</v>
      </c>
      <c r="W308">
        <f t="shared" si="18"/>
        <v>4.167603301</v>
      </c>
      <c r="X308">
        <f t="shared" si="14"/>
        <v>3.1104</v>
      </c>
      <c r="Y308">
        <f t="shared" si="15"/>
        <v>0.5291145215</v>
      </c>
    </row>
    <row r="309">
      <c r="A309" s="78" t="s">
        <v>723</v>
      </c>
      <c r="B309" s="78">
        <v>21.4</v>
      </c>
      <c r="C309" s="78">
        <f t="shared" si="3"/>
        <v>2568</v>
      </c>
      <c r="D309">
        <f t="shared" si="4"/>
        <v>2.568</v>
      </c>
      <c r="E309">
        <v>10.5</v>
      </c>
      <c r="F309">
        <f t="shared" si="5"/>
        <v>0</v>
      </c>
      <c r="G309">
        <f t="shared" si="6"/>
        <v>0</v>
      </c>
      <c r="H309">
        <f>C309*Pumps!$F$18/3600</f>
        <v>109431.3533</v>
      </c>
      <c r="I309">
        <f t="shared" si="7"/>
        <v>156330.5047</v>
      </c>
      <c r="J309">
        <f t="shared" si="8"/>
        <v>176488.9829</v>
      </c>
      <c r="K309">
        <f t="shared" si="22"/>
        <v>0</v>
      </c>
      <c r="M309" s="142">
        <f t="shared" si="9"/>
        <v>0</v>
      </c>
      <c r="N309" s="142">
        <f t="shared" si="10"/>
        <v>0</v>
      </c>
      <c r="O309" s="142">
        <f t="shared" ref="O309:Q309" si="311">H309*3600/(1*10^6)</f>
        <v>393.9528719</v>
      </c>
      <c r="P309" s="142">
        <f t="shared" si="311"/>
        <v>562.789817</v>
      </c>
      <c r="Q309" s="142">
        <f t="shared" si="311"/>
        <v>635.3603385</v>
      </c>
      <c r="R309" s="142">
        <f t="shared" si="12"/>
        <v>0</v>
      </c>
      <c r="T309">
        <f>Pumps!$F$18*D309/Pumps!$I$4/3600</f>
        <v>156.3305047</v>
      </c>
      <c r="U309">
        <f>IF('Design Specifications'!$C$30="y",Disinfection!G307*Disinfection!$N$3*(1*10^6)/3600,0)</f>
        <v>0</v>
      </c>
      <c r="V309">
        <f t="shared" si="13"/>
        <v>864</v>
      </c>
      <c r="W309">
        <f t="shared" si="18"/>
        <v>3.673189817</v>
      </c>
      <c r="X309">
        <f t="shared" si="14"/>
        <v>3.1104</v>
      </c>
      <c r="Y309">
        <f t="shared" si="15"/>
        <v>0.4937992726</v>
      </c>
    </row>
    <row r="310">
      <c r="A310" s="78" t="s">
        <v>725</v>
      </c>
      <c r="B310" s="78">
        <v>9.4</v>
      </c>
      <c r="C310" s="78">
        <f t="shared" si="3"/>
        <v>1128</v>
      </c>
      <c r="D310">
        <f t="shared" si="4"/>
        <v>1.128</v>
      </c>
      <c r="E310">
        <v>10.5</v>
      </c>
      <c r="F310">
        <f t="shared" si="5"/>
        <v>0</v>
      </c>
      <c r="G310">
        <f t="shared" si="6"/>
        <v>0</v>
      </c>
      <c r="H310">
        <f>C310*Pumps!$F$18/3600</f>
        <v>48067.97762</v>
      </c>
      <c r="I310">
        <f t="shared" si="7"/>
        <v>68668.53946</v>
      </c>
      <c r="J310">
        <f t="shared" si="8"/>
        <v>78027.06352</v>
      </c>
      <c r="K310">
        <f t="shared" si="22"/>
        <v>0</v>
      </c>
      <c r="M310" s="142">
        <f t="shared" si="9"/>
        <v>0</v>
      </c>
      <c r="N310" s="142">
        <f t="shared" si="10"/>
        <v>0</v>
      </c>
      <c r="O310" s="142">
        <f t="shared" ref="O310:Q310" si="312">H310*3600/(1*10^6)</f>
        <v>173.0447194</v>
      </c>
      <c r="P310" s="142">
        <f t="shared" si="312"/>
        <v>247.2067421</v>
      </c>
      <c r="Q310" s="142">
        <f t="shared" si="312"/>
        <v>280.8974287</v>
      </c>
      <c r="R310" s="142">
        <f t="shared" si="12"/>
        <v>0</v>
      </c>
      <c r="T310">
        <f>Pumps!$F$18*D310/Pumps!$I$4/3600</f>
        <v>68.66853946</v>
      </c>
      <c r="U310">
        <f>IF('Design Specifications'!$C$30="y",Disinfection!G308*Disinfection!$N$3*(1*10^6)/3600,0)</f>
        <v>0</v>
      </c>
      <c r="V310">
        <f t="shared" si="13"/>
        <v>864</v>
      </c>
      <c r="W310">
        <f t="shared" si="18"/>
        <v>3.357606742</v>
      </c>
      <c r="X310">
        <f t="shared" si="14"/>
        <v>3.1104</v>
      </c>
      <c r="Y310">
        <f t="shared" si="15"/>
        <v>0.4712576244</v>
      </c>
    </row>
    <row r="311">
      <c r="A311" s="78" t="s">
        <v>727</v>
      </c>
      <c r="B311" s="78">
        <v>1.6</v>
      </c>
      <c r="C311" s="78">
        <f t="shared" si="3"/>
        <v>192</v>
      </c>
      <c r="D311">
        <f t="shared" si="4"/>
        <v>0.192</v>
      </c>
      <c r="E311">
        <v>10.5</v>
      </c>
      <c r="F311">
        <f t="shared" si="5"/>
        <v>0</v>
      </c>
      <c r="G311">
        <f t="shared" si="6"/>
        <v>0</v>
      </c>
      <c r="H311">
        <f>C311*Pumps!$F$18/3600</f>
        <v>8181.783425</v>
      </c>
      <c r="I311">
        <f t="shared" si="7"/>
        <v>11688.26204</v>
      </c>
      <c r="J311">
        <f t="shared" si="8"/>
        <v>14026.81592</v>
      </c>
      <c r="K311">
        <f t="shared" si="22"/>
        <v>0</v>
      </c>
      <c r="M311" s="142">
        <f t="shared" si="9"/>
        <v>0</v>
      </c>
      <c r="N311" s="142">
        <f t="shared" si="10"/>
        <v>0</v>
      </c>
      <c r="O311" s="142">
        <f t="shared" ref="O311:Q311" si="313">H311*3600/(1*10^6)</f>
        <v>29.45442033</v>
      </c>
      <c r="P311" s="142">
        <f t="shared" si="313"/>
        <v>42.07774333</v>
      </c>
      <c r="Q311" s="142">
        <f t="shared" si="313"/>
        <v>50.49653731</v>
      </c>
      <c r="R311" s="142">
        <f t="shared" si="12"/>
        <v>0</v>
      </c>
      <c r="T311">
        <f>Pumps!$F$18*D311/Pumps!$I$4/3600</f>
        <v>11.68826204</v>
      </c>
      <c r="U311">
        <f>IF('Design Specifications'!$C$30="y",Disinfection!G309*Disinfection!$N$3*(1*10^6)/3600,0)</f>
        <v>0</v>
      </c>
      <c r="V311">
        <f t="shared" si="13"/>
        <v>864</v>
      </c>
      <c r="W311">
        <f t="shared" si="18"/>
        <v>3.152477743</v>
      </c>
      <c r="X311">
        <f t="shared" si="14"/>
        <v>3.1104</v>
      </c>
      <c r="Y311">
        <f t="shared" si="15"/>
        <v>0.4566055531</v>
      </c>
    </row>
    <row r="312">
      <c r="A312" s="78" t="s">
        <v>729</v>
      </c>
      <c r="B312" s="78">
        <v>21.8</v>
      </c>
      <c r="C312" s="78">
        <f t="shared" si="3"/>
        <v>2616</v>
      </c>
      <c r="D312">
        <f t="shared" si="4"/>
        <v>2.616</v>
      </c>
      <c r="E312">
        <v>10.5</v>
      </c>
      <c r="F312">
        <f t="shared" si="5"/>
        <v>0</v>
      </c>
      <c r="G312">
        <f t="shared" si="6"/>
        <v>0</v>
      </c>
      <c r="H312">
        <f>C312*Pumps!$F$18/3600</f>
        <v>111476.7992</v>
      </c>
      <c r="I312">
        <f t="shared" si="7"/>
        <v>159252.5702</v>
      </c>
      <c r="J312">
        <f t="shared" si="8"/>
        <v>179771.0469</v>
      </c>
      <c r="K312">
        <f t="shared" si="22"/>
        <v>0</v>
      </c>
      <c r="M312" s="142">
        <f t="shared" si="9"/>
        <v>0</v>
      </c>
      <c r="N312" s="142">
        <f t="shared" si="10"/>
        <v>0</v>
      </c>
      <c r="O312" s="142">
        <f t="shared" ref="O312:Q312" si="314">H312*3600/(1*10^6)</f>
        <v>401.316477</v>
      </c>
      <c r="P312" s="142">
        <f t="shared" si="314"/>
        <v>573.3092528</v>
      </c>
      <c r="Q312" s="142">
        <f t="shared" si="314"/>
        <v>647.1757688</v>
      </c>
      <c r="R312" s="142">
        <f t="shared" si="12"/>
        <v>0</v>
      </c>
      <c r="T312">
        <f>Pumps!$F$18*D312/Pumps!$I$4/3600</f>
        <v>159.2525702</v>
      </c>
      <c r="U312">
        <f>IF('Design Specifications'!$C$30="y",Disinfection!G310*Disinfection!$N$3*(1*10^6)/3600,0)</f>
        <v>0</v>
      </c>
      <c r="V312">
        <f t="shared" si="13"/>
        <v>864</v>
      </c>
      <c r="W312">
        <f t="shared" si="18"/>
        <v>3.683709253</v>
      </c>
      <c r="X312">
        <f t="shared" si="14"/>
        <v>3.1104</v>
      </c>
      <c r="Y312">
        <f t="shared" si="15"/>
        <v>0.4945506609</v>
      </c>
    </row>
    <row r="313">
      <c r="A313" s="78" t="s">
        <v>731</v>
      </c>
      <c r="B313" s="78">
        <v>2.4</v>
      </c>
      <c r="C313" s="78">
        <f t="shared" si="3"/>
        <v>288</v>
      </c>
      <c r="D313">
        <f t="shared" si="4"/>
        <v>0.288</v>
      </c>
      <c r="E313">
        <v>10.5</v>
      </c>
      <c r="F313">
        <f t="shared" si="5"/>
        <v>0</v>
      </c>
      <c r="G313">
        <f t="shared" si="6"/>
        <v>0</v>
      </c>
      <c r="H313">
        <f>C313*Pumps!$F$18/3600</f>
        <v>12272.67514</v>
      </c>
      <c r="I313">
        <f t="shared" si="7"/>
        <v>17532.39305</v>
      </c>
      <c r="J313">
        <f t="shared" si="8"/>
        <v>20590.94388</v>
      </c>
      <c r="K313">
        <f t="shared" si="22"/>
        <v>0</v>
      </c>
      <c r="M313" s="142">
        <f t="shared" si="9"/>
        <v>0</v>
      </c>
      <c r="N313" s="142">
        <f t="shared" si="10"/>
        <v>0</v>
      </c>
      <c r="O313" s="142">
        <f t="shared" ref="O313:Q313" si="315">H313*3600/(1*10^6)</f>
        <v>44.18163049</v>
      </c>
      <c r="P313" s="142">
        <f t="shared" si="315"/>
        <v>63.11661499</v>
      </c>
      <c r="Q313" s="142">
        <f t="shared" si="315"/>
        <v>74.12739796</v>
      </c>
      <c r="R313" s="142">
        <f t="shared" si="12"/>
        <v>0</v>
      </c>
      <c r="T313">
        <f>Pumps!$F$18*D313/Pumps!$I$4/3600</f>
        <v>17.53239305</v>
      </c>
      <c r="U313">
        <f>IF('Design Specifications'!$C$30="y",Disinfection!G311*Disinfection!$N$3*(1*10^6)/3600,0)</f>
        <v>0</v>
      </c>
      <c r="V313">
        <f t="shared" si="13"/>
        <v>864</v>
      </c>
      <c r="W313">
        <f t="shared" si="18"/>
        <v>3.173516615</v>
      </c>
      <c r="X313">
        <f t="shared" si="14"/>
        <v>3.1104</v>
      </c>
      <c r="Y313">
        <f t="shared" si="15"/>
        <v>0.4581083296</v>
      </c>
    </row>
    <row r="314">
      <c r="A314" s="78" t="s">
        <v>733</v>
      </c>
      <c r="B314" s="78">
        <v>33.6</v>
      </c>
      <c r="C314" s="78">
        <f t="shared" si="3"/>
        <v>4032</v>
      </c>
      <c r="D314">
        <f t="shared" si="4"/>
        <v>4.032</v>
      </c>
      <c r="E314">
        <v>10.5</v>
      </c>
      <c r="F314">
        <f t="shared" si="5"/>
        <v>0</v>
      </c>
      <c r="G314">
        <f t="shared" si="6"/>
        <v>0</v>
      </c>
      <c r="H314">
        <f>C314*Pumps!$F$18/3600</f>
        <v>171817.4519</v>
      </c>
      <c r="I314">
        <f t="shared" si="7"/>
        <v>245453.5027</v>
      </c>
      <c r="J314">
        <f t="shared" si="8"/>
        <v>276591.9343</v>
      </c>
      <c r="K314">
        <f t="shared" si="22"/>
        <v>0</v>
      </c>
      <c r="M314" s="142">
        <f t="shared" si="9"/>
        <v>0</v>
      </c>
      <c r="N314" s="142">
        <f t="shared" si="10"/>
        <v>0</v>
      </c>
      <c r="O314" s="142">
        <f t="shared" ref="O314:Q314" si="316">H314*3600/(1*10^6)</f>
        <v>618.5428269</v>
      </c>
      <c r="P314" s="142">
        <f t="shared" si="316"/>
        <v>883.6326099</v>
      </c>
      <c r="Q314" s="142">
        <f t="shared" si="316"/>
        <v>995.7309634</v>
      </c>
      <c r="R314" s="142">
        <f t="shared" si="12"/>
        <v>0</v>
      </c>
      <c r="T314">
        <f>Pumps!$F$18*D314/Pumps!$I$4/3600</f>
        <v>245.4535027</v>
      </c>
      <c r="U314">
        <f>IF('Design Specifications'!$C$30="y",Disinfection!G312*Disinfection!$N$3*(1*10^6)/3600,0)</f>
        <v>0</v>
      </c>
      <c r="V314">
        <f t="shared" si="13"/>
        <v>864</v>
      </c>
      <c r="W314">
        <f t="shared" si="18"/>
        <v>3.99403261</v>
      </c>
      <c r="X314">
        <f t="shared" si="14"/>
        <v>3.1104</v>
      </c>
      <c r="Y314">
        <f t="shared" si="15"/>
        <v>0.516716615</v>
      </c>
    </row>
    <row r="315">
      <c r="A315" s="78" t="s">
        <v>735</v>
      </c>
      <c r="B315" s="78">
        <v>24.4</v>
      </c>
      <c r="C315" s="78">
        <f t="shared" si="3"/>
        <v>2928</v>
      </c>
      <c r="D315">
        <f t="shared" si="4"/>
        <v>2.928</v>
      </c>
      <c r="E315">
        <v>10.5</v>
      </c>
      <c r="F315">
        <f t="shared" si="5"/>
        <v>0</v>
      </c>
      <c r="G315">
        <f t="shared" si="6"/>
        <v>0</v>
      </c>
      <c r="H315">
        <f>C315*Pumps!$F$18/3600</f>
        <v>124772.1972</v>
      </c>
      <c r="I315">
        <f t="shared" si="7"/>
        <v>178245.996</v>
      </c>
      <c r="J315">
        <f t="shared" si="8"/>
        <v>201104.4628</v>
      </c>
      <c r="K315">
        <f t="shared" si="22"/>
        <v>0</v>
      </c>
      <c r="M315" s="142">
        <f t="shared" si="9"/>
        <v>0</v>
      </c>
      <c r="N315" s="142">
        <f t="shared" si="10"/>
        <v>0</v>
      </c>
      <c r="O315" s="142">
        <f t="shared" ref="O315:Q315" si="317">H315*3600/(1*10^6)</f>
        <v>449.17991</v>
      </c>
      <c r="P315" s="142">
        <f t="shared" si="317"/>
        <v>641.6855858</v>
      </c>
      <c r="Q315" s="142">
        <f t="shared" si="317"/>
        <v>723.9760659</v>
      </c>
      <c r="R315" s="142">
        <f t="shared" si="12"/>
        <v>0</v>
      </c>
      <c r="T315">
        <f>Pumps!$F$18*D315/Pumps!$I$4/3600</f>
        <v>178.245996</v>
      </c>
      <c r="U315">
        <f>IF('Design Specifications'!$C$30="y",Disinfection!G313*Disinfection!$N$3*(1*10^6)/3600,0)</f>
        <v>0</v>
      </c>
      <c r="V315">
        <f t="shared" si="13"/>
        <v>864</v>
      </c>
      <c r="W315">
        <f t="shared" si="18"/>
        <v>3.752085586</v>
      </c>
      <c r="X315">
        <f t="shared" si="14"/>
        <v>3.1104</v>
      </c>
      <c r="Y315">
        <f t="shared" si="15"/>
        <v>0.4994346847</v>
      </c>
    </row>
    <row r="316">
      <c r="A316" s="78" t="s">
        <v>737</v>
      </c>
      <c r="B316" s="78">
        <v>7.0</v>
      </c>
      <c r="C316" s="78">
        <f t="shared" si="3"/>
        <v>840</v>
      </c>
      <c r="D316">
        <f t="shared" si="4"/>
        <v>0.84</v>
      </c>
      <c r="E316">
        <v>10.5</v>
      </c>
      <c r="F316">
        <f t="shared" si="5"/>
        <v>0</v>
      </c>
      <c r="G316">
        <f t="shared" si="6"/>
        <v>0</v>
      </c>
      <c r="H316">
        <f>C316*Pumps!$F$18/3600</f>
        <v>35795.30248</v>
      </c>
      <c r="I316">
        <f t="shared" si="7"/>
        <v>51136.14641</v>
      </c>
      <c r="J316">
        <f t="shared" si="8"/>
        <v>58334.67964</v>
      </c>
      <c r="K316">
        <f t="shared" si="22"/>
        <v>0</v>
      </c>
      <c r="M316" s="142">
        <f t="shared" si="9"/>
        <v>0</v>
      </c>
      <c r="N316" s="142">
        <f t="shared" si="10"/>
        <v>0</v>
      </c>
      <c r="O316" s="142">
        <f t="shared" ref="O316:Q316" si="318">H316*3600/(1*10^6)</f>
        <v>128.8630889</v>
      </c>
      <c r="P316" s="142">
        <f t="shared" si="318"/>
        <v>184.0901271</v>
      </c>
      <c r="Q316" s="142">
        <f t="shared" si="318"/>
        <v>210.0048467</v>
      </c>
      <c r="R316" s="142">
        <f t="shared" si="12"/>
        <v>0</v>
      </c>
      <c r="T316">
        <f>Pumps!$F$18*D316/Pumps!$I$4/3600</f>
        <v>51.13614641</v>
      </c>
      <c r="U316">
        <f>IF('Design Specifications'!$C$30="y",Disinfection!G314*Disinfection!$N$3*(1*10^6)/3600,0)</f>
        <v>0</v>
      </c>
      <c r="V316">
        <f t="shared" si="13"/>
        <v>864</v>
      </c>
      <c r="W316">
        <f t="shared" si="18"/>
        <v>3.294490127</v>
      </c>
      <c r="X316">
        <f t="shared" si="14"/>
        <v>3.1104</v>
      </c>
      <c r="Y316">
        <f t="shared" si="15"/>
        <v>0.4667492948</v>
      </c>
    </row>
    <row r="317">
      <c r="A317" s="78" t="s">
        <v>739</v>
      </c>
      <c r="B317" s="78">
        <v>9.0</v>
      </c>
      <c r="C317" s="78">
        <f t="shared" si="3"/>
        <v>1080</v>
      </c>
      <c r="D317">
        <f t="shared" si="4"/>
        <v>1.08</v>
      </c>
      <c r="E317">
        <v>10.5</v>
      </c>
      <c r="F317">
        <f t="shared" si="5"/>
        <v>0</v>
      </c>
      <c r="G317">
        <f t="shared" si="6"/>
        <v>0</v>
      </c>
      <c r="H317">
        <f>C317*Pumps!$F$18/3600</f>
        <v>46022.53177</v>
      </c>
      <c r="I317">
        <f t="shared" si="7"/>
        <v>65746.47395</v>
      </c>
      <c r="J317">
        <f t="shared" si="8"/>
        <v>74744.99954</v>
      </c>
      <c r="K317">
        <f t="shared" si="22"/>
        <v>0</v>
      </c>
      <c r="M317" s="142">
        <f t="shared" si="9"/>
        <v>0</v>
      </c>
      <c r="N317" s="142">
        <f t="shared" si="10"/>
        <v>0</v>
      </c>
      <c r="O317" s="142">
        <f t="shared" ref="O317:Q317" si="319">H317*3600/(1*10^6)</f>
        <v>165.6811144</v>
      </c>
      <c r="P317" s="142">
        <f t="shared" si="319"/>
        <v>236.6873062</v>
      </c>
      <c r="Q317" s="142">
        <f t="shared" si="319"/>
        <v>269.0819983</v>
      </c>
      <c r="R317" s="142">
        <f t="shared" si="12"/>
        <v>0</v>
      </c>
      <c r="T317">
        <f>Pumps!$F$18*D317/Pumps!$I$4/3600</f>
        <v>65.74647395</v>
      </c>
      <c r="U317">
        <f>IF('Design Specifications'!$C$30="y",Disinfection!G315*Disinfection!$N$3*(1*10^6)/3600,0)</f>
        <v>0</v>
      </c>
      <c r="V317">
        <f t="shared" si="13"/>
        <v>864</v>
      </c>
      <c r="W317">
        <f t="shared" si="18"/>
        <v>3.347087306</v>
      </c>
      <c r="X317">
        <f t="shared" si="14"/>
        <v>3.1104</v>
      </c>
      <c r="Y317">
        <f t="shared" si="15"/>
        <v>0.4705062362</v>
      </c>
    </row>
    <row r="318">
      <c r="A318" s="78" t="s">
        <v>741</v>
      </c>
      <c r="B318" s="78">
        <v>15.0</v>
      </c>
      <c r="C318" s="78">
        <f t="shared" si="3"/>
        <v>1800</v>
      </c>
      <c r="D318">
        <f t="shared" si="4"/>
        <v>1.8</v>
      </c>
      <c r="E318">
        <v>10.5</v>
      </c>
      <c r="F318">
        <f t="shared" si="5"/>
        <v>0</v>
      </c>
      <c r="G318">
        <f t="shared" si="6"/>
        <v>0</v>
      </c>
      <c r="H318">
        <f>C318*Pumps!$F$18/3600</f>
        <v>76704.21961</v>
      </c>
      <c r="I318">
        <f t="shared" si="7"/>
        <v>109577.4566</v>
      </c>
      <c r="J318">
        <f t="shared" si="8"/>
        <v>123975.9592</v>
      </c>
      <c r="K318">
        <f t="shared" si="22"/>
        <v>0</v>
      </c>
      <c r="M318" s="142">
        <f t="shared" si="9"/>
        <v>0</v>
      </c>
      <c r="N318" s="142">
        <f t="shared" si="10"/>
        <v>0</v>
      </c>
      <c r="O318" s="142">
        <f t="shared" ref="O318:Q318" si="320">H318*3600/(1*10^6)</f>
        <v>276.1351906</v>
      </c>
      <c r="P318" s="142">
        <f t="shared" si="320"/>
        <v>394.4788437</v>
      </c>
      <c r="Q318" s="142">
        <f t="shared" si="320"/>
        <v>446.3134532</v>
      </c>
      <c r="R318" s="142">
        <f t="shared" si="12"/>
        <v>0</v>
      </c>
      <c r="T318">
        <f>Pumps!$F$18*D318/Pumps!$I$4/3600</f>
        <v>109.5774566</v>
      </c>
      <c r="U318">
        <f>IF('Design Specifications'!$C$30="y",Disinfection!G316*Disinfection!$N$3*(1*10^6)/3600,0)</f>
        <v>0</v>
      </c>
      <c r="V318">
        <f t="shared" si="13"/>
        <v>864</v>
      </c>
      <c r="W318">
        <f t="shared" si="18"/>
        <v>3.504878844</v>
      </c>
      <c r="X318">
        <f t="shared" si="14"/>
        <v>3.1104</v>
      </c>
      <c r="Y318">
        <f t="shared" si="15"/>
        <v>0.4817770603</v>
      </c>
    </row>
    <row r="319">
      <c r="A319" s="78" t="s">
        <v>743</v>
      </c>
      <c r="B319" s="78">
        <v>6.4</v>
      </c>
      <c r="C319" s="78">
        <f t="shared" si="3"/>
        <v>768</v>
      </c>
      <c r="D319">
        <f t="shared" si="4"/>
        <v>0.768</v>
      </c>
      <c r="E319">
        <v>9.0</v>
      </c>
      <c r="F319">
        <f t="shared" si="5"/>
        <v>0</v>
      </c>
      <c r="G319">
        <f t="shared" si="6"/>
        <v>0</v>
      </c>
      <c r="H319">
        <f>C319*Pumps!$F$18/3600</f>
        <v>32727.1337</v>
      </c>
      <c r="I319">
        <f t="shared" si="7"/>
        <v>46753.04814</v>
      </c>
      <c r="J319">
        <f t="shared" si="8"/>
        <v>53411.58367</v>
      </c>
      <c r="K319">
        <f t="shared" si="22"/>
        <v>0</v>
      </c>
      <c r="M319" s="142">
        <f t="shared" si="9"/>
        <v>0</v>
      </c>
      <c r="N319" s="142">
        <f t="shared" si="10"/>
        <v>0</v>
      </c>
      <c r="O319" s="142">
        <f t="shared" ref="O319:Q319" si="321">H319*3600/(1*10^6)</f>
        <v>117.8176813</v>
      </c>
      <c r="P319" s="142">
        <f t="shared" si="321"/>
        <v>168.3109733</v>
      </c>
      <c r="Q319" s="142">
        <f t="shared" si="321"/>
        <v>192.2817012</v>
      </c>
      <c r="R319" s="142">
        <f t="shared" si="12"/>
        <v>0</v>
      </c>
      <c r="T319">
        <f>Pumps!$F$18*D319/Pumps!$I$4/3600</f>
        <v>46.75304814</v>
      </c>
      <c r="U319">
        <f>IF('Design Specifications'!$C$30="y",Disinfection!G317*Disinfection!$N$3*(1*10^6)/3600,0)</f>
        <v>0</v>
      </c>
      <c r="V319">
        <f t="shared" si="13"/>
        <v>864</v>
      </c>
      <c r="W319">
        <f t="shared" si="18"/>
        <v>3.278710973</v>
      </c>
      <c r="X319">
        <f t="shared" si="14"/>
        <v>3.1104</v>
      </c>
      <c r="Y319">
        <f t="shared" si="15"/>
        <v>0.4656222124</v>
      </c>
    </row>
    <row r="320">
      <c r="A320" s="78" t="s">
        <v>745</v>
      </c>
      <c r="B320" s="78">
        <v>37.6</v>
      </c>
      <c r="C320" s="78">
        <f t="shared" si="3"/>
        <v>4512</v>
      </c>
      <c r="D320">
        <f t="shared" si="4"/>
        <v>4.512</v>
      </c>
      <c r="E320">
        <v>9.0</v>
      </c>
      <c r="F320">
        <f t="shared" si="5"/>
        <v>0</v>
      </c>
      <c r="G320">
        <f t="shared" si="6"/>
        <v>0</v>
      </c>
      <c r="H320">
        <f>C320*Pumps!$F$18/3600</f>
        <v>192271.9105</v>
      </c>
      <c r="I320">
        <f t="shared" si="7"/>
        <v>274674.1578</v>
      </c>
      <c r="J320">
        <f t="shared" si="8"/>
        <v>309412.5741</v>
      </c>
      <c r="K320">
        <f t="shared" si="22"/>
        <v>0</v>
      </c>
      <c r="M320" s="142">
        <f t="shared" si="9"/>
        <v>0</v>
      </c>
      <c r="N320" s="142">
        <f t="shared" si="10"/>
        <v>0</v>
      </c>
      <c r="O320" s="142">
        <f t="shared" ref="O320:Q320" si="322">H320*3600/(1*10^6)</f>
        <v>692.1788777</v>
      </c>
      <c r="P320" s="142">
        <f t="shared" si="322"/>
        <v>988.8269682</v>
      </c>
      <c r="Q320" s="142">
        <f t="shared" si="322"/>
        <v>1113.885267</v>
      </c>
      <c r="R320" s="142">
        <f t="shared" si="12"/>
        <v>0</v>
      </c>
      <c r="T320">
        <f>Pumps!$F$18*D320/Pumps!$I$4/3600</f>
        <v>274.6741578</v>
      </c>
      <c r="U320">
        <f>IF('Design Specifications'!$C$30="y",Disinfection!G318*Disinfection!$N$3*(1*10^6)/3600,0)</f>
        <v>0</v>
      </c>
      <c r="V320">
        <f t="shared" si="13"/>
        <v>864</v>
      </c>
      <c r="W320">
        <f t="shared" si="18"/>
        <v>4.099226968</v>
      </c>
      <c r="X320">
        <f t="shared" si="14"/>
        <v>3.1104</v>
      </c>
      <c r="Y320">
        <f t="shared" si="15"/>
        <v>0.5242304977</v>
      </c>
    </row>
    <row r="321">
      <c r="A321" s="78" t="s">
        <v>747</v>
      </c>
      <c r="B321" s="78">
        <v>35.2</v>
      </c>
      <c r="C321" s="78">
        <f t="shared" si="3"/>
        <v>4224</v>
      </c>
      <c r="D321">
        <f t="shared" si="4"/>
        <v>4.224</v>
      </c>
      <c r="E321">
        <v>9.0</v>
      </c>
      <c r="F321">
        <f t="shared" si="5"/>
        <v>0</v>
      </c>
      <c r="G321">
        <f t="shared" si="6"/>
        <v>0</v>
      </c>
      <c r="H321">
        <f>C321*Pumps!$F$18/3600</f>
        <v>179999.2353</v>
      </c>
      <c r="I321">
        <f t="shared" si="7"/>
        <v>257141.7648</v>
      </c>
      <c r="J321">
        <f t="shared" si="8"/>
        <v>289720.1902</v>
      </c>
      <c r="K321">
        <f t="shared" si="22"/>
        <v>0</v>
      </c>
      <c r="M321" s="142">
        <f t="shared" si="9"/>
        <v>0</v>
      </c>
      <c r="N321" s="142">
        <f t="shared" si="10"/>
        <v>0</v>
      </c>
      <c r="O321" s="142">
        <f t="shared" ref="O321:Q321" si="323">H321*3600/(1*10^6)</f>
        <v>647.9972473</v>
      </c>
      <c r="P321" s="142">
        <f t="shared" si="323"/>
        <v>925.7103532</v>
      </c>
      <c r="Q321" s="142">
        <f t="shared" si="323"/>
        <v>1042.992685</v>
      </c>
      <c r="R321" s="142">
        <f t="shared" si="12"/>
        <v>0</v>
      </c>
      <c r="T321">
        <f>Pumps!$F$18*D321/Pumps!$I$4/3600</f>
        <v>257.1417648</v>
      </c>
      <c r="U321">
        <f>IF('Design Specifications'!$C$30="y",Disinfection!G319*Disinfection!$N$3*(1*10^6)/3600,0)</f>
        <v>0</v>
      </c>
      <c r="V321">
        <f t="shared" si="13"/>
        <v>864</v>
      </c>
      <c r="W321">
        <f t="shared" si="18"/>
        <v>4.036110353</v>
      </c>
      <c r="X321">
        <f t="shared" si="14"/>
        <v>3.1104</v>
      </c>
      <c r="Y321">
        <f t="shared" si="15"/>
        <v>0.5197221681</v>
      </c>
    </row>
    <row r="322">
      <c r="A322" s="78" t="s">
        <v>749</v>
      </c>
      <c r="B322" s="78">
        <v>9.0</v>
      </c>
      <c r="C322" s="78">
        <f t="shared" si="3"/>
        <v>1080</v>
      </c>
      <c r="D322">
        <f t="shared" si="4"/>
        <v>1.08</v>
      </c>
      <c r="E322">
        <v>9.0</v>
      </c>
      <c r="F322">
        <f t="shared" si="5"/>
        <v>0</v>
      </c>
      <c r="G322">
        <f t="shared" si="6"/>
        <v>0</v>
      </c>
      <c r="H322">
        <f>C322*Pumps!$F$18/3600</f>
        <v>46022.53177</v>
      </c>
      <c r="I322">
        <f t="shared" si="7"/>
        <v>65746.47395</v>
      </c>
      <c r="J322">
        <f t="shared" si="8"/>
        <v>74744.99954</v>
      </c>
      <c r="K322">
        <f t="shared" si="22"/>
        <v>0</v>
      </c>
      <c r="M322" s="142">
        <f t="shared" si="9"/>
        <v>0</v>
      </c>
      <c r="N322" s="142">
        <f t="shared" si="10"/>
        <v>0</v>
      </c>
      <c r="O322" s="142">
        <f t="shared" ref="O322:Q322" si="324">H322*3600/(1*10^6)</f>
        <v>165.6811144</v>
      </c>
      <c r="P322" s="142">
        <f t="shared" si="324"/>
        <v>236.6873062</v>
      </c>
      <c r="Q322" s="142">
        <f t="shared" si="324"/>
        <v>269.0819983</v>
      </c>
      <c r="R322" s="142">
        <f t="shared" si="12"/>
        <v>0</v>
      </c>
      <c r="T322">
        <f>Pumps!$F$18*D322/Pumps!$I$4/3600</f>
        <v>65.74647395</v>
      </c>
      <c r="U322">
        <f>IF('Design Specifications'!$C$30="y",Disinfection!G320*Disinfection!$N$3*(1*10^6)/3600,0)</f>
        <v>0</v>
      </c>
      <c r="V322">
        <f t="shared" si="13"/>
        <v>864</v>
      </c>
      <c r="W322">
        <f t="shared" si="18"/>
        <v>3.347087306</v>
      </c>
      <c r="X322">
        <f t="shared" si="14"/>
        <v>3.1104</v>
      </c>
      <c r="Y322">
        <f t="shared" si="15"/>
        <v>0.4705062362</v>
      </c>
    </row>
    <row r="323">
      <c r="A323" s="78" t="s">
        <v>751</v>
      </c>
      <c r="B323" s="78">
        <v>4.4</v>
      </c>
      <c r="C323" s="78">
        <f t="shared" si="3"/>
        <v>528</v>
      </c>
      <c r="D323">
        <f t="shared" si="4"/>
        <v>0.528</v>
      </c>
      <c r="E323">
        <v>9.0</v>
      </c>
      <c r="F323">
        <f t="shared" si="5"/>
        <v>0</v>
      </c>
      <c r="G323">
        <f t="shared" si="6"/>
        <v>0</v>
      </c>
      <c r="H323">
        <f>C323*Pumps!$F$18/3600</f>
        <v>22499.90442</v>
      </c>
      <c r="I323">
        <f t="shared" si="7"/>
        <v>32142.7206</v>
      </c>
      <c r="J323">
        <f t="shared" si="8"/>
        <v>37001.26378</v>
      </c>
      <c r="K323">
        <f t="shared" si="22"/>
        <v>0</v>
      </c>
      <c r="M323" s="142">
        <f t="shared" si="9"/>
        <v>0</v>
      </c>
      <c r="N323" s="142">
        <f t="shared" si="10"/>
        <v>0</v>
      </c>
      <c r="O323" s="142">
        <f t="shared" ref="O323:Q323" si="325">H323*3600/(1*10^6)</f>
        <v>80.99965591</v>
      </c>
      <c r="P323" s="142">
        <f t="shared" si="325"/>
        <v>115.7137942</v>
      </c>
      <c r="Q323" s="142">
        <f t="shared" si="325"/>
        <v>133.2045496</v>
      </c>
      <c r="R323" s="142">
        <f t="shared" si="12"/>
        <v>0</v>
      </c>
      <c r="T323">
        <f>Pumps!$F$18*D323/Pumps!$I$4/3600</f>
        <v>32.1427206</v>
      </c>
      <c r="U323">
        <f>IF('Design Specifications'!$C$30="y",Disinfection!G321*Disinfection!$N$3*(1*10^6)/3600,0)</f>
        <v>0</v>
      </c>
      <c r="V323">
        <f t="shared" si="13"/>
        <v>864</v>
      </c>
      <c r="W323">
        <f t="shared" si="18"/>
        <v>3.226113794</v>
      </c>
      <c r="X323">
        <f t="shared" si="14"/>
        <v>3.1104</v>
      </c>
      <c r="Y323">
        <f t="shared" si="15"/>
        <v>0.461865271</v>
      </c>
    </row>
    <row r="324">
      <c r="A324" s="78" t="s">
        <v>753</v>
      </c>
      <c r="B324" s="78">
        <v>20.2</v>
      </c>
      <c r="C324" s="78">
        <f t="shared" si="3"/>
        <v>2424</v>
      </c>
      <c r="D324">
        <f t="shared" si="4"/>
        <v>2.424</v>
      </c>
      <c r="E324">
        <v>9.0</v>
      </c>
      <c r="F324">
        <f t="shared" si="5"/>
        <v>0</v>
      </c>
      <c r="G324">
        <f t="shared" si="6"/>
        <v>0</v>
      </c>
      <c r="H324">
        <f>C324*Pumps!$F$18/3600</f>
        <v>103295.0157</v>
      </c>
      <c r="I324">
        <f t="shared" si="7"/>
        <v>147564.3082</v>
      </c>
      <c r="J324">
        <f t="shared" si="8"/>
        <v>166642.791</v>
      </c>
      <c r="K324">
        <f t="shared" si="22"/>
        <v>0</v>
      </c>
      <c r="M324" s="142">
        <f t="shared" si="9"/>
        <v>0</v>
      </c>
      <c r="N324" s="142">
        <f t="shared" si="10"/>
        <v>0</v>
      </c>
      <c r="O324" s="142">
        <f t="shared" ref="O324:Q324" si="326">H324*3600/(1*10^6)</f>
        <v>371.8620567</v>
      </c>
      <c r="P324" s="142">
        <f t="shared" si="326"/>
        <v>531.2315095</v>
      </c>
      <c r="Q324" s="142">
        <f t="shared" si="326"/>
        <v>599.9140475</v>
      </c>
      <c r="R324" s="142">
        <f t="shared" si="12"/>
        <v>0</v>
      </c>
      <c r="T324">
        <f>Pumps!$F$18*D324/Pumps!$I$4/3600</f>
        <v>147.5643082</v>
      </c>
      <c r="U324">
        <f>IF('Design Specifications'!$C$30="y",Disinfection!G322*Disinfection!$N$3*(1*10^6)/3600,0)</f>
        <v>0</v>
      </c>
      <c r="V324">
        <f t="shared" si="13"/>
        <v>864</v>
      </c>
      <c r="W324">
        <f t="shared" si="18"/>
        <v>3.64163151</v>
      </c>
      <c r="X324">
        <f t="shared" si="14"/>
        <v>3.1104</v>
      </c>
      <c r="Y324">
        <f t="shared" si="15"/>
        <v>0.4915451078</v>
      </c>
    </row>
    <row r="325">
      <c r="A325" s="78" t="s">
        <v>755</v>
      </c>
      <c r="B325" s="78">
        <v>1.4</v>
      </c>
      <c r="C325" s="78">
        <f t="shared" si="3"/>
        <v>168</v>
      </c>
      <c r="D325">
        <f t="shared" si="4"/>
        <v>0.168</v>
      </c>
      <c r="E325">
        <v>9.0</v>
      </c>
      <c r="F325">
        <f t="shared" si="5"/>
        <v>0</v>
      </c>
      <c r="G325">
        <f t="shared" si="6"/>
        <v>0</v>
      </c>
      <c r="H325">
        <f>C325*Pumps!$F$18/3600</f>
        <v>7159.060497</v>
      </c>
      <c r="I325">
        <f t="shared" si="7"/>
        <v>10227.22928</v>
      </c>
      <c r="J325">
        <f t="shared" si="8"/>
        <v>12385.78393</v>
      </c>
      <c r="K325">
        <f t="shared" si="22"/>
        <v>0</v>
      </c>
      <c r="M325" s="142">
        <f t="shared" si="9"/>
        <v>0</v>
      </c>
      <c r="N325" s="142">
        <f t="shared" si="10"/>
        <v>0</v>
      </c>
      <c r="O325" s="142">
        <f t="shared" ref="O325:Q325" si="327">H325*3600/(1*10^6)</f>
        <v>25.77261779</v>
      </c>
      <c r="P325" s="142">
        <f t="shared" si="327"/>
        <v>36.81802541</v>
      </c>
      <c r="Q325" s="142">
        <f t="shared" si="327"/>
        <v>44.58882214</v>
      </c>
      <c r="R325" s="142">
        <f t="shared" si="12"/>
        <v>0</v>
      </c>
      <c r="T325">
        <f>Pumps!$F$18*D325/Pumps!$I$4/3600</f>
        <v>10.22722928</v>
      </c>
      <c r="U325">
        <f>IF('Design Specifications'!$C$30="y",Disinfection!G323*Disinfection!$N$3*(1*10^6)/3600,0)</f>
        <v>0</v>
      </c>
      <c r="V325">
        <f t="shared" si="13"/>
        <v>864</v>
      </c>
      <c r="W325">
        <f t="shared" si="18"/>
        <v>3.147218025</v>
      </c>
      <c r="X325">
        <f t="shared" si="14"/>
        <v>3.1104</v>
      </c>
      <c r="Y325">
        <f t="shared" si="15"/>
        <v>0.456229859</v>
      </c>
    </row>
    <row r="326">
      <c r="A326" s="78" t="s">
        <v>757</v>
      </c>
      <c r="B326" s="78">
        <v>34.0</v>
      </c>
      <c r="C326" s="78">
        <f t="shared" si="3"/>
        <v>4080</v>
      </c>
      <c r="D326">
        <f t="shared" si="4"/>
        <v>4.08</v>
      </c>
      <c r="E326">
        <v>9.0</v>
      </c>
      <c r="F326">
        <f t="shared" si="5"/>
        <v>0</v>
      </c>
      <c r="G326">
        <f t="shared" si="6"/>
        <v>0</v>
      </c>
      <c r="H326">
        <f>C326*Pumps!$F$18/3600</f>
        <v>173862.8978</v>
      </c>
      <c r="I326">
        <f t="shared" si="7"/>
        <v>248375.5683</v>
      </c>
      <c r="J326">
        <f t="shared" si="8"/>
        <v>279873.9983</v>
      </c>
      <c r="K326">
        <f t="shared" si="22"/>
        <v>0</v>
      </c>
      <c r="M326" s="142">
        <f t="shared" si="9"/>
        <v>0</v>
      </c>
      <c r="N326" s="142">
        <f t="shared" si="10"/>
        <v>0</v>
      </c>
      <c r="O326" s="142">
        <f t="shared" ref="O326:Q326" si="328">H326*3600/(1*10^6)</f>
        <v>625.906432</v>
      </c>
      <c r="P326" s="142">
        <f t="shared" si="328"/>
        <v>894.1520457</v>
      </c>
      <c r="Q326" s="142">
        <f t="shared" si="328"/>
        <v>1007.546394</v>
      </c>
      <c r="R326" s="142">
        <f t="shared" si="12"/>
        <v>0</v>
      </c>
      <c r="T326">
        <f>Pumps!$F$18*D326/Pumps!$I$4/3600</f>
        <v>248.3755683</v>
      </c>
      <c r="U326">
        <f>IF('Design Specifications'!$C$30="y",Disinfection!G324*Disinfection!$N$3*(1*10^6)/3600,0)</f>
        <v>0</v>
      </c>
      <c r="V326">
        <f t="shared" si="13"/>
        <v>864</v>
      </c>
      <c r="W326">
        <f t="shared" si="18"/>
        <v>4.004552046</v>
      </c>
      <c r="X326">
        <f t="shared" si="14"/>
        <v>3.1104</v>
      </c>
      <c r="Y326">
        <f t="shared" si="15"/>
        <v>0.5174680033</v>
      </c>
    </row>
    <row r="327">
      <c r="A327" s="78" t="s">
        <v>759</v>
      </c>
      <c r="B327" s="78">
        <v>0.0</v>
      </c>
      <c r="C327" s="78">
        <f t="shared" si="3"/>
        <v>0</v>
      </c>
      <c r="D327">
        <f t="shared" si="4"/>
        <v>0</v>
      </c>
      <c r="E327">
        <v>9.0</v>
      </c>
      <c r="F327">
        <f t="shared" si="5"/>
        <v>0</v>
      </c>
      <c r="G327">
        <f t="shared" si="6"/>
        <v>0</v>
      </c>
      <c r="H327">
        <f>C327*Pumps!$F$18/3600</f>
        <v>0</v>
      </c>
      <c r="I327">
        <f t="shared" si="7"/>
        <v>0</v>
      </c>
      <c r="J327">
        <f t="shared" si="8"/>
        <v>898.56</v>
      </c>
      <c r="K327">
        <f t="shared" si="22"/>
        <v>0</v>
      </c>
      <c r="M327" s="142">
        <f t="shared" si="9"/>
        <v>0</v>
      </c>
      <c r="N327" s="142">
        <f t="shared" si="10"/>
        <v>0</v>
      </c>
      <c r="O327" s="142">
        <f t="shared" ref="O327:Q327" si="329">H327*3600/(1*10^6)</f>
        <v>0</v>
      </c>
      <c r="P327" s="142">
        <f t="shared" si="329"/>
        <v>0</v>
      </c>
      <c r="Q327" s="142">
        <f t="shared" si="329"/>
        <v>3.234816</v>
      </c>
      <c r="R327" s="142">
        <f t="shared" si="12"/>
        <v>0</v>
      </c>
      <c r="T327">
        <f>Pumps!$F$18*D327/Pumps!$I$4/3600</f>
        <v>0</v>
      </c>
      <c r="U327">
        <f>IF('Design Specifications'!$C$30="y",Disinfection!G325*Disinfection!$N$3*(1*10^6)/3600,0)</f>
        <v>0</v>
      </c>
      <c r="V327">
        <f t="shared" si="13"/>
        <v>864</v>
      </c>
      <c r="W327">
        <f t="shared" si="18"/>
        <v>3.1104</v>
      </c>
      <c r="X327">
        <f t="shared" si="14"/>
        <v>3.1104</v>
      </c>
      <c r="Y327">
        <f t="shared" si="15"/>
        <v>0.4536</v>
      </c>
    </row>
    <row r="328">
      <c r="A328" s="78" t="s">
        <v>761</v>
      </c>
      <c r="B328" s="78">
        <v>0.0</v>
      </c>
      <c r="C328" s="78">
        <f t="shared" si="3"/>
        <v>0</v>
      </c>
      <c r="D328">
        <f t="shared" si="4"/>
        <v>0</v>
      </c>
      <c r="E328">
        <v>9.0</v>
      </c>
      <c r="F328">
        <f t="shared" si="5"/>
        <v>0</v>
      </c>
      <c r="G328">
        <f t="shared" si="6"/>
        <v>0</v>
      </c>
      <c r="H328">
        <f>C328*Pumps!$F$18/3600</f>
        <v>0</v>
      </c>
      <c r="I328">
        <f t="shared" si="7"/>
        <v>0</v>
      </c>
      <c r="J328">
        <f t="shared" si="8"/>
        <v>898.56</v>
      </c>
      <c r="K328">
        <f t="shared" si="22"/>
        <v>0</v>
      </c>
      <c r="M328" s="142">
        <f t="shared" si="9"/>
        <v>0</v>
      </c>
      <c r="N328" s="142">
        <f t="shared" si="10"/>
        <v>0</v>
      </c>
      <c r="O328" s="142">
        <f t="shared" ref="O328:Q328" si="330">H328*3600/(1*10^6)</f>
        <v>0</v>
      </c>
      <c r="P328" s="142">
        <f t="shared" si="330"/>
        <v>0</v>
      </c>
      <c r="Q328" s="142">
        <f t="shared" si="330"/>
        <v>3.234816</v>
      </c>
      <c r="R328" s="142">
        <f t="shared" si="12"/>
        <v>0</v>
      </c>
      <c r="T328">
        <f>Pumps!$F$18*D328/Pumps!$I$4/3600</f>
        <v>0</v>
      </c>
      <c r="U328">
        <f>IF('Design Specifications'!$C$30="y",Disinfection!G326*Disinfection!$N$3*(1*10^6)/3600,0)</f>
        <v>0</v>
      </c>
      <c r="V328">
        <f t="shared" si="13"/>
        <v>864</v>
      </c>
      <c r="W328">
        <f t="shared" si="18"/>
        <v>3.1104</v>
      </c>
      <c r="X328">
        <f t="shared" si="14"/>
        <v>3.1104</v>
      </c>
      <c r="Y328">
        <f t="shared" si="15"/>
        <v>0.4536</v>
      </c>
    </row>
    <row r="329">
      <c r="A329" s="78" t="s">
        <v>763</v>
      </c>
      <c r="B329" s="78">
        <v>0.0</v>
      </c>
      <c r="C329" s="78">
        <f t="shared" si="3"/>
        <v>0</v>
      </c>
      <c r="D329">
        <f t="shared" si="4"/>
        <v>0</v>
      </c>
      <c r="E329">
        <v>9.0</v>
      </c>
      <c r="F329">
        <f t="shared" si="5"/>
        <v>0</v>
      </c>
      <c r="G329">
        <f t="shared" si="6"/>
        <v>0</v>
      </c>
      <c r="H329">
        <f>C329*Pumps!$F$18/3600</f>
        <v>0</v>
      </c>
      <c r="I329">
        <f t="shared" si="7"/>
        <v>0</v>
      </c>
      <c r="J329">
        <f t="shared" si="8"/>
        <v>898.56</v>
      </c>
      <c r="K329">
        <f t="shared" si="22"/>
        <v>0</v>
      </c>
      <c r="M329" s="142">
        <f t="shared" si="9"/>
        <v>0</v>
      </c>
      <c r="N329" s="142">
        <f t="shared" si="10"/>
        <v>0</v>
      </c>
      <c r="O329" s="142">
        <f t="shared" ref="O329:Q329" si="331">H329*3600/(1*10^6)</f>
        <v>0</v>
      </c>
      <c r="P329" s="142">
        <f t="shared" si="331"/>
        <v>0</v>
      </c>
      <c r="Q329" s="142">
        <f t="shared" si="331"/>
        <v>3.234816</v>
      </c>
      <c r="R329" s="142">
        <f t="shared" si="12"/>
        <v>0</v>
      </c>
      <c r="T329">
        <f>Pumps!$F$18*D329/Pumps!$I$4/3600</f>
        <v>0</v>
      </c>
      <c r="U329">
        <f>IF('Design Specifications'!$C$30="y",Disinfection!G327*Disinfection!$N$3*(1*10^6)/3600,0)</f>
        <v>0</v>
      </c>
      <c r="V329">
        <f t="shared" si="13"/>
        <v>864</v>
      </c>
      <c r="W329">
        <f t="shared" si="18"/>
        <v>3.1104</v>
      </c>
      <c r="X329">
        <f t="shared" si="14"/>
        <v>3.1104</v>
      </c>
      <c r="Y329">
        <f t="shared" si="15"/>
        <v>0.4536</v>
      </c>
    </row>
    <row r="330">
      <c r="A330" s="78" t="s">
        <v>765</v>
      </c>
      <c r="B330" s="78">
        <v>0.0</v>
      </c>
      <c r="C330" s="78">
        <f t="shared" si="3"/>
        <v>0</v>
      </c>
      <c r="D330">
        <f t="shared" si="4"/>
        <v>0</v>
      </c>
      <c r="E330">
        <v>9.0</v>
      </c>
      <c r="F330">
        <f t="shared" si="5"/>
        <v>0</v>
      </c>
      <c r="G330">
        <f t="shared" si="6"/>
        <v>0</v>
      </c>
      <c r="H330">
        <f>C330*Pumps!$F$18/3600</f>
        <v>0</v>
      </c>
      <c r="I330">
        <f t="shared" si="7"/>
        <v>0</v>
      </c>
      <c r="J330">
        <f t="shared" si="8"/>
        <v>898.56</v>
      </c>
      <c r="K330">
        <f t="shared" si="22"/>
        <v>0</v>
      </c>
      <c r="M330" s="142">
        <f t="shared" si="9"/>
        <v>0</v>
      </c>
      <c r="N330" s="142">
        <f t="shared" si="10"/>
        <v>0</v>
      </c>
      <c r="O330" s="142">
        <f t="shared" ref="O330:Q330" si="332">H330*3600/(1*10^6)</f>
        <v>0</v>
      </c>
      <c r="P330" s="142">
        <f t="shared" si="332"/>
        <v>0</v>
      </c>
      <c r="Q330" s="142">
        <f t="shared" si="332"/>
        <v>3.234816</v>
      </c>
      <c r="R330" s="142">
        <f t="shared" si="12"/>
        <v>0</v>
      </c>
      <c r="T330">
        <f>Pumps!$F$18*D330/Pumps!$I$4/3600</f>
        <v>0</v>
      </c>
      <c r="U330">
        <f>IF('Design Specifications'!$C$30="y",Disinfection!G328*Disinfection!$N$3*(1*10^6)/3600,0)</f>
        <v>0</v>
      </c>
      <c r="V330">
        <f t="shared" si="13"/>
        <v>864</v>
      </c>
      <c r="W330">
        <f t="shared" si="18"/>
        <v>3.1104</v>
      </c>
      <c r="X330">
        <f t="shared" si="14"/>
        <v>3.1104</v>
      </c>
      <c r="Y330">
        <f t="shared" si="15"/>
        <v>0.4536</v>
      </c>
    </row>
    <row r="331">
      <c r="A331" s="78" t="s">
        <v>767</v>
      </c>
      <c r="B331" s="78">
        <v>0.0</v>
      </c>
      <c r="C331" s="78">
        <f t="shared" si="3"/>
        <v>0</v>
      </c>
      <c r="D331">
        <f t="shared" si="4"/>
        <v>0</v>
      </c>
      <c r="E331">
        <v>9.0</v>
      </c>
      <c r="F331">
        <f t="shared" si="5"/>
        <v>0</v>
      </c>
      <c r="G331">
        <f t="shared" si="6"/>
        <v>0</v>
      </c>
      <c r="H331">
        <f>C331*Pumps!$F$18/3600</f>
        <v>0</v>
      </c>
      <c r="I331">
        <f t="shared" si="7"/>
        <v>0</v>
      </c>
      <c r="J331">
        <f t="shared" si="8"/>
        <v>898.56</v>
      </c>
      <c r="K331">
        <f t="shared" si="22"/>
        <v>0</v>
      </c>
      <c r="M331" s="142">
        <f t="shared" si="9"/>
        <v>0</v>
      </c>
      <c r="N331" s="142">
        <f t="shared" si="10"/>
        <v>0</v>
      </c>
      <c r="O331" s="142">
        <f t="shared" ref="O331:Q331" si="333">H331*3600/(1*10^6)</f>
        <v>0</v>
      </c>
      <c r="P331" s="142">
        <f t="shared" si="333"/>
        <v>0</v>
      </c>
      <c r="Q331" s="142">
        <f t="shared" si="333"/>
        <v>3.234816</v>
      </c>
      <c r="R331" s="142">
        <f t="shared" si="12"/>
        <v>0</v>
      </c>
      <c r="T331">
        <f>Pumps!$F$18*D331/Pumps!$I$4/3600</f>
        <v>0</v>
      </c>
      <c r="U331">
        <f>IF('Design Specifications'!$C$30="y",Disinfection!G329*Disinfection!$N$3*(1*10^6)/3600,0)</f>
        <v>0</v>
      </c>
      <c r="V331">
        <f t="shared" si="13"/>
        <v>864</v>
      </c>
      <c r="W331">
        <f t="shared" si="18"/>
        <v>3.1104</v>
      </c>
      <c r="X331">
        <f t="shared" si="14"/>
        <v>3.1104</v>
      </c>
      <c r="Y331">
        <f t="shared" si="15"/>
        <v>0.4536</v>
      </c>
    </row>
    <row r="332">
      <c r="A332" s="78" t="s">
        <v>769</v>
      </c>
      <c r="B332" s="78">
        <v>0.0</v>
      </c>
      <c r="C332" s="78">
        <f t="shared" si="3"/>
        <v>0</v>
      </c>
      <c r="D332">
        <f t="shared" si="4"/>
        <v>0</v>
      </c>
      <c r="E332">
        <v>9.0</v>
      </c>
      <c r="F332">
        <f t="shared" si="5"/>
        <v>0</v>
      </c>
      <c r="G332">
        <f t="shared" si="6"/>
        <v>0</v>
      </c>
      <c r="H332">
        <f>C332*Pumps!$F$18/3600</f>
        <v>0</v>
      </c>
      <c r="I332">
        <f t="shared" si="7"/>
        <v>0</v>
      </c>
      <c r="J332">
        <f t="shared" si="8"/>
        <v>898.56</v>
      </c>
      <c r="K332">
        <f t="shared" si="22"/>
        <v>0</v>
      </c>
      <c r="M332" s="142">
        <f t="shared" si="9"/>
        <v>0</v>
      </c>
      <c r="N332" s="142">
        <f t="shared" si="10"/>
        <v>0</v>
      </c>
      <c r="O332" s="142">
        <f t="shared" ref="O332:Q332" si="334">H332*3600/(1*10^6)</f>
        <v>0</v>
      </c>
      <c r="P332" s="142">
        <f t="shared" si="334"/>
        <v>0</v>
      </c>
      <c r="Q332" s="142">
        <f t="shared" si="334"/>
        <v>3.234816</v>
      </c>
      <c r="R332" s="142">
        <f t="shared" si="12"/>
        <v>0</v>
      </c>
      <c r="T332">
        <f>Pumps!$F$18*D332/Pumps!$I$4/3600</f>
        <v>0</v>
      </c>
      <c r="U332">
        <f>IF('Design Specifications'!$C$30="y",Disinfection!G330*Disinfection!$N$3*(1*10^6)/3600,0)</f>
        <v>0</v>
      </c>
      <c r="V332">
        <f t="shared" si="13"/>
        <v>864</v>
      </c>
      <c r="W332">
        <f t="shared" si="18"/>
        <v>3.1104</v>
      </c>
      <c r="X332">
        <f t="shared" si="14"/>
        <v>3.1104</v>
      </c>
      <c r="Y332">
        <f t="shared" si="15"/>
        <v>0.4536</v>
      </c>
    </row>
    <row r="333">
      <c r="A333" s="78" t="s">
        <v>771</v>
      </c>
      <c r="B333" s="78">
        <v>0.0</v>
      </c>
      <c r="C333" s="78">
        <f t="shared" si="3"/>
        <v>0</v>
      </c>
      <c r="D333">
        <f t="shared" si="4"/>
        <v>0</v>
      </c>
      <c r="E333">
        <v>9.0</v>
      </c>
      <c r="F333">
        <f t="shared" si="5"/>
        <v>0</v>
      </c>
      <c r="G333">
        <f t="shared" si="6"/>
        <v>0</v>
      </c>
      <c r="H333">
        <f>C333*Pumps!$F$18/3600</f>
        <v>0</v>
      </c>
      <c r="I333">
        <f t="shared" si="7"/>
        <v>0</v>
      </c>
      <c r="J333">
        <f t="shared" si="8"/>
        <v>898.56</v>
      </c>
      <c r="K333">
        <f t="shared" si="22"/>
        <v>0</v>
      </c>
      <c r="M333" s="142">
        <f t="shared" si="9"/>
        <v>0</v>
      </c>
      <c r="N333" s="142">
        <f t="shared" si="10"/>
        <v>0</v>
      </c>
      <c r="O333" s="142">
        <f t="shared" ref="O333:Q333" si="335">H333*3600/(1*10^6)</f>
        <v>0</v>
      </c>
      <c r="P333" s="142">
        <f t="shared" si="335"/>
        <v>0</v>
      </c>
      <c r="Q333" s="142">
        <f t="shared" si="335"/>
        <v>3.234816</v>
      </c>
      <c r="R333" s="142">
        <f t="shared" si="12"/>
        <v>0</v>
      </c>
      <c r="T333">
        <f>Pumps!$F$18*D333/Pumps!$I$4/3600</f>
        <v>0</v>
      </c>
      <c r="U333">
        <f>IF('Design Specifications'!$C$30="y",Disinfection!G331*Disinfection!$N$3*(1*10^6)/3600,0)</f>
        <v>0</v>
      </c>
      <c r="V333">
        <f t="shared" si="13"/>
        <v>864</v>
      </c>
      <c r="W333">
        <f t="shared" si="18"/>
        <v>3.1104</v>
      </c>
      <c r="X333">
        <f t="shared" si="14"/>
        <v>3.1104</v>
      </c>
      <c r="Y333">
        <f t="shared" si="15"/>
        <v>0.4536</v>
      </c>
    </row>
    <row r="334">
      <c r="A334" s="78" t="s">
        <v>773</v>
      </c>
      <c r="B334" s="78">
        <v>0.0</v>
      </c>
      <c r="C334" s="78">
        <f t="shared" si="3"/>
        <v>0</v>
      </c>
      <c r="D334">
        <f t="shared" si="4"/>
        <v>0</v>
      </c>
      <c r="E334">
        <v>9.0</v>
      </c>
      <c r="F334">
        <f t="shared" si="5"/>
        <v>0</v>
      </c>
      <c r="G334">
        <f t="shared" si="6"/>
        <v>0</v>
      </c>
      <c r="H334">
        <f>C334*Pumps!$F$18/3600</f>
        <v>0</v>
      </c>
      <c r="I334">
        <f t="shared" si="7"/>
        <v>0</v>
      </c>
      <c r="J334">
        <f t="shared" si="8"/>
        <v>898.56</v>
      </c>
      <c r="K334">
        <f t="shared" si="22"/>
        <v>0</v>
      </c>
      <c r="M334" s="142">
        <f t="shared" si="9"/>
        <v>0</v>
      </c>
      <c r="N334" s="142">
        <f t="shared" si="10"/>
        <v>0</v>
      </c>
      <c r="O334" s="142">
        <f t="shared" ref="O334:Q334" si="336">H334*3600/(1*10^6)</f>
        <v>0</v>
      </c>
      <c r="P334" s="142">
        <f t="shared" si="336"/>
        <v>0</v>
      </c>
      <c r="Q334" s="142">
        <f t="shared" si="336"/>
        <v>3.234816</v>
      </c>
      <c r="R334" s="142">
        <f t="shared" si="12"/>
        <v>0</v>
      </c>
      <c r="T334">
        <f>Pumps!$F$18*D334/Pumps!$I$4/3600</f>
        <v>0</v>
      </c>
      <c r="U334">
        <f>IF('Design Specifications'!$C$30="y",Disinfection!G332*Disinfection!$N$3*(1*10^6)/3600,0)</f>
        <v>0</v>
      </c>
      <c r="V334">
        <f t="shared" si="13"/>
        <v>864</v>
      </c>
      <c r="W334">
        <f t="shared" si="18"/>
        <v>3.1104</v>
      </c>
      <c r="X334">
        <f t="shared" si="14"/>
        <v>3.1104</v>
      </c>
      <c r="Y334">
        <f t="shared" si="15"/>
        <v>0.4536</v>
      </c>
    </row>
    <row r="335">
      <c r="A335" s="78" t="s">
        <v>775</v>
      </c>
      <c r="B335" s="78">
        <v>0.0</v>
      </c>
      <c r="C335" s="78">
        <f t="shared" si="3"/>
        <v>0</v>
      </c>
      <c r="D335">
        <f t="shared" si="4"/>
        <v>0</v>
      </c>
      <c r="E335">
        <v>9.0</v>
      </c>
      <c r="F335">
        <f t="shared" si="5"/>
        <v>0</v>
      </c>
      <c r="G335">
        <f t="shared" si="6"/>
        <v>0</v>
      </c>
      <c r="H335">
        <f>C335*Pumps!$F$18/3600</f>
        <v>0</v>
      </c>
      <c r="I335">
        <f t="shared" si="7"/>
        <v>0</v>
      </c>
      <c r="J335">
        <f t="shared" si="8"/>
        <v>898.56</v>
      </c>
      <c r="K335">
        <f t="shared" si="22"/>
        <v>0</v>
      </c>
      <c r="M335" s="142">
        <f t="shared" si="9"/>
        <v>0</v>
      </c>
      <c r="N335" s="142">
        <f t="shared" si="10"/>
        <v>0</v>
      </c>
      <c r="O335" s="142">
        <f t="shared" ref="O335:Q335" si="337">H335*3600/(1*10^6)</f>
        <v>0</v>
      </c>
      <c r="P335" s="142">
        <f t="shared" si="337"/>
        <v>0</v>
      </c>
      <c r="Q335" s="142">
        <f t="shared" si="337"/>
        <v>3.234816</v>
      </c>
      <c r="R335" s="142">
        <f t="shared" si="12"/>
        <v>0</v>
      </c>
      <c r="T335">
        <f>Pumps!$F$18*D335/Pumps!$I$4/3600</f>
        <v>0</v>
      </c>
      <c r="U335">
        <f>IF('Design Specifications'!$C$30="y",Disinfection!G333*Disinfection!$N$3*(1*10^6)/3600,0)</f>
        <v>0</v>
      </c>
      <c r="V335">
        <f t="shared" si="13"/>
        <v>864</v>
      </c>
      <c r="W335">
        <f t="shared" si="18"/>
        <v>3.1104</v>
      </c>
      <c r="X335">
        <f t="shared" si="14"/>
        <v>3.1104</v>
      </c>
      <c r="Y335">
        <f t="shared" si="15"/>
        <v>0.4536</v>
      </c>
    </row>
    <row r="336">
      <c r="A336" s="78" t="s">
        <v>777</v>
      </c>
      <c r="B336" s="78">
        <v>0.0</v>
      </c>
      <c r="C336" s="78">
        <f t="shared" si="3"/>
        <v>0</v>
      </c>
      <c r="D336">
        <f t="shared" si="4"/>
        <v>0</v>
      </c>
      <c r="E336">
        <v>9.0</v>
      </c>
      <c r="F336">
        <f t="shared" si="5"/>
        <v>0</v>
      </c>
      <c r="G336">
        <f t="shared" si="6"/>
        <v>0</v>
      </c>
      <c r="H336">
        <f>C336*Pumps!$F$18/3600</f>
        <v>0</v>
      </c>
      <c r="I336">
        <f t="shared" si="7"/>
        <v>0</v>
      </c>
      <c r="J336">
        <f t="shared" si="8"/>
        <v>898.56</v>
      </c>
      <c r="K336">
        <f t="shared" si="22"/>
        <v>0</v>
      </c>
      <c r="M336" s="142">
        <f t="shared" si="9"/>
        <v>0</v>
      </c>
      <c r="N336" s="142">
        <f t="shared" si="10"/>
        <v>0</v>
      </c>
      <c r="O336" s="142">
        <f t="shared" ref="O336:Q336" si="338">H336*3600/(1*10^6)</f>
        <v>0</v>
      </c>
      <c r="P336" s="142">
        <f t="shared" si="338"/>
        <v>0</v>
      </c>
      <c r="Q336" s="142">
        <f t="shared" si="338"/>
        <v>3.234816</v>
      </c>
      <c r="R336" s="142">
        <f t="shared" si="12"/>
        <v>0</v>
      </c>
      <c r="T336">
        <f>Pumps!$F$18*D336/Pumps!$I$4/3600</f>
        <v>0</v>
      </c>
      <c r="U336">
        <f>IF('Design Specifications'!$C$30="y",Disinfection!G334*Disinfection!$N$3*(1*10^6)/3600,0)</f>
        <v>0</v>
      </c>
      <c r="V336">
        <f t="shared" si="13"/>
        <v>864</v>
      </c>
      <c r="W336">
        <f t="shared" si="18"/>
        <v>3.1104</v>
      </c>
      <c r="X336">
        <f t="shared" si="14"/>
        <v>3.1104</v>
      </c>
      <c r="Y336">
        <f t="shared" si="15"/>
        <v>0.4536</v>
      </c>
    </row>
    <row r="337">
      <c r="A337" s="78" t="s">
        <v>779</v>
      </c>
      <c r="B337" s="78">
        <v>3.4</v>
      </c>
      <c r="C337" s="78">
        <f t="shared" si="3"/>
        <v>408</v>
      </c>
      <c r="D337">
        <f t="shared" si="4"/>
        <v>0.408</v>
      </c>
      <c r="E337">
        <v>9.0</v>
      </c>
      <c r="F337">
        <f t="shared" si="5"/>
        <v>0</v>
      </c>
      <c r="G337">
        <f t="shared" si="6"/>
        <v>0</v>
      </c>
      <c r="H337">
        <f>C337*Pumps!$F$18/3600</f>
        <v>17386.28978</v>
      </c>
      <c r="I337">
        <f t="shared" si="7"/>
        <v>24837.55683</v>
      </c>
      <c r="J337">
        <f t="shared" si="8"/>
        <v>28796.10383</v>
      </c>
      <c r="K337">
        <f t="shared" si="22"/>
        <v>0</v>
      </c>
      <c r="M337" s="142">
        <f t="shared" si="9"/>
        <v>0</v>
      </c>
      <c r="N337" s="142">
        <f t="shared" si="10"/>
        <v>0</v>
      </c>
      <c r="O337" s="142">
        <f t="shared" ref="O337:Q337" si="339">H337*3600/(1*10^6)</f>
        <v>62.5906432</v>
      </c>
      <c r="P337" s="142">
        <f t="shared" si="339"/>
        <v>89.41520457</v>
      </c>
      <c r="Q337" s="142">
        <f t="shared" si="339"/>
        <v>103.6659738</v>
      </c>
      <c r="R337" s="142">
        <f t="shared" si="12"/>
        <v>0</v>
      </c>
      <c r="T337">
        <f>Pumps!$F$18*D337/Pumps!$I$4/3600</f>
        <v>24.83755683</v>
      </c>
      <c r="U337">
        <f>IF('Design Specifications'!$C$30="y",Disinfection!G335*Disinfection!$N$3*(1*10^6)/3600,0)</f>
        <v>0</v>
      </c>
      <c r="V337">
        <f t="shared" si="13"/>
        <v>864</v>
      </c>
      <c r="W337">
        <f t="shared" si="18"/>
        <v>3.199815205</v>
      </c>
      <c r="X337">
        <f t="shared" si="14"/>
        <v>3.1104</v>
      </c>
      <c r="Y337">
        <f t="shared" si="15"/>
        <v>0.4599868003</v>
      </c>
    </row>
    <row r="338">
      <c r="A338" s="78" t="s">
        <v>781</v>
      </c>
      <c r="B338" s="78">
        <v>29.4</v>
      </c>
      <c r="C338" s="78">
        <f t="shared" si="3"/>
        <v>3528</v>
      </c>
      <c r="D338">
        <f t="shared" si="4"/>
        <v>3.528</v>
      </c>
      <c r="E338">
        <v>9.0</v>
      </c>
      <c r="F338">
        <f t="shared" si="5"/>
        <v>0</v>
      </c>
      <c r="G338">
        <f t="shared" si="6"/>
        <v>0</v>
      </c>
      <c r="H338">
        <f>C338*Pumps!$F$18/3600</f>
        <v>150340.2704</v>
      </c>
      <c r="I338">
        <f t="shared" si="7"/>
        <v>214771.8149</v>
      </c>
      <c r="J338">
        <f t="shared" si="8"/>
        <v>242130.2625</v>
      </c>
      <c r="K338">
        <f t="shared" si="22"/>
        <v>0</v>
      </c>
      <c r="M338" s="142">
        <f t="shared" si="9"/>
        <v>0</v>
      </c>
      <c r="N338" s="142">
        <f t="shared" si="10"/>
        <v>0</v>
      </c>
      <c r="O338" s="142">
        <f t="shared" ref="O338:Q338" si="340">H338*3600/(1*10^6)</f>
        <v>541.2249736</v>
      </c>
      <c r="P338" s="142">
        <f t="shared" si="340"/>
        <v>773.1785337</v>
      </c>
      <c r="Q338" s="142">
        <f t="shared" si="340"/>
        <v>871.668945</v>
      </c>
      <c r="R338" s="142">
        <f t="shared" si="12"/>
        <v>0</v>
      </c>
      <c r="T338">
        <f>Pumps!$F$18*D338/Pumps!$I$4/3600</f>
        <v>214.7718149</v>
      </c>
      <c r="U338">
        <f>IF('Design Specifications'!$C$30="y",Disinfection!G336*Disinfection!$N$3*(1*10^6)/3600,0)</f>
        <v>0</v>
      </c>
      <c r="V338">
        <f t="shared" si="13"/>
        <v>864</v>
      </c>
      <c r="W338">
        <f t="shared" si="18"/>
        <v>3.883578534</v>
      </c>
      <c r="X338">
        <f t="shared" si="14"/>
        <v>3.1104</v>
      </c>
      <c r="Y338">
        <f t="shared" si="15"/>
        <v>0.5088270381</v>
      </c>
    </row>
    <row r="339">
      <c r="A339" s="78" t="s">
        <v>783</v>
      </c>
      <c r="B339" s="78">
        <v>32.8</v>
      </c>
      <c r="C339" s="78">
        <f t="shared" si="3"/>
        <v>3936</v>
      </c>
      <c r="D339">
        <f t="shared" si="4"/>
        <v>3.936</v>
      </c>
      <c r="E339">
        <v>9.0</v>
      </c>
      <c r="F339">
        <f t="shared" si="5"/>
        <v>0</v>
      </c>
      <c r="G339">
        <f t="shared" si="6"/>
        <v>0</v>
      </c>
      <c r="H339">
        <f>C339*Pumps!$F$18/3600</f>
        <v>167726.5602</v>
      </c>
      <c r="I339">
        <f t="shared" si="7"/>
        <v>239609.3717</v>
      </c>
      <c r="J339">
        <f t="shared" si="8"/>
        <v>270027.8063</v>
      </c>
      <c r="K339">
        <f t="shared" si="22"/>
        <v>0</v>
      </c>
      <c r="M339" s="142">
        <f t="shared" si="9"/>
        <v>0</v>
      </c>
      <c r="N339" s="142">
        <f t="shared" si="10"/>
        <v>0</v>
      </c>
      <c r="O339" s="142">
        <f t="shared" ref="O339:Q339" si="341">H339*3600/(1*10^6)</f>
        <v>603.8156168</v>
      </c>
      <c r="P339" s="142">
        <f t="shared" si="341"/>
        <v>862.5937382</v>
      </c>
      <c r="Q339" s="142">
        <f t="shared" si="341"/>
        <v>972.1001028</v>
      </c>
      <c r="R339" s="142">
        <f t="shared" si="12"/>
        <v>0</v>
      </c>
      <c r="T339">
        <f>Pumps!$F$18*D339/Pumps!$I$4/3600</f>
        <v>239.6093717</v>
      </c>
      <c r="U339">
        <f>IF('Design Specifications'!$C$30="y",Disinfection!G337*Disinfection!$N$3*(1*10^6)/3600,0)</f>
        <v>0</v>
      </c>
      <c r="V339">
        <f t="shared" si="13"/>
        <v>864</v>
      </c>
      <c r="W339">
        <f t="shared" si="18"/>
        <v>3.972993738</v>
      </c>
      <c r="X339">
        <f t="shared" si="14"/>
        <v>3.1104</v>
      </c>
      <c r="Y339">
        <f t="shared" si="15"/>
        <v>0.5152138384</v>
      </c>
    </row>
    <row r="340">
      <c r="A340" s="78" t="s">
        <v>785</v>
      </c>
      <c r="B340" s="78">
        <v>25.6</v>
      </c>
      <c r="C340" s="78">
        <f t="shared" si="3"/>
        <v>3072</v>
      </c>
      <c r="D340">
        <f t="shared" si="4"/>
        <v>3.072</v>
      </c>
      <c r="E340">
        <v>9.0</v>
      </c>
      <c r="F340">
        <f t="shared" si="5"/>
        <v>0</v>
      </c>
      <c r="G340">
        <f t="shared" si="6"/>
        <v>0</v>
      </c>
      <c r="H340">
        <f>C340*Pumps!$F$18/3600</f>
        <v>130908.5348</v>
      </c>
      <c r="I340">
        <f t="shared" si="7"/>
        <v>187012.1926</v>
      </c>
      <c r="J340">
        <f t="shared" si="8"/>
        <v>210950.6547</v>
      </c>
      <c r="K340">
        <f t="shared" si="22"/>
        <v>0</v>
      </c>
      <c r="M340" s="142">
        <f t="shared" si="9"/>
        <v>0</v>
      </c>
      <c r="N340" s="142">
        <f t="shared" si="10"/>
        <v>0</v>
      </c>
      <c r="O340" s="142">
        <f t="shared" ref="O340:Q340" si="342">H340*3600/(1*10^6)</f>
        <v>471.2707253</v>
      </c>
      <c r="P340" s="142">
        <f t="shared" si="342"/>
        <v>673.2438933</v>
      </c>
      <c r="Q340" s="142">
        <f t="shared" si="342"/>
        <v>759.4223569</v>
      </c>
      <c r="R340" s="142">
        <f t="shared" si="12"/>
        <v>0</v>
      </c>
      <c r="T340">
        <f>Pumps!$F$18*D340/Pumps!$I$4/3600</f>
        <v>187.0121926</v>
      </c>
      <c r="U340">
        <f>IF('Design Specifications'!$C$30="y",Disinfection!G338*Disinfection!$N$3*(1*10^6)/3600,0)</f>
        <v>0</v>
      </c>
      <c r="V340">
        <f t="shared" si="13"/>
        <v>864</v>
      </c>
      <c r="W340">
        <f t="shared" si="18"/>
        <v>3.783643893</v>
      </c>
      <c r="X340">
        <f t="shared" si="14"/>
        <v>3.1104</v>
      </c>
      <c r="Y340">
        <f t="shared" si="15"/>
        <v>0.5016888495</v>
      </c>
    </row>
    <row r="341">
      <c r="A341" s="78" t="s">
        <v>787</v>
      </c>
      <c r="B341" s="78">
        <v>15.2</v>
      </c>
      <c r="C341" s="78">
        <f t="shared" si="3"/>
        <v>1824</v>
      </c>
      <c r="D341">
        <f t="shared" si="4"/>
        <v>1.824</v>
      </c>
      <c r="E341">
        <v>9.0</v>
      </c>
      <c r="F341">
        <f t="shared" si="5"/>
        <v>0</v>
      </c>
      <c r="G341">
        <f t="shared" si="6"/>
        <v>0</v>
      </c>
      <c r="H341">
        <f>C341*Pumps!$F$18/3600</f>
        <v>77726.94254</v>
      </c>
      <c r="I341">
        <f t="shared" si="7"/>
        <v>111038.4893</v>
      </c>
      <c r="J341">
        <f t="shared" si="8"/>
        <v>125616.9912</v>
      </c>
      <c r="K341">
        <f t="shared" si="22"/>
        <v>0</v>
      </c>
      <c r="M341" s="142">
        <f t="shared" si="9"/>
        <v>0</v>
      </c>
      <c r="N341" s="142">
        <f t="shared" si="10"/>
        <v>0</v>
      </c>
      <c r="O341" s="142">
        <f t="shared" ref="O341:Q341" si="343">H341*3600/(1*10^6)</f>
        <v>279.8169931</v>
      </c>
      <c r="P341" s="142">
        <f t="shared" si="343"/>
        <v>399.7385616</v>
      </c>
      <c r="Q341" s="142">
        <f t="shared" si="343"/>
        <v>452.2211684</v>
      </c>
      <c r="R341" s="142">
        <f t="shared" si="12"/>
        <v>0</v>
      </c>
      <c r="T341">
        <f>Pumps!$F$18*D341/Pumps!$I$4/3600</f>
        <v>111.0384893</v>
      </c>
      <c r="U341">
        <f>IF('Design Specifications'!$C$30="y",Disinfection!G339*Disinfection!$N$3*(1*10^6)/3600,0)</f>
        <v>0</v>
      </c>
      <c r="V341">
        <f t="shared" si="13"/>
        <v>864</v>
      </c>
      <c r="W341">
        <f t="shared" si="18"/>
        <v>3.510138562</v>
      </c>
      <c r="X341">
        <f t="shared" si="14"/>
        <v>3.1104</v>
      </c>
      <c r="Y341">
        <f t="shared" si="15"/>
        <v>0.4821527544</v>
      </c>
    </row>
    <row r="342">
      <c r="A342" s="78" t="s">
        <v>789</v>
      </c>
      <c r="B342" s="78">
        <v>60.6</v>
      </c>
      <c r="C342" s="78">
        <f t="shared" si="3"/>
        <v>7272</v>
      </c>
      <c r="D342">
        <f t="shared" si="4"/>
        <v>7.272</v>
      </c>
      <c r="E342">
        <v>9.0</v>
      </c>
      <c r="F342">
        <f t="shared" si="5"/>
        <v>0</v>
      </c>
      <c r="G342">
        <f t="shared" si="6"/>
        <v>0</v>
      </c>
      <c r="H342">
        <f>C342*Pumps!$F$18/3600</f>
        <v>309885.0472</v>
      </c>
      <c r="I342">
        <f t="shared" si="7"/>
        <v>442692.9246</v>
      </c>
      <c r="J342">
        <f t="shared" si="8"/>
        <v>498131.2529</v>
      </c>
      <c r="K342">
        <f t="shared" si="22"/>
        <v>0</v>
      </c>
      <c r="M342" s="142">
        <f t="shared" si="9"/>
        <v>0</v>
      </c>
      <c r="N342" s="142">
        <f t="shared" si="10"/>
        <v>0</v>
      </c>
      <c r="O342" s="142">
        <f t="shared" ref="O342:Q342" si="344">H342*3600/(1*10^6)</f>
        <v>1115.58617</v>
      </c>
      <c r="P342" s="142">
        <f t="shared" si="344"/>
        <v>1593.694529</v>
      </c>
      <c r="Q342" s="142">
        <f t="shared" si="344"/>
        <v>1793.27251</v>
      </c>
      <c r="R342" s="142">
        <f t="shared" si="12"/>
        <v>0</v>
      </c>
      <c r="T342">
        <f>Pumps!$F$18*D342/Pumps!$I$4/3600</f>
        <v>442.6929246</v>
      </c>
      <c r="U342">
        <f>IF('Design Specifications'!$C$30="y",Disinfection!G340*Disinfection!$N$3*(1*10^6)/3600,0)</f>
        <v>0</v>
      </c>
      <c r="V342">
        <f t="shared" si="13"/>
        <v>864</v>
      </c>
      <c r="W342">
        <f t="shared" si="18"/>
        <v>4.704094529</v>
      </c>
      <c r="X342">
        <f t="shared" si="14"/>
        <v>3.1104</v>
      </c>
      <c r="Y342">
        <f t="shared" si="15"/>
        <v>0.5674353235</v>
      </c>
    </row>
    <row r="343">
      <c r="A343" s="78" t="s">
        <v>791</v>
      </c>
      <c r="B343" s="78">
        <v>15.0</v>
      </c>
      <c r="C343" s="78">
        <f t="shared" si="3"/>
        <v>1800</v>
      </c>
      <c r="D343">
        <f t="shared" si="4"/>
        <v>1.8</v>
      </c>
      <c r="E343">
        <v>9.0</v>
      </c>
      <c r="F343">
        <f t="shared" si="5"/>
        <v>0</v>
      </c>
      <c r="G343">
        <f t="shared" si="6"/>
        <v>0</v>
      </c>
      <c r="H343">
        <f>C343*Pumps!$F$18/3600</f>
        <v>76704.21961</v>
      </c>
      <c r="I343">
        <f t="shared" si="7"/>
        <v>109577.4566</v>
      </c>
      <c r="J343">
        <f t="shared" si="8"/>
        <v>123975.9592</v>
      </c>
      <c r="K343">
        <f t="shared" si="22"/>
        <v>0</v>
      </c>
      <c r="M343" s="142">
        <f t="shared" si="9"/>
        <v>0</v>
      </c>
      <c r="N343" s="142">
        <f t="shared" si="10"/>
        <v>0</v>
      </c>
      <c r="O343" s="142">
        <f t="shared" ref="O343:Q343" si="345">H343*3600/(1*10^6)</f>
        <v>276.1351906</v>
      </c>
      <c r="P343" s="142">
        <f t="shared" si="345"/>
        <v>394.4788437</v>
      </c>
      <c r="Q343" s="142">
        <f t="shared" si="345"/>
        <v>446.3134532</v>
      </c>
      <c r="R343" s="142">
        <f t="shared" si="12"/>
        <v>0</v>
      </c>
      <c r="T343">
        <f>Pumps!$F$18*D343/Pumps!$I$4/3600</f>
        <v>109.5774566</v>
      </c>
      <c r="U343">
        <f>IF('Design Specifications'!$C$30="y",Disinfection!G341*Disinfection!$N$3*(1*10^6)/3600,0)</f>
        <v>0</v>
      </c>
      <c r="V343">
        <f t="shared" si="13"/>
        <v>864</v>
      </c>
      <c r="W343">
        <f t="shared" si="18"/>
        <v>3.504878844</v>
      </c>
      <c r="X343">
        <f t="shared" si="14"/>
        <v>3.1104</v>
      </c>
      <c r="Y343">
        <f t="shared" si="15"/>
        <v>0.4817770603</v>
      </c>
    </row>
    <row r="344">
      <c r="A344" s="78" t="s">
        <v>793</v>
      </c>
      <c r="B344" s="78">
        <v>43.0</v>
      </c>
      <c r="C344" s="78">
        <f t="shared" si="3"/>
        <v>5160</v>
      </c>
      <c r="D344">
        <f t="shared" si="4"/>
        <v>5.16</v>
      </c>
      <c r="E344">
        <v>9.0</v>
      </c>
      <c r="F344">
        <f t="shared" si="5"/>
        <v>0</v>
      </c>
      <c r="G344">
        <f t="shared" si="6"/>
        <v>0</v>
      </c>
      <c r="H344">
        <f>C344*Pumps!$F$18/3600</f>
        <v>219885.4295</v>
      </c>
      <c r="I344">
        <f t="shared" si="7"/>
        <v>314122.0422</v>
      </c>
      <c r="J344">
        <f t="shared" si="8"/>
        <v>353720.4378</v>
      </c>
      <c r="K344">
        <f t="shared" si="22"/>
        <v>0</v>
      </c>
      <c r="M344" s="142">
        <f t="shared" si="9"/>
        <v>0</v>
      </c>
      <c r="N344" s="142">
        <f t="shared" si="10"/>
        <v>0</v>
      </c>
      <c r="O344" s="142">
        <f t="shared" ref="O344:Q344" si="346">H344*3600/(1*10^6)</f>
        <v>791.5875464</v>
      </c>
      <c r="P344" s="142">
        <f t="shared" si="346"/>
        <v>1130.839352</v>
      </c>
      <c r="Q344" s="142">
        <f t="shared" si="346"/>
        <v>1273.393576</v>
      </c>
      <c r="R344" s="142">
        <f t="shared" si="12"/>
        <v>0</v>
      </c>
      <c r="T344">
        <f>Pumps!$F$18*D344/Pumps!$I$4/3600</f>
        <v>314.1220422</v>
      </c>
      <c r="U344">
        <f>IF('Design Specifications'!$C$30="y",Disinfection!G342*Disinfection!$N$3*(1*10^6)/3600,0)</f>
        <v>0</v>
      </c>
      <c r="V344">
        <f t="shared" si="13"/>
        <v>864</v>
      </c>
      <c r="W344">
        <f t="shared" si="18"/>
        <v>4.241239352</v>
      </c>
      <c r="X344">
        <f t="shared" si="14"/>
        <v>3.1104</v>
      </c>
      <c r="Y344">
        <f t="shared" si="15"/>
        <v>0.5343742394</v>
      </c>
    </row>
    <row r="345">
      <c r="A345" s="78" t="s">
        <v>795</v>
      </c>
      <c r="B345" s="78">
        <v>15.0</v>
      </c>
      <c r="C345" s="78">
        <f t="shared" si="3"/>
        <v>1800</v>
      </c>
      <c r="D345">
        <f t="shared" si="4"/>
        <v>1.8</v>
      </c>
      <c r="E345">
        <v>9.0</v>
      </c>
      <c r="F345">
        <f t="shared" si="5"/>
        <v>0</v>
      </c>
      <c r="G345">
        <f t="shared" si="6"/>
        <v>0</v>
      </c>
      <c r="H345">
        <f>C345*Pumps!$F$18/3600</f>
        <v>76704.21961</v>
      </c>
      <c r="I345">
        <f t="shared" si="7"/>
        <v>109577.4566</v>
      </c>
      <c r="J345">
        <f t="shared" si="8"/>
        <v>123975.9592</v>
      </c>
      <c r="K345">
        <f t="shared" si="22"/>
        <v>0</v>
      </c>
      <c r="M345" s="142">
        <f t="shared" si="9"/>
        <v>0</v>
      </c>
      <c r="N345" s="142">
        <f t="shared" si="10"/>
        <v>0</v>
      </c>
      <c r="O345" s="142">
        <f t="shared" ref="O345:Q345" si="347">H345*3600/(1*10^6)</f>
        <v>276.1351906</v>
      </c>
      <c r="P345" s="142">
        <f t="shared" si="347"/>
        <v>394.4788437</v>
      </c>
      <c r="Q345" s="142">
        <f t="shared" si="347"/>
        <v>446.3134532</v>
      </c>
      <c r="R345" s="142">
        <f t="shared" si="12"/>
        <v>0</v>
      </c>
      <c r="T345">
        <f>Pumps!$F$18*D345/Pumps!$I$4/3600</f>
        <v>109.5774566</v>
      </c>
      <c r="U345">
        <f>IF('Design Specifications'!$C$30="y",Disinfection!G343*Disinfection!$N$3*(1*10^6)/3600,0)</f>
        <v>0</v>
      </c>
      <c r="V345">
        <f t="shared" si="13"/>
        <v>864</v>
      </c>
      <c r="W345">
        <f t="shared" si="18"/>
        <v>3.504878844</v>
      </c>
      <c r="X345">
        <f t="shared" si="14"/>
        <v>3.1104</v>
      </c>
      <c r="Y345">
        <f t="shared" si="15"/>
        <v>0.4817770603</v>
      </c>
    </row>
    <row r="346">
      <c r="A346" s="78" t="s">
        <v>797</v>
      </c>
      <c r="B346" s="78">
        <v>0.0</v>
      </c>
      <c r="C346" s="78">
        <f t="shared" si="3"/>
        <v>0</v>
      </c>
      <c r="D346">
        <f t="shared" si="4"/>
        <v>0</v>
      </c>
      <c r="E346">
        <v>9.0</v>
      </c>
      <c r="F346">
        <f t="shared" si="5"/>
        <v>0</v>
      </c>
      <c r="G346">
        <f t="shared" si="6"/>
        <v>0</v>
      </c>
      <c r="H346">
        <f>C346*Pumps!$F$18/3600</f>
        <v>0</v>
      </c>
      <c r="I346">
        <f t="shared" si="7"/>
        <v>0</v>
      </c>
      <c r="J346">
        <f t="shared" si="8"/>
        <v>898.56</v>
      </c>
      <c r="K346">
        <f t="shared" si="22"/>
        <v>0</v>
      </c>
      <c r="M346" s="142">
        <f t="shared" si="9"/>
        <v>0</v>
      </c>
      <c r="N346" s="142">
        <f t="shared" si="10"/>
        <v>0</v>
      </c>
      <c r="O346" s="142">
        <f t="shared" ref="O346:Q346" si="348">H346*3600/(1*10^6)</f>
        <v>0</v>
      </c>
      <c r="P346" s="142">
        <f t="shared" si="348"/>
        <v>0</v>
      </c>
      <c r="Q346" s="142">
        <f t="shared" si="348"/>
        <v>3.234816</v>
      </c>
      <c r="R346" s="142">
        <f t="shared" si="12"/>
        <v>0</v>
      </c>
      <c r="T346">
        <f>Pumps!$F$18*D346/Pumps!$I$4/3600</f>
        <v>0</v>
      </c>
      <c r="U346">
        <f>IF('Design Specifications'!$C$30="y",Disinfection!G344*Disinfection!$N$3*(1*10^6)/3600,0)</f>
        <v>0</v>
      </c>
      <c r="V346">
        <f t="shared" si="13"/>
        <v>864</v>
      </c>
      <c r="W346">
        <f t="shared" si="18"/>
        <v>3.1104</v>
      </c>
      <c r="X346">
        <f t="shared" si="14"/>
        <v>3.1104</v>
      </c>
      <c r="Y346">
        <f t="shared" si="15"/>
        <v>0.4536</v>
      </c>
    </row>
    <row r="347">
      <c r="A347" s="78" t="s">
        <v>799</v>
      </c>
      <c r="B347" s="78">
        <v>0.0</v>
      </c>
      <c r="C347" s="78">
        <f t="shared" si="3"/>
        <v>0</v>
      </c>
      <c r="D347">
        <f t="shared" si="4"/>
        <v>0</v>
      </c>
      <c r="E347">
        <v>9.0</v>
      </c>
      <c r="F347">
        <f t="shared" si="5"/>
        <v>0</v>
      </c>
      <c r="G347">
        <f t="shared" si="6"/>
        <v>0</v>
      </c>
      <c r="H347">
        <f>C347*Pumps!$F$18/3600</f>
        <v>0</v>
      </c>
      <c r="I347">
        <f t="shared" si="7"/>
        <v>0</v>
      </c>
      <c r="J347">
        <f t="shared" si="8"/>
        <v>898.56</v>
      </c>
      <c r="K347">
        <f t="shared" si="22"/>
        <v>0</v>
      </c>
      <c r="M347" s="142">
        <f t="shared" si="9"/>
        <v>0</v>
      </c>
      <c r="N347" s="142">
        <f t="shared" si="10"/>
        <v>0</v>
      </c>
      <c r="O347" s="142">
        <f t="shared" ref="O347:Q347" si="349">H347*3600/(1*10^6)</f>
        <v>0</v>
      </c>
      <c r="P347" s="142">
        <f t="shared" si="349"/>
        <v>0</v>
      </c>
      <c r="Q347" s="142">
        <f t="shared" si="349"/>
        <v>3.234816</v>
      </c>
      <c r="R347" s="142">
        <f t="shared" si="12"/>
        <v>0</v>
      </c>
      <c r="T347">
        <f>Pumps!$F$18*D347/Pumps!$I$4/3600</f>
        <v>0</v>
      </c>
      <c r="U347">
        <f>IF('Design Specifications'!$C$30="y",Disinfection!G345*Disinfection!$N$3*(1*10^6)/3600,0)</f>
        <v>0</v>
      </c>
      <c r="V347">
        <f t="shared" si="13"/>
        <v>864</v>
      </c>
      <c r="W347">
        <f t="shared" si="18"/>
        <v>3.1104</v>
      </c>
      <c r="X347">
        <f t="shared" si="14"/>
        <v>3.1104</v>
      </c>
      <c r="Y347">
        <f t="shared" si="15"/>
        <v>0.4536</v>
      </c>
    </row>
    <row r="348">
      <c r="A348" s="78" t="s">
        <v>801</v>
      </c>
      <c r="B348" s="78">
        <v>0.0</v>
      </c>
      <c r="C348" s="78">
        <f t="shared" si="3"/>
        <v>0</v>
      </c>
      <c r="D348">
        <f t="shared" si="4"/>
        <v>0</v>
      </c>
      <c r="E348">
        <v>9.0</v>
      </c>
      <c r="F348">
        <f t="shared" si="5"/>
        <v>0</v>
      </c>
      <c r="G348">
        <f t="shared" si="6"/>
        <v>0</v>
      </c>
      <c r="H348">
        <f>C348*Pumps!$F$18/3600</f>
        <v>0</v>
      </c>
      <c r="I348">
        <f t="shared" si="7"/>
        <v>0</v>
      </c>
      <c r="J348">
        <f t="shared" si="8"/>
        <v>898.56</v>
      </c>
      <c r="K348">
        <f t="shared" si="22"/>
        <v>0</v>
      </c>
      <c r="M348" s="142">
        <f t="shared" si="9"/>
        <v>0</v>
      </c>
      <c r="N348" s="142">
        <f t="shared" si="10"/>
        <v>0</v>
      </c>
      <c r="O348" s="142">
        <f t="shared" ref="O348:Q348" si="350">H348*3600/(1*10^6)</f>
        <v>0</v>
      </c>
      <c r="P348" s="142">
        <f t="shared" si="350"/>
        <v>0</v>
      </c>
      <c r="Q348" s="142">
        <f t="shared" si="350"/>
        <v>3.234816</v>
      </c>
      <c r="R348" s="142">
        <f t="shared" si="12"/>
        <v>0</v>
      </c>
      <c r="T348">
        <f>Pumps!$F$18*D348/Pumps!$I$4/3600</f>
        <v>0</v>
      </c>
      <c r="U348">
        <f>IF('Design Specifications'!$C$30="y",Disinfection!G346*Disinfection!$N$3*(1*10^6)/3600,0)</f>
        <v>0</v>
      </c>
      <c r="V348">
        <f t="shared" si="13"/>
        <v>864</v>
      </c>
      <c r="W348">
        <f t="shared" si="18"/>
        <v>3.1104</v>
      </c>
      <c r="X348">
        <f t="shared" si="14"/>
        <v>3.1104</v>
      </c>
      <c r="Y348">
        <f t="shared" si="15"/>
        <v>0.4536</v>
      </c>
    </row>
    <row r="349">
      <c r="A349" s="78" t="s">
        <v>803</v>
      </c>
      <c r="B349" s="78">
        <v>0.0</v>
      </c>
      <c r="C349" s="78">
        <f t="shared" si="3"/>
        <v>0</v>
      </c>
      <c r="D349">
        <f t="shared" si="4"/>
        <v>0</v>
      </c>
      <c r="E349">
        <v>8.0</v>
      </c>
      <c r="F349">
        <f t="shared" si="5"/>
        <v>0</v>
      </c>
      <c r="G349">
        <f t="shared" si="6"/>
        <v>0</v>
      </c>
      <c r="H349">
        <f>C349*Pumps!$F$18/3600</f>
        <v>0</v>
      </c>
      <c r="I349">
        <f t="shared" si="7"/>
        <v>0</v>
      </c>
      <c r="J349">
        <f t="shared" si="8"/>
        <v>898.56</v>
      </c>
      <c r="K349">
        <f t="shared" si="22"/>
        <v>0</v>
      </c>
      <c r="M349" s="142">
        <f t="shared" si="9"/>
        <v>0</v>
      </c>
      <c r="N349" s="142">
        <f t="shared" si="10"/>
        <v>0</v>
      </c>
      <c r="O349" s="142">
        <f t="shared" ref="O349:Q349" si="351">H349*3600/(1*10^6)</f>
        <v>0</v>
      </c>
      <c r="P349" s="142">
        <f t="shared" si="351"/>
        <v>0</v>
      </c>
      <c r="Q349" s="142">
        <f t="shared" si="351"/>
        <v>3.234816</v>
      </c>
      <c r="R349" s="142">
        <f t="shared" si="12"/>
        <v>0</v>
      </c>
      <c r="T349">
        <f>Pumps!$F$18*D349/Pumps!$I$4/3600</f>
        <v>0</v>
      </c>
      <c r="U349">
        <f>IF('Design Specifications'!$C$30="y",Disinfection!G347*Disinfection!$N$3*(1*10^6)/3600,0)</f>
        <v>0</v>
      </c>
      <c r="V349">
        <f t="shared" si="13"/>
        <v>864</v>
      </c>
      <c r="W349">
        <f t="shared" si="18"/>
        <v>3.1104</v>
      </c>
      <c r="X349">
        <f t="shared" si="14"/>
        <v>3.1104</v>
      </c>
      <c r="Y349">
        <f t="shared" si="15"/>
        <v>0.4536</v>
      </c>
    </row>
    <row r="350">
      <c r="A350" s="78" t="s">
        <v>805</v>
      </c>
      <c r="B350" s="78">
        <v>0.0</v>
      </c>
      <c r="C350" s="78">
        <f t="shared" si="3"/>
        <v>0</v>
      </c>
      <c r="D350">
        <f t="shared" si="4"/>
        <v>0</v>
      </c>
      <c r="E350">
        <v>8.0</v>
      </c>
      <c r="F350">
        <f t="shared" si="5"/>
        <v>0</v>
      </c>
      <c r="G350">
        <f t="shared" si="6"/>
        <v>0</v>
      </c>
      <c r="H350">
        <f>C350*Pumps!$F$18/3600</f>
        <v>0</v>
      </c>
      <c r="I350">
        <f t="shared" si="7"/>
        <v>0</v>
      </c>
      <c r="J350">
        <f t="shared" si="8"/>
        <v>898.56</v>
      </c>
      <c r="K350">
        <f t="shared" si="22"/>
        <v>0</v>
      </c>
      <c r="M350" s="142">
        <f t="shared" si="9"/>
        <v>0</v>
      </c>
      <c r="N350" s="142">
        <f t="shared" si="10"/>
        <v>0</v>
      </c>
      <c r="O350" s="142">
        <f t="shared" ref="O350:Q350" si="352">H350*3600/(1*10^6)</f>
        <v>0</v>
      </c>
      <c r="P350" s="142">
        <f t="shared" si="352"/>
        <v>0</v>
      </c>
      <c r="Q350" s="142">
        <f t="shared" si="352"/>
        <v>3.234816</v>
      </c>
      <c r="R350" s="142">
        <f t="shared" si="12"/>
        <v>0</v>
      </c>
      <c r="T350">
        <f>Pumps!$F$18*D350/Pumps!$I$4/3600</f>
        <v>0</v>
      </c>
      <c r="U350">
        <f>IF('Design Specifications'!$C$30="y",Disinfection!G348*Disinfection!$N$3*(1*10^6)/3600,0)</f>
        <v>0</v>
      </c>
      <c r="V350">
        <f t="shared" si="13"/>
        <v>864</v>
      </c>
      <c r="W350">
        <f t="shared" si="18"/>
        <v>3.1104</v>
      </c>
      <c r="X350">
        <f t="shared" si="14"/>
        <v>3.1104</v>
      </c>
      <c r="Y350">
        <f t="shared" si="15"/>
        <v>0.4536</v>
      </c>
    </row>
    <row r="351">
      <c r="A351" s="78" t="s">
        <v>807</v>
      </c>
      <c r="B351" s="78">
        <v>0.0</v>
      </c>
      <c r="C351" s="78">
        <f t="shared" si="3"/>
        <v>0</v>
      </c>
      <c r="D351">
        <f t="shared" si="4"/>
        <v>0</v>
      </c>
      <c r="E351">
        <v>8.0</v>
      </c>
      <c r="F351">
        <f t="shared" si="5"/>
        <v>0</v>
      </c>
      <c r="G351">
        <f t="shared" si="6"/>
        <v>0</v>
      </c>
      <c r="H351">
        <f>C351*Pumps!$F$18/3600</f>
        <v>0</v>
      </c>
      <c r="I351">
        <f t="shared" si="7"/>
        <v>0</v>
      </c>
      <c r="J351">
        <f t="shared" si="8"/>
        <v>898.56</v>
      </c>
      <c r="K351">
        <f t="shared" si="22"/>
        <v>0</v>
      </c>
      <c r="M351" s="142">
        <f t="shared" si="9"/>
        <v>0</v>
      </c>
      <c r="N351" s="142">
        <f t="shared" si="10"/>
        <v>0</v>
      </c>
      <c r="O351" s="142">
        <f t="shared" ref="O351:Q351" si="353">H351*3600/(1*10^6)</f>
        <v>0</v>
      </c>
      <c r="P351" s="142">
        <f t="shared" si="353"/>
        <v>0</v>
      </c>
      <c r="Q351" s="142">
        <f t="shared" si="353"/>
        <v>3.234816</v>
      </c>
      <c r="R351" s="142">
        <f t="shared" si="12"/>
        <v>0</v>
      </c>
      <c r="T351">
        <f>Pumps!$F$18*D351/Pumps!$I$4/3600</f>
        <v>0</v>
      </c>
      <c r="U351">
        <f>IF('Design Specifications'!$C$30="y",Disinfection!G349*Disinfection!$N$3*(1*10^6)/3600,0)</f>
        <v>0</v>
      </c>
      <c r="V351">
        <f t="shared" si="13"/>
        <v>864</v>
      </c>
      <c r="W351">
        <f t="shared" si="18"/>
        <v>3.1104</v>
      </c>
      <c r="X351">
        <f t="shared" si="14"/>
        <v>3.1104</v>
      </c>
      <c r="Y351">
        <f t="shared" si="15"/>
        <v>0.4536</v>
      </c>
    </row>
    <row r="352">
      <c r="A352" s="78" t="s">
        <v>809</v>
      </c>
      <c r="B352" s="78">
        <v>1.2</v>
      </c>
      <c r="C352" s="78">
        <f t="shared" si="3"/>
        <v>144</v>
      </c>
      <c r="D352">
        <f t="shared" si="4"/>
        <v>0.144</v>
      </c>
      <c r="E352">
        <v>8.0</v>
      </c>
      <c r="F352">
        <f t="shared" si="5"/>
        <v>0</v>
      </c>
      <c r="G352">
        <f t="shared" si="6"/>
        <v>0</v>
      </c>
      <c r="H352">
        <f>C352*Pumps!$F$18/3600</f>
        <v>6136.337569</v>
      </c>
      <c r="I352">
        <f t="shared" si="7"/>
        <v>8766.196527</v>
      </c>
      <c r="J352">
        <f t="shared" si="8"/>
        <v>10744.75194</v>
      </c>
      <c r="K352">
        <f t="shared" si="22"/>
        <v>0</v>
      </c>
      <c r="M352" s="142">
        <f t="shared" si="9"/>
        <v>0</v>
      </c>
      <c r="N352" s="142">
        <f t="shared" si="10"/>
        <v>0</v>
      </c>
      <c r="O352" s="142">
        <f t="shared" ref="O352:Q352" si="354">H352*3600/(1*10^6)</f>
        <v>22.09081525</v>
      </c>
      <c r="P352" s="142">
        <f t="shared" si="354"/>
        <v>31.5583075</v>
      </c>
      <c r="Q352" s="142">
        <f t="shared" si="354"/>
        <v>38.68110698</v>
      </c>
      <c r="R352" s="142">
        <f t="shared" si="12"/>
        <v>0</v>
      </c>
      <c r="T352">
        <f>Pumps!$F$18*D352/Pumps!$I$4/3600</f>
        <v>8.766196527</v>
      </c>
      <c r="U352">
        <f>IF('Design Specifications'!$C$30="y",Disinfection!G350*Disinfection!$N$3*(1*10^6)/3600,0)</f>
        <v>0</v>
      </c>
      <c r="V352">
        <f t="shared" si="13"/>
        <v>864</v>
      </c>
      <c r="W352">
        <f t="shared" si="18"/>
        <v>3.141958307</v>
      </c>
      <c r="X352">
        <f t="shared" si="14"/>
        <v>3.1104</v>
      </c>
      <c r="Y352">
        <f t="shared" si="15"/>
        <v>0.4558541648</v>
      </c>
    </row>
    <row r="353">
      <c r="A353" s="78" t="s">
        <v>811</v>
      </c>
      <c r="B353" s="78">
        <v>45.4</v>
      </c>
      <c r="C353" s="78">
        <f t="shared" si="3"/>
        <v>5448</v>
      </c>
      <c r="D353">
        <f t="shared" si="4"/>
        <v>5.448</v>
      </c>
      <c r="E353">
        <v>8.0</v>
      </c>
      <c r="F353">
        <f t="shared" si="5"/>
        <v>0</v>
      </c>
      <c r="G353">
        <f t="shared" si="6"/>
        <v>0</v>
      </c>
      <c r="H353">
        <f>C353*Pumps!$F$18/3600</f>
        <v>232158.1047</v>
      </c>
      <c r="I353">
        <f t="shared" si="7"/>
        <v>331654.4353</v>
      </c>
      <c r="J353">
        <f t="shared" si="8"/>
        <v>373412.8217</v>
      </c>
      <c r="K353">
        <f t="shared" si="22"/>
        <v>0</v>
      </c>
      <c r="M353" s="142">
        <f t="shared" si="9"/>
        <v>0</v>
      </c>
      <c r="N353" s="142">
        <f t="shared" si="10"/>
        <v>0</v>
      </c>
      <c r="O353" s="142">
        <f t="shared" ref="O353:Q353" si="355">H353*3600/(1*10^6)</f>
        <v>835.7691769</v>
      </c>
      <c r="P353" s="142">
        <f t="shared" si="355"/>
        <v>1193.955967</v>
      </c>
      <c r="Q353" s="142">
        <f t="shared" si="355"/>
        <v>1344.286158</v>
      </c>
      <c r="R353" s="142">
        <f t="shared" si="12"/>
        <v>0</v>
      </c>
      <c r="T353">
        <f>Pumps!$F$18*D353/Pumps!$I$4/3600</f>
        <v>331.6544353</v>
      </c>
      <c r="U353">
        <f>IF('Design Specifications'!$C$30="y",Disinfection!G351*Disinfection!$N$3*(1*10^6)/3600,0)</f>
        <v>0</v>
      </c>
      <c r="V353">
        <f t="shared" si="13"/>
        <v>864</v>
      </c>
      <c r="W353">
        <f t="shared" si="18"/>
        <v>4.304355967</v>
      </c>
      <c r="X353">
        <f t="shared" si="14"/>
        <v>3.1104</v>
      </c>
      <c r="Y353">
        <f t="shared" si="15"/>
        <v>0.5388825691</v>
      </c>
    </row>
    <row r="354">
      <c r="A354" s="78" t="s">
        <v>813</v>
      </c>
      <c r="B354" s="78">
        <v>0.8</v>
      </c>
      <c r="C354" s="78">
        <f t="shared" si="3"/>
        <v>96</v>
      </c>
      <c r="D354">
        <f t="shared" si="4"/>
        <v>0.096</v>
      </c>
      <c r="E354">
        <v>8.0</v>
      </c>
      <c r="F354">
        <f t="shared" si="5"/>
        <v>0</v>
      </c>
      <c r="G354">
        <f t="shared" si="6"/>
        <v>0</v>
      </c>
      <c r="H354">
        <f>C354*Pumps!$F$18/3600</f>
        <v>4090.891712</v>
      </c>
      <c r="I354">
        <f t="shared" si="7"/>
        <v>5844.131018</v>
      </c>
      <c r="J354">
        <f t="shared" si="8"/>
        <v>7462.687959</v>
      </c>
      <c r="K354">
        <f t="shared" si="22"/>
        <v>0</v>
      </c>
      <c r="M354" s="142">
        <f t="shared" si="9"/>
        <v>0</v>
      </c>
      <c r="N354" s="142">
        <f t="shared" si="10"/>
        <v>0</v>
      </c>
      <c r="O354" s="142">
        <f t="shared" ref="O354:Q354" si="356">H354*3600/(1*10^6)</f>
        <v>14.72721016</v>
      </c>
      <c r="P354" s="142">
        <f t="shared" si="356"/>
        <v>21.03887166</v>
      </c>
      <c r="Q354" s="142">
        <f t="shared" si="356"/>
        <v>26.86567665</v>
      </c>
      <c r="R354" s="142">
        <f t="shared" si="12"/>
        <v>0</v>
      </c>
      <c r="T354">
        <f>Pumps!$F$18*D354/Pumps!$I$4/3600</f>
        <v>5.844131018</v>
      </c>
      <c r="U354">
        <f>IF('Design Specifications'!$C$30="y",Disinfection!G352*Disinfection!$N$3*(1*10^6)/3600,0)</f>
        <v>0</v>
      </c>
      <c r="V354">
        <f t="shared" si="13"/>
        <v>864</v>
      </c>
      <c r="W354">
        <f t="shared" si="18"/>
        <v>3.131438872</v>
      </c>
      <c r="X354">
        <f t="shared" si="14"/>
        <v>3.1104</v>
      </c>
      <c r="Y354">
        <f t="shared" si="15"/>
        <v>0.4551027765</v>
      </c>
    </row>
    <row r="355">
      <c r="A355" s="78" t="s">
        <v>815</v>
      </c>
      <c r="B355" s="78">
        <v>15.2</v>
      </c>
      <c r="C355" s="78">
        <f t="shared" si="3"/>
        <v>1824</v>
      </c>
      <c r="D355">
        <f t="shared" si="4"/>
        <v>1.824</v>
      </c>
      <c r="E355">
        <v>8.0</v>
      </c>
      <c r="F355">
        <f t="shared" si="5"/>
        <v>0</v>
      </c>
      <c r="G355">
        <f t="shared" si="6"/>
        <v>0</v>
      </c>
      <c r="H355">
        <f>C355*Pumps!$F$18/3600</f>
        <v>77726.94254</v>
      </c>
      <c r="I355">
        <f t="shared" si="7"/>
        <v>111038.4893</v>
      </c>
      <c r="J355">
        <f t="shared" si="8"/>
        <v>125616.9912</v>
      </c>
      <c r="K355">
        <f t="shared" si="22"/>
        <v>0</v>
      </c>
      <c r="M355" s="142">
        <f t="shared" si="9"/>
        <v>0</v>
      </c>
      <c r="N355" s="142">
        <f t="shared" si="10"/>
        <v>0</v>
      </c>
      <c r="O355" s="142">
        <f t="shared" ref="O355:Q355" si="357">H355*3600/(1*10^6)</f>
        <v>279.8169931</v>
      </c>
      <c r="P355" s="142">
        <f t="shared" si="357"/>
        <v>399.7385616</v>
      </c>
      <c r="Q355" s="142">
        <f t="shared" si="357"/>
        <v>452.2211684</v>
      </c>
      <c r="R355" s="142">
        <f t="shared" si="12"/>
        <v>0</v>
      </c>
      <c r="T355">
        <f>Pumps!$F$18*D355/Pumps!$I$4/3600</f>
        <v>111.0384893</v>
      </c>
      <c r="U355">
        <f>IF('Design Specifications'!$C$30="y",Disinfection!G353*Disinfection!$N$3*(1*10^6)/3600,0)</f>
        <v>0</v>
      </c>
      <c r="V355">
        <f t="shared" si="13"/>
        <v>864</v>
      </c>
      <c r="W355">
        <f t="shared" si="18"/>
        <v>3.510138562</v>
      </c>
      <c r="X355">
        <f t="shared" si="14"/>
        <v>3.1104</v>
      </c>
      <c r="Y355">
        <f t="shared" si="15"/>
        <v>0.4821527544</v>
      </c>
    </row>
    <row r="356">
      <c r="A356" s="78" t="s">
        <v>817</v>
      </c>
      <c r="B356" s="78">
        <v>48.6</v>
      </c>
      <c r="C356" s="78">
        <f t="shared" si="3"/>
        <v>5832</v>
      </c>
      <c r="D356">
        <f t="shared" si="4"/>
        <v>5.832</v>
      </c>
      <c r="E356">
        <v>8.0</v>
      </c>
      <c r="F356">
        <f t="shared" si="5"/>
        <v>0</v>
      </c>
      <c r="G356">
        <f t="shared" si="6"/>
        <v>0</v>
      </c>
      <c r="H356">
        <f>C356*Pumps!$F$18/3600</f>
        <v>248521.6715</v>
      </c>
      <c r="I356">
        <f t="shared" si="7"/>
        <v>355030.9593</v>
      </c>
      <c r="J356">
        <f t="shared" si="8"/>
        <v>399669.3335</v>
      </c>
      <c r="K356">
        <f t="shared" si="22"/>
        <v>0</v>
      </c>
      <c r="M356" s="142">
        <f t="shared" si="9"/>
        <v>0</v>
      </c>
      <c r="N356" s="142">
        <f t="shared" si="10"/>
        <v>0</v>
      </c>
      <c r="O356" s="142">
        <f t="shared" ref="O356:Q356" si="358">H356*3600/(1*10^6)</f>
        <v>894.6780175</v>
      </c>
      <c r="P356" s="142">
        <f t="shared" si="358"/>
        <v>1278.111454</v>
      </c>
      <c r="Q356" s="142">
        <f t="shared" si="358"/>
        <v>1438.809601</v>
      </c>
      <c r="R356" s="142">
        <f t="shared" si="12"/>
        <v>0</v>
      </c>
      <c r="T356">
        <f>Pumps!$F$18*D356/Pumps!$I$4/3600</f>
        <v>355.0309593</v>
      </c>
      <c r="U356">
        <f>IF('Design Specifications'!$C$30="y",Disinfection!G354*Disinfection!$N$3*(1*10^6)/3600,0)</f>
        <v>0</v>
      </c>
      <c r="V356">
        <f t="shared" si="13"/>
        <v>864</v>
      </c>
      <c r="W356">
        <f t="shared" si="18"/>
        <v>4.388511454</v>
      </c>
      <c r="X356">
        <f t="shared" si="14"/>
        <v>3.1104</v>
      </c>
      <c r="Y356">
        <f t="shared" si="15"/>
        <v>0.5448936753</v>
      </c>
    </row>
    <row r="357">
      <c r="A357" s="78" t="s">
        <v>819</v>
      </c>
      <c r="B357" s="78">
        <v>34.2</v>
      </c>
      <c r="C357" s="78">
        <f t="shared" si="3"/>
        <v>4104</v>
      </c>
      <c r="D357">
        <f t="shared" si="4"/>
        <v>4.104</v>
      </c>
      <c r="E357">
        <v>8.0</v>
      </c>
      <c r="F357">
        <f t="shared" si="5"/>
        <v>0</v>
      </c>
      <c r="G357">
        <f t="shared" si="6"/>
        <v>0</v>
      </c>
      <c r="H357">
        <f>C357*Pumps!$F$18/3600</f>
        <v>174885.6207</v>
      </c>
      <c r="I357">
        <f t="shared" si="7"/>
        <v>249836.601</v>
      </c>
      <c r="J357">
        <f t="shared" si="8"/>
        <v>281515.0303</v>
      </c>
      <c r="K357">
        <f t="shared" si="22"/>
        <v>0</v>
      </c>
      <c r="M357" s="142">
        <f t="shared" si="9"/>
        <v>0</v>
      </c>
      <c r="N357" s="142">
        <f t="shared" si="10"/>
        <v>0</v>
      </c>
      <c r="O357" s="142">
        <f t="shared" ref="O357:Q357" si="359">H357*3600/(1*10^6)</f>
        <v>629.5882345</v>
      </c>
      <c r="P357" s="142">
        <f t="shared" si="359"/>
        <v>899.4117636</v>
      </c>
      <c r="Q357" s="142">
        <f t="shared" si="359"/>
        <v>1013.454109</v>
      </c>
      <c r="R357" s="142">
        <f t="shared" si="12"/>
        <v>0</v>
      </c>
      <c r="T357">
        <f>Pumps!$F$18*D357/Pumps!$I$4/3600</f>
        <v>249.836601</v>
      </c>
      <c r="U357">
        <f>IF('Design Specifications'!$C$30="y",Disinfection!G355*Disinfection!$N$3*(1*10^6)/3600,0)</f>
        <v>0</v>
      </c>
      <c r="V357">
        <f t="shared" si="13"/>
        <v>864</v>
      </c>
      <c r="W357">
        <f t="shared" si="18"/>
        <v>4.009811764</v>
      </c>
      <c r="X357">
        <f t="shared" si="14"/>
        <v>3.1104</v>
      </c>
      <c r="Y357">
        <f t="shared" si="15"/>
        <v>0.5178436974</v>
      </c>
    </row>
    <row r="358">
      <c r="A358" s="78" t="s">
        <v>821</v>
      </c>
      <c r="B358" s="78">
        <v>4.4</v>
      </c>
      <c r="C358" s="78">
        <f t="shared" si="3"/>
        <v>528</v>
      </c>
      <c r="D358">
        <f t="shared" si="4"/>
        <v>0.528</v>
      </c>
      <c r="E358">
        <v>8.0</v>
      </c>
      <c r="F358">
        <f t="shared" si="5"/>
        <v>0</v>
      </c>
      <c r="G358">
        <f t="shared" si="6"/>
        <v>0</v>
      </c>
      <c r="H358">
        <f>C358*Pumps!$F$18/3600</f>
        <v>22499.90442</v>
      </c>
      <c r="I358">
        <f t="shared" si="7"/>
        <v>32142.7206</v>
      </c>
      <c r="J358">
        <f t="shared" si="8"/>
        <v>37001.26378</v>
      </c>
      <c r="K358">
        <f t="shared" si="22"/>
        <v>0</v>
      </c>
      <c r="M358" s="142">
        <f t="shared" si="9"/>
        <v>0</v>
      </c>
      <c r="N358" s="142">
        <f t="shared" si="10"/>
        <v>0</v>
      </c>
      <c r="O358" s="142">
        <f t="shared" ref="O358:Q358" si="360">H358*3600/(1*10^6)</f>
        <v>80.99965591</v>
      </c>
      <c r="P358" s="142">
        <f t="shared" si="360"/>
        <v>115.7137942</v>
      </c>
      <c r="Q358" s="142">
        <f t="shared" si="360"/>
        <v>133.2045496</v>
      </c>
      <c r="R358" s="142">
        <f t="shared" si="12"/>
        <v>0</v>
      </c>
      <c r="T358">
        <f>Pumps!$F$18*D358/Pumps!$I$4/3600</f>
        <v>32.1427206</v>
      </c>
      <c r="U358">
        <f>IF('Design Specifications'!$C$30="y",Disinfection!G356*Disinfection!$N$3*(1*10^6)/3600,0)</f>
        <v>0</v>
      </c>
      <c r="V358">
        <f t="shared" si="13"/>
        <v>864</v>
      </c>
      <c r="W358">
        <f t="shared" si="18"/>
        <v>3.226113794</v>
      </c>
      <c r="X358">
        <f t="shared" si="14"/>
        <v>3.1104</v>
      </c>
      <c r="Y358">
        <f t="shared" si="15"/>
        <v>0.461865271</v>
      </c>
    </row>
    <row r="359">
      <c r="A359" s="78" t="s">
        <v>823</v>
      </c>
      <c r="B359" s="78">
        <v>17.8</v>
      </c>
      <c r="C359" s="78">
        <f t="shared" si="3"/>
        <v>2136</v>
      </c>
      <c r="D359">
        <f t="shared" si="4"/>
        <v>2.136</v>
      </c>
      <c r="E359">
        <v>8.0</v>
      </c>
      <c r="F359">
        <f t="shared" si="5"/>
        <v>0</v>
      </c>
      <c r="G359">
        <f t="shared" si="6"/>
        <v>0</v>
      </c>
      <c r="H359">
        <f>C359*Pumps!$F$18/3600</f>
        <v>91022.3406</v>
      </c>
      <c r="I359">
        <f t="shared" si="7"/>
        <v>130031.9151</v>
      </c>
      <c r="J359">
        <f t="shared" si="8"/>
        <v>146950.4071</v>
      </c>
      <c r="K359">
        <f t="shared" si="22"/>
        <v>0</v>
      </c>
      <c r="M359" s="142">
        <f t="shared" si="9"/>
        <v>0</v>
      </c>
      <c r="N359" s="142">
        <f t="shared" si="10"/>
        <v>0</v>
      </c>
      <c r="O359" s="142">
        <f t="shared" ref="O359:Q359" si="361">H359*3600/(1*10^6)</f>
        <v>327.6804262</v>
      </c>
      <c r="P359" s="142">
        <f t="shared" si="361"/>
        <v>468.1148945</v>
      </c>
      <c r="Q359" s="142">
        <f t="shared" si="361"/>
        <v>529.0214655</v>
      </c>
      <c r="R359" s="142">
        <f t="shared" si="12"/>
        <v>0</v>
      </c>
      <c r="T359">
        <f>Pumps!$F$18*D359/Pumps!$I$4/3600</f>
        <v>130.0319151</v>
      </c>
      <c r="U359">
        <f>IF('Design Specifications'!$C$30="y",Disinfection!G357*Disinfection!$N$3*(1*10^6)/3600,0)</f>
        <v>0</v>
      </c>
      <c r="V359">
        <f t="shared" si="13"/>
        <v>864</v>
      </c>
      <c r="W359">
        <f t="shared" si="18"/>
        <v>3.578514895</v>
      </c>
      <c r="X359">
        <f t="shared" si="14"/>
        <v>3.1104</v>
      </c>
      <c r="Y359">
        <f t="shared" si="15"/>
        <v>0.4870367782</v>
      </c>
    </row>
    <row r="360">
      <c r="A360" s="78" t="s">
        <v>825</v>
      </c>
      <c r="B360" s="78">
        <v>1.4</v>
      </c>
      <c r="C360" s="78">
        <f t="shared" si="3"/>
        <v>168</v>
      </c>
      <c r="D360">
        <f t="shared" si="4"/>
        <v>0.168</v>
      </c>
      <c r="E360">
        <v>8.0</v>
      </c>
      <c r="F360">
        <f t="shared" si="5"/>
        <v>0</v>
      </c>
      <c r="G360">
        <f t="shared" si="6"/>
        <v>0</v>
      </c>
      <c r="H360">
        <f>C360*Pumps!$F$18/3600</f>
        <v>7159.060497</v>
      </c>
      <c r="I360">
        <f t="shared" si="7"/>
        <v>10227.22928</v>
      </c>
      <c r="J360">
        <f t="shared" si="8"/>
        <v>12385.78393</v>
      </c>
      <c r="K360">
        <f t="shared" si="22"/>
        <v>0</v>
      </c>
      <c r="M360" s="142">
        <f t="shared" si="9"/>
        <v>0</v>
      </c>
      <c r="N360" s="142">
        <f t="shared" si="10"/>
        <v>0</v>
      </c>
      <c r="O360" s="142">
        <f t="shared" ref="O360:Q360" si="362">H360*3600/(1*10^6)</f>
        <v>25.77261779</v>
      </c>
      <c r="P360" s="142">
        <f t="shared" si="362"/>
        <v>36.81802541</v>
      </c>
      <c r="Q360" s="142">
        <f t="shared" si="362"/>
        <v>44.58882214</v>
      </c>
      <c r="R360" s="142">
        <f t="shared" si="12"/>
        <v>0</v>
      </c>
      <c r="T360">
        <f>Pumps!$F$18*D360/Pumps!$I$4/3600</f>
        <v>10.22722928</v>
      </c>
      <c r="U360">
        <f>IF('Design Specifications'!$C$30="y",Disinfection!G358*Disinfection!$N$3*(1*10^6)/3600,0)</f>
        <v>0</v>
      </c>
      <c r="V360">
        <f t="shared" si="13"/>
        <v>864</v>
      </c>
      <c r="W360">
        <f t="shared" si="18"/>
        <v>3.147218025</v>
      </c>
      <c r="X360">
        <f t="shared" si="14"/>
        <v>3.1104</v>
      </c>
      <c r="Y360">
        <f t="shared" si="15"/>
        <v>0.456229859</v>
      </c>
    </row>
    <row r="361">
      <c r="A361" s="78" t="s">
        <v>827</v>
      </c>
      <c r="B361" s="78">
        <v>1.0</v>
      </c>
      <c r="C361" s="78">
        <f t="shared" si="3"/>
        <v>120</v>
      </c>
      <c r="D361">
        <f t="shared" si="4"/>
        <v>0.12</v>
      </c>
      <c r="E361">
        <v>8.0</v>
      </c>
      <c r="F361">
        <f t="shared" si="5"/>
        <v>0</v>
      </c>
      <c r="G361">
        <f t="shared" si="6"/>
        <v>0</v>
      </c>
      <c r="H361">
        <f>C361*Pumps!$F$18/3600</f>
        <v>5113.614641</v>
      </c>
      <c r="I361">
        <f t="shared" si="7"/>
        <v>7305.163772</v>
      </c>
      <c r="J361">
        <f t="shared" si="8"/>
        <v>9103.719949</v>
      </c>
      <c r="K361">
        <f t="shared" si="22"/>
        <v>0</v>
      </c>
      <c r="M361" s="142">
        <f t="shared" si="9"/>
        <v>0</v>
      </c>
      <c r="N361" s="142">
        <f t="shared" si="10"/>
        <v>0</v>
      </c>
      <c r="O361" s="142">
        <f t="shared" ref="O361:Q361" si="363">H361*3600/(1*10^6)</f>
        <v>18.40901271</v>
      </c>
      <c r="P361" s="142">
        <f t="shared" si="363"/>
        <v>26.29858958</v>
      </c>
      <c r="Q361" s="142">
        <f t="shared" si="363"/>
        <v>32.77339182</v>
      </c>
      <c r="R361" s="142">
        <f t="shared" si="12"/>
        <v>0</v>
      </c>
      <c r="T361">
        <f>Pumps!$F$18*D361/Pumps!$I$4/3600</f>
        <v>7.305163772</v>
      </c>
      <c r="U361">
        <f>IF('Design Specifications'!$C$30="y",Disinfection!G359*Disinfection!$N$3*(1*10^6)/3600,0)</f>
        <v>0</v>
      </c>
      <c r="V361">
        <f t="shared" si="13"/>
        <v>864</v>
      </c>
      <c r="W361">
        <f t="shared" si="18"/>
        <v>3.13669859</v>
      </c>
      <c r="X361">
        <f t="shared" si="14"/>
        <v>3.1104</v>
      </c>
      <c r="Y361">
        <f t="shared" si="15"/>
        <v>0.4554784707</v>
      </c>
    </row>
    <row r="362">
      <c r="A362" s="78" t="s">
        <v>829</v>
      </c>
      <c r="B362" s="78">
        <v>0.0</v>
      </c>
      <c r="C362" s="78">
        <f t="shared" si="3"/>
        <v>0</v>
      </c>
      <c r="D362">
        <f t="shared" si="4"/>
        <v>0</v>
      </c>
      <c r="E362">
        <v>8.0</v>
      </c>
      <c r="F362">
        <f t="shared" si="5"/>
        <v>0</v>
      </c>
      <c r="G362">
        <f t="shared" si="6"/>
        <v>0</v>
      </c>
      <c r="H362">
        <f>C362*Pumps!$F$18/3600</f>
        <v>0</v>
      </c>
      <c r="I362">
        <f t="shared" si="7"/>
        <v>0</v>
      </c>
      <c r="J362">
        <f t="shared" si="8"/>
        <v>898.56</v>
      </c>
      <c r="K362">
        <f t="shared" si="22"/>
        <v>0</v>
      </c>
      <c r="M362" s="142">
        <f t="shared" si="9"/>
        <v>0</v>
      </c>
      <c r="N362" s="142">
        <f t="shared" si="10"/>
        <v>0</v>
      </c>
      <c r="O362" s="142">
        <f t="shared" ref="O362:Q362" si="364">H362*3600/(1*10^6)</f>
        <v>0</v>
      </c>
      <c r="P362" s="142">
        <f t="shared" si="364"/>
        <v>0</v>
      </c>
      <c r="Q362" s="142">
        <f t="shared" si="364"/>
        <v>3.234816</v>
      </c>
      <c r="R362" s="142">
        <f t="shared" si="12"/>
        <v>0</v>
      </c>
      <c r="T362">
        <f>Pumps!$F$18*D362/Pumps!$I$4/3600</f>
        <v>0</v>
      </c>
      <c r="U362">
        <f>IF('Design Specifications'!$C$30="y",Disinfection!G360*Disinfection!$N$3*(1*10^6)/3600,0)</f>
        <v>0</v>
      </c>
      <c r="V362">
        <f t="shared" si="13"/>
        <v>864</v>
      </c>
      <c r="W362">
        <f t="shared" si="18"/>
        <v>3.1104</v>
      </c>
      <c r="X362">
        <f t="shared" si="14"/>
        <v>3.1104</v>
      </c>
      <c r="Y362">
        <f t="shared" si="15"/>
        <v>0.4536</v>
      </c>
    </row>
    <row r="363">
      <c r="A363" s="78" t="s">
        <v>831</v>
      </c>
      <c r="B363" s="78">
        <v>9.0</v>
      </c>
      <c r="C363" s="78">
        <f t="shared" si="3"/>
        <v>1080</v>
      </c>
      <c r="D363">
        <f t="shared" si="4"/>
        <v>1.08</v>
      </c>
      <c r="E363">
        <v>8.0</v>
      </c>
      <c r="F363">
        <f t="shared" si="5"/>
        <v>0</v>
      </c>
      <c r="G363">
        <f t="shared" si="6"/>
        <v>0</v>
      </c>
      <c r="H363">
        <f>C363*Pumps!$F$18/3600</f>
        <v>46022.53177</v>
      </c>
      <c r="I363">
        <f t="shared" si="7"/>
        <v>65746.47395</v>
      </c>
      <c r="J363">
        <f t="shared" si="8"/>
        <v>74744.99954</v>
      </c>
      <c r="K363">
        <f t="shared" si="22"/>
        <v>0</v>
      </c>
      <c r="M363" s="142">
        <f t="shared" si="9"/>
        <v>0</v>
      </c>
      <c r="N363" s="142">
        <f t="shared" si="10"/>
        <v>0</v>
      </c>
      <c r="O363" s="142">
        <f t="shared" ref="O363:Q363" si="365">H363*3600/(1*10^6)</f>
        <v>165.6811144</v>
      </c>
      <c r="P363" s="142">
        <f t="shared" si="365"/>
        <v>236.6873062</v>
      </c>
      <c r="Q363" s="142">
        <f t="shared" si="365"/>
        <v>269.0819983</v>
      </c>
      <c r="R363" s="142">
        <f t="shared" si="12"/>
        <v>0</v>
      </c>
      <c r="T363">
        <f>Pumps!$F$18*D363/Pumps!$I$4/3600</f>
        <v>65.74647395</v>
      </c>
      <c r="U363">
        <f>IF('Design Specifications'!$C$30="y",Disinfection!G361*Disinfection!$N$3*(1*10^6)/3600,0)</f>
        <v>0</v>
      </c>
      <c r="V363">
        <f t="shared" si="13"/>
        <v>864</v>
      </c>
      <c r="W363">
        <f t="shared" si="18"/>
        <v>3.347087306</v>
      </c>
      <c r="X363">
        <f t="shared" si="14"/>
        <v>3.1104</v>
      </c>
      <c r="Y363">
        <f t="shared" si="15"/>
        <v>0.4705062362</v>
      </c>
    </row>
    <row r="364">
      <c r="A364" s="78" t="s">
        <v>833</v>
      </c>
      <c r="B364" s="78">
        <v>20.2</v>
      </c>
      <c r="C364" s="78">
        <f t="shared" si="3"/>
        <v>2424</v>
      </c>
      <c r="D364">
        <f t="shared" si="4"/>
        <v>2.424</v>
      </c>
      <c r="E364">
        <v>8.0</v>
      </c>
      <c r="F364">
        <f t="shared" si="5"/>
        <v>0</v>
      </c>
      <c r="G364">
        <f t="shared" si="6"/>
        <v>0</v>
      </c>
      <c r="H364">
        <f>C364*Pumps!$F$18/3600</f>
        <v>103295.0157</v>
      </c>
      <c r="I364">
        <f t="shared" si="7"/>
        <v>147564.3082</v>
      </c>
      <c r="J364">
        <f t="shared" si="8"/>
        <v>166642.791</v>
      </c>
      <c r="K364">
        <f t="shared" si="22"/>
        <v>0</v>
      </c>
      <c r="M364" s="142">
        <f t="shared" si="9"/>
        <v>0</v>
      </c>
      <c r="N364" s="142">
        <f t="shared" si="10"/>
        <v>0</v>
      </c>
      <c r="O364" s="142">
        <f t="shared" ref="O364:Q364" si="366">H364*3600/(1*10^6)</f>
        <v>371.8620567</v>
      </c>
      <c r="P364" s="142">
        <f t="shared" si="366"/>
        <v>531.2315095</v>
      </c>
      <c r="Q364" s="142">
        <f t="shared" si="366"/>
        <v>599.9140475</v>
      </c>
      <c r="R364" s="142">
        <f t="shared" si="12"/>
        <v>0</v>
      </c>
      <c r="T364">
        <f>Pumps!$F$18*D364/Pumps!$I$4/3600</f>
        <v>147.5643082</v>
      </c>
      <c r="U364">
        <f>IF('Design Specifications'!$C$30="y",Disinfection!G362*Disinfection!$N$3*(1*10^6)/3600,0)</f>
        <v>0</v>
      </c>
      <c r="V364">
        <f t="shared" si="13"/>
        <v>864</v>
      </c>
      <c r="W364">
        <f t="shared" si="18"/>
        <v>3.64163151</v>
      </c>
      <c r="X364">
        <f t="shared" si="14"/>
        <v>3.1104</v>
      </c>
      <c r="Y364">
        <f t="shared" si="15"/>
        <v>0.4915451078</v>
      </c>
    </row>
    <row r="365">
      <c r="A365" s="78" t="s">
        <v>835</v>
      </c>
      <c r="B365" s="78">
        <v>0.8</v>
      </c>
      <c r="C365" s="78">
        <f t="shared" si="3"/>
        <v>96</v>
      </c>
      <c r="D365">
        <f t="shared" si="4"/>
        <v>0.096</v>
      </c>
      <c r="E365">
        <v>8.0</v>
      </c>
      <c r="F365">
        <f t="shared" si="5"/>
        <v>0</v>
      </c>
      <c r="G365">
        <f t="shared" si="6"/>
        <v>0</v>
      </c>
      <c r="H365">
        <f>C365*Pumps!$F$18/3600</f>
        <v>4090.891712</v>
      </c>
      <c r="I365">
        <f t="shared" si="7"/>
        <v>5844.131018</v>
      </c>
      <c r="J365">
        <f t="shared" si="8"/>
        <v>7462.687959</v>
      </c>
      <c r="K365">
        <f t="shared" si="22"/>
        <v>0</v>
      </c>
      <c r="M365" s="142">
        <f t="shared" si="9"/>
        <v>0</v>
      </c>
      <c r="N365" s="142">
        <f t="shared" si="10"/>
        <v>0</v>
      </c>
      <c r="O365" s="142">
        <f t="shared" ref="O365:Q365" si="367">H365*3600/(1*10^6)</f>
        <v>14.72721016</v>
      </c>
      <c r="P365" s="142">
        <f t="shared" si="367"/>
        <v>21.03887166</v>
      </c>
      <c r="Q365" s="142">
        <f t="shared" si="367"/>
        <v>26.86567665</v>
      </c>
      <c r="R365" s="142">
        <f t="shared" si="12"/>
        <v>0</v>
      </c>
      <c r="T365">
        <f>Pumps!$F$18*D365/Pumps!$I$4/3600</f>
        <v>5.844131018</v>
      </c>
      <c r="U365">
        <f>IF('Design Specifications'!$C$30="y",Disinfection!G363*Disinfection!$N$3*(1*10^6)/3600,0)</f>
        <v>0</v>
      </c>
      <c r="V365">
        <f t="shared" si="13"/>
        <v>864</v>
      </c>
      <c r="W365">
        <f t="shared" si="18"/>
        <v>3.131438872</v>
      </c>
      <c r="X365">
        <f t="shared" si="14"/>
        <v>3.1104</v>
      </c>
      <c r="Y365">
        <f t="shared" si="15"/>
        <v>0.4551027765</v>
      </c>
    </row>
    <row r="366">
      <c r="A366" s="78" t="s">
        <v>837</v>
      </c>
      <c r="B366" s="78">
        <v>24.6</v>
      </c>
      <c r="C366" s="78">
        <f t="shared" si="3"/>
        <v>2952</v>
      </c>
      <c r="D366">
        <f t="shared" si="4"/>
        <v>2.952</v>
      </c>
      <c r="E366">
        <v>8.0</v>
      </c>
      <c r="F366">
        <f t="shared" si="5"/>
        <v>0</v>
      </c>
      <c r="G366">
        <f t="shared" si="6"/>
        <v>0</v>
      </c>
      <c r="H366">
        <f>C366*Pumps!$F$18/3600</f>
        <v>125794.9202</v>
      </c>
      <c r="I366">
        <f t="shared" si="7"/>
        <v>179707.0288</v>
      </c>
      <c r="J366">
        <f t="shared" si="8"/>
        <v>202745.4947</v>
      </c>
      <c r="K366">
        <f t="shared" si="22"/>
        <v>0</v>
      </c>
      <c r="M366" s="142">
        <f t="shared" si="9"/>
        <v>0</v>
      </c>
      <c r="N366" s="142">
        <f t="shared" si="10"/>
        <v>0</v>
      </c>
      <c r="O366" s="142">
        <f t="shared" ref="O366:Q366" si="368">H366*3600/(1*10^6)</f>
        <v>452.8617126</v>
      </c>
      <c r="P366" s="142">
        <f t="shared" si="368"/>
        <v>646.9453037</v>
      </c>
      <c r="Q366" s="142">
        <f t="shared" si="368"/>
        <v>729.8837811</v>
      </c>
      <c r="R366" s="142">
        <f t="shared" si="12"/>
        <v>0</v>
      </c>
      <c r="T366">
        <f>Pumps!$F$18*D366/Pumps!$I$4/3600</f>
        <v>179.7070288</v>
      </c>
      <c r="U366">
        <f>IF('Design Specifications'!$C$30="y",Disinfection!G364*Disinfection!$N$3*(1*10^6)/3600,0)</f>
        <v>0</v>
      </c>
      <c r="V366">
        <f t="shared" si="13"/>
        <v>864</v>
      </c>
      <c r="W366">
        <f t="shared" si="18"/>
        <v>3.757345304</v>
      </c>
      <c r="X366">
        <f t="shared" si="14"/>
        <v>3.1104</v>
      </c>
      <c r="Y366">
        <f t="shared" si="15"/>
        <v>0.4998103788</v>
      </c>
    </row>
    <row r="367">
      <c r="A367" s="78" t="s">
        <v>839</v>
      </c>
      <c r="B367" s="78">
        <v>0.0</v>
      </c>
      <c r="C367" s="78">
        <f t="shared" si="3"/>
        <v>0</v>
      </c>
      <c r="D367">
        <f t="shared" si="4"/>
        <v>0</v>
      </c>
      <c r="E367">
        <v>8.0</v>
      </c>
      <c r="F367">
        <f t="shared" si="5"/>
        <v>0</v>
      </c>
      <c r="G367">
        <f t="shared" si="6"/>
        <v>0</v>
      </c>
      <c r="H367">
        <f>C367*Pumps!$F$18/3600</f>
        <v>0</v>
      </c>
      <c r="I367">
        <f t="shared" si="7"/>
        <v>0</v>
      </c>
      <c r="J367">
        <f t="shared" si="8"/>
        <v>898.56</v>
      </c>
      <c r="K367">
        <f t="shared" si="22"/>
        <v>0</v>
      </c>
      <c r="M367" s="142">
        <f t="shared" si="9"/>
        <v>0</v>
      </c>
      <c r="N367" s="142">
        <f t="shared" si="10"/>
        <v>0</v>
      </c>
      <c r="O367" s="142">
        <f t="shared" ref="O367:Q367" si="369">H367*3600/(1*10^6)</f>
        <v>0</v>
      </c>
      <c r="P367" s="142">
        <f t="shared" si="369"/>
        <v>0</v>
      </c>
      <c r="Q367" s="142">
        <f t="shared" si="369"/>
        <v>3.234816</v>
      </c>
      <c r="R367" s="142">
        <f t="shared" si="12"/>
        <v>0</v>
      </c>
      <c r="T367">
        <f>Pumps!$F$18*D367/Pumps!$I$4/3600</f>
        <v>0</v>
      </c>
      <c r="U367">
        <f>IF('Design Specifications'!$C$30="y",Disinfection!G365*Disinfection!$N$3*(1*10^6)/3600,0)</f>
        <v>0</v>
      </c>
      <c r="V367">
        <f t="shared" si="13"/>
        <v>864</v>
      </c>
      <c r="W367">
        <f t="shared" si="18"/>
        <v>3.1104</v>
      </c>
      <c r="X367">
        <f t="shared" si="14"/>
        <v>3.1104</v>
      </c>
      <c r="Y367">
        <f t="shared" si="15"/>
        <v>0.4536</v>
      </c>
    </row>
    <row r="368">
      <c r="A368" s="78" t="s">
        <v>841</v>
      </c>
      <c r="B368" s="78">
        <v>0.0</v>
      </c>
      <c r="C368" s="78">
        <f t="shared" si="3"/>
        <v>0</v>
      </c>
      <c r="D368">
        <f t="shared" si="4"/>
        <v>0</v>
      </c>
      <c r="E368">
        <v>8.0</v>
      </c>
      <c r="F368">
        <f t="shared" si="5"/>
        <v>0</v>
      </c>
      <c r="G368">
        <f t="shared" si="6"/>
        <v>0</v>
      </c>
      <c r="H368">
        <f>C368*Pumps!$F$18/3600</f>
        <v>0</v>
      </c>
      <c r="I368">
        <f t="shared" si="7"/>
        <v>0</v>
      </c>
      <c r="J368">
        <f t="shared" si="8"/>
        <v>898.56</v>
      </c>
      <c r="K368">
        <f t="shared" si="22"/>
        <v>0</v>
      </c>
      <c r="M368" s="142">
        <f t="shared" si="9"/>
        <v>0</v>
      </c>
      <c r="N368" s="142">
        <f t="shared" si="10"/>
        <v>0</v>
      </c>
      <c r="O368" s="142">
        <f t="shared" ref="O368:Q368" si="370">H368*3600/(1*10^6)</f>
        <v>0</v>
      </c>
      <c r="P368" s="142">
        <f t="shared" si="370"/>
        <v>0</v>
      </c>
      <c r="Q368" s="142">
        <f t="shared" si="370"/>
        <v>3.234816</v>
      </c>
      <c r="R368" s="142">
        <f t="shared" si="12"/>
        <v>0</v>
      </c>
      <c r="T368">
        <f>Pumps!$F$18*D368/Pumps!$I$4/3600</f>
        <v>0</v>
      </c>
      <c r="U368">
        <f>IF('Design Specifications'!$C$30="y",Disinfection!G366*Disinfection!$N$3*(1*10^6)/3600,0)</f>
        <v>0</v>
      </c>
      <c r="V368">
        <f t="shared" si="13"/>
        <v>864</v>
      </c>
      <c r="W368">
        <f t="shared" si="18"/>
        <v>3.1104</v>
      </c>
      <c r="X368">
        <f t="shared" si="14"/>
        <v>3.1104</v>
      </c>
      <c r="Y368">
        <f t="shared" si="15"/>
        <v>0.4536</v>
      </c>
    </row>
    <row r="369">
      <c r="A369" s="78" t="s">
        <v>843</v>
      </c>
      <c r="B369" s="78">
        <v>8.8</v>
      </c>
      <c r="C369" s="78">
        <f t="shared" si="3"/>
        <v>1056</v>
      </c>
      <c r="D369">
        <f t="shared" si="4"/>
        <v>1.056</v>
      </c>
      <c r="E369">
        <v>8.0</v>
      </c>
      <c r="F369">
        <f t="shared" si="5"/>
        <v>0</v>
      </c>
      <c r="G369">
        <f t="shared" si="6"/>
        <v>0</v>
      </c>
      <c r="H369">
        <f>C369*Pumps!$F$18/3600</f>
        <v>44999.80884</v>
      </c>
      <c r="I369">
        <f t="shared" si="7"/>
        <v>64285.4412</v>
      </c>
      <c r="J369">
        <f t="shared" si="8"/>
        <v>73103.96755</v>
      </c>
      <c r="K369">
        <f t="shared" si="22"/>
        <v>0</v>
      </c>
      <c r="M369" s="142">
        <f t="shared" si="9"/>
        <v>0</v>
      </c>
      <c r="N369" s="142">
        <f t="shared" si="10"/>
        <v>0</v>
      </c>
      <c r="O369" s="142">
        <f t="shared" ref="O369:Q369" si="371">H369*3600/(1*10^6)</f>
        <v>161.9993118</v>
      </c>
      <c r="P369" s="142">
        <f t="shared" si="371"/>
        <v>231.4275883</v>
      </c>
      <c r="Q369" s="142">
        <f t="shared" si="371"/>
        <v>263.1742832</v>
      </c>
      <c r="R369" s="142">
        <f t="shared" si="12"/>
        <v>0</v>
      </c>
      <c r="T369">
        <f>Pumps!$F$18*D369/Pumps!$I$4/3600</f>
        <v>64.2854412</v>
      </c>
      <c r="U369">
        <f>IF('Design Specifications'!$C$30="y",Disinfection!G367*Disinfection!$N$3*(1*10^6)/3600,0)</f>
        <v>0</v>
      </c>
      <c r="V369">
        <f t="shared" si="13"/>
        <v>864</v>
      </c>
      <c r="W369">
        <f t="shared" si="18"/>
        <v>3.341827588</v>
      </c>
      <c r="X369">
        <f t="shared" si="14"/>
        <v>3.1104</v>
      </c>
      <c r="Y369">
        <f t="shared" si="15"/>
        <v>0.470130542</v>
      </c>
    </row>
    <row r="370">
      <c r="A370" s="78" t="s">
        <v>845</v>
      </c>
      <c r="B370" s="78">
        <v>11.6</v>
      </c>
      <c r="C370" s="78">
        <f t="shared" si="3"/>
        <v>1392</v>
      </c>
      <c r="D370">
        <f t="shared" si="4"/>
        <v>1.392</v>
      </c>
      <c r="E370">
        <v>8.0</v>
      </c>
      <c r="F370">
        <f t="shared" si="5"/>
        <v>0</v>
      </c>
      <c r="G370">
        <f t="shared" si="6"/>
        <v>0</v>
      </c>
      <c r="H370">
        <f>C370*Pumps!$F$18/3600</f>
        <v>59317.92983</v>
      </c>
      <c r="I370">
        <f t="shared" si="7"/>
        <v>84739.89976</v>
      </c>
      <c r="J370">
        <f t="shared" si="8"/>
        <v>96078.41541</v>
      </c>
      <c r="K370">
        <f t="shared" si="22"/>
        <v>0</v>
      </c>
      <c r="M370" s="142">
        <f t="shared" si="9"/>
        <v>0</v>
      </c>
      <c r="N370" s="142">
        <f t="shared" si="10"/>
        <v>0</v>
      </c>
      <c r="O370" s="142">
        <f t="shared" ref="O370:Q370" si="372">H370*3600/(1*10^6)</f>
        <v>213.5445474</v>
      </c>
      <c r="P370" s="142">
        <f t="shared" si="372"/>
        <v>305.0636391</v>
      </c>
      <c r="Q370" s="142">
        <f t="shared" si="372"/>
        <v>345.8822955</v>
      </c>
      <c r="R370" s="142">
        <f t="shared" si="12"/>
        <v>0</v>
      </c>
      <c r="T370">
        <f>Pumps!$F$18*D370/Pumps!$I$4/3600</f>
        <v>84.73989976</v>
      </c>
      <c r="U370">
        <f>IF('Design Specifications'!$C$30="y",Disinfection!G368*Disinfection!$N$3*(1*10^6)/3600,0)</f>
        <v>0</v>
      </c>
      <c r="V370">
        <f t="shared" si="13"/>
        <v>864</v>
      </c>
      <c r="W370">
        <f t="shared" si="18"/>
        <v>3.415463639</v>
      </c>
      <c r="X370">
        <f t="shared" si="14"/>
        <v>3.1104</v>
      </c>
      <c r="Y370">
        <f t="shared" si="15"/>
        <v>0.4753902599</v>
      </c>
    </row>
    <row r="371">
      <c r="A371" s="78" t="s">
        <v>847</v>
      </c>
      <c r="B371" s="78">
        <v>10.0</v>
      </c>
      <c r="C371" s="78">
        <f t="shared" si="3"/>
        <v>1200</v>
      </c>
      <c r="D371">
        <f t="shared" si="4"/>
        <v>1.2</v>
      </c>
      <c r="E371">
        <v>8.0</v>
      </c>
      <c r="F371">
        <f t="shared" si="5"/>
        <v>0</v>
      </c>
      <c r="G371">
        <f t="shared" si="6"/>
        <v>0</v>
      </c>
      <c r="H371">
        <f>C371*Pumps!$F$18/3600</f>
        <v>51136.14641</v>
      </c>
      <c r="I371">
        <f t="shared" si="7"/>
        <v>73051.63772</v>
      </c>
      <c r="J371">
        <f t="shared" si="8"/>
        <v>82950.15949</v>
      </c>
      <c r="K371">
        <f t="shared" si="22"/>
        <v>0</v>
      </c>
      <c r="M371" s="142">
        <f t="shared" si="9"/>
        <v>0</v>
      </c>
      <c r="N371" s="142">
        <f t="shared" si="10"/>
        <v>0</v>
      </c>
      <c r="O371" s="142">
        <f t="shared" ref="O371:Q371" si="373">H371*3600/(1*10^6)</f>
        <v>184.0901271</v>
      </c>
      <c r="P371" s="142">
        <f t="shared" si="373"/>
        <v>262.9858958</v>
      </c>
      <c r="Q371" s="142">
        <f t="shared" si="373"/>
        <v>298.6205742</v>
      </c>
      <c r="R371" s="142">
        <f t="shared" si="12"/>
        <v>0</v>
      </c>
      <c r="T371">
        <f>Pumps!$F$18*D371/Pumps!$I$4/3600</f>
        <v>73.05163772</v>
      </c>
      <c r="U371">
        <f>IF('Design Specifications'!$C$30="y",Disinfection!G369*Disinfection!$N$3*(1*10^6)/3600,0)</f>
        <v>0</v>
      </c>
      <c r="V371">
        <f t="shared" si="13"/>
        <v>864</v>
      </c>
      <c r="W371">
        <f t="shared" si="18"/>
        <v>3.373385896</v>
      </c>
      <c r="X371">
        <f t="shared" si="14"/>
        <v>3.1104</v>
      </c>
      <c r="Y371">
        <f t="shared" si="15"/>
        <v>0.4723847068</v>
      </c>
    </row>
    <row r="372">
      <c r="A372" s="78" t="s">
        <v>849</v>
      </c>
      <c r="B372" s="78">
        <v>2.2</v>
      </c>
      <c r="C372" s="78">
        <f t="shared" si="3"/>
        <v>264</v>
      </c>
      <c r="D372">
        <f t="shared" si="4"/>
        <v>0.264</v>
      </c>
      <c r="E372">
        <v>8.0</v>
      </c>
      <c r="F372">
        <f t="shared" si="5"/>
        <v>0</v>
      </c>
      <c r="G372">
        <f t="shared" si="6"/>
        <v>0</v>
      </c>
      <c r="H372">
        <f>C372*Pumps!$F$18/3600</f>
        <v>11249.95221</v>
      </c>
      <c r="I372">
        <f t="shared" si="7"/>
        <v>16071.3603</v>
      </c>
      <c r="J372">
        <f t="shared" si="8"/>
        <v>18949.91189</v>
      </c>
      <c r="K372">
        <f t="shared" si="22"/>
        <v>0</v>
      </c>
      <c r="M372" s="142">
        <f t="shared" si="9"/>
        <v>0</v>
      </c>
      <c r="N372" s="142">
        <f t="shared" si="10"/>
        <v>0</v>
      </c>
      <c r="O372" s="142">
        <f t="shared" ref="O372:Q372" si="374">H372*3600/(1*10^6)</f>
        <v>40.49982795</v>
      </c>
      <c r="P372" s="142">
        <f t="shared" si="374"/>
        <v>57.85689708</v>
      </c>
      <c r="Q372" s="142">
        <f t="shared" si="374"/>
        <v>68.2196828</v>
      </c>
      <c r="R372" s="142">
        <f t="shared" si="12"/>
        <v>0</v>
      </c>
      <c r="T372">
        <f>Pumps!$F$18*D372/Pumps!$I$4/3600</f>
        <v>16.0713603</v>
      </c>
      <c r="U372">
        <f>IF('Design Specifications'!$C$30="y",Disinfection!G370*Disinfection!$N$3*(1*10^6)/3600,0)</f>
        <v>0</v>
      </c>
      <c r="V372">
        <f t="shared" si="13"/>
        <v>864</v>
      </c>
      <c r="W372">
        <f t="shared" si="18"/>
        <v>3.168256897</v>
      </c>
      <c r="X372">
        <f t="shared" si="14"/>
        <v>3.1104</v>
      </c>
      <c r="Y372">
        <f t="shared" si="15"/>
        <v>0.4577326355</v>
      </c>
    </row>
    <row r="373">
      <c r="A373" s="78" t="s">
        <v>851</v>
      </c>
      <c r="B373" s="78">
        <v>0.6</v>
      </c>
      <c r="C373" s="78">
        <f t="shared" si="3"/>
        <v>72</v>
      </c>
      <c r="D373">
        <f t="shared" si="4"/>
        <v>0.072</v>
      </c>
      <c r="E373">
        <v>8.0</v>
      </c>
      <c r="F373">
        <f t="shared" si="5"/>
        <v>0</v>
      </c>
      <c r="G373">
        <f t="shared" si="6"/>
        <v>0</v>
      </c>
      <c r="H373">
        <f>C373*Pumps!$F$18/3600</f>
        <v>3068.168784</v>
      </c>
      <c r="I373">
        <f t="shared" si="7"/>
        <v>4383.098263</v>
      </c>
      <c r="J373">
        <f t="shared" si="8"/>
        <v>5821.655969</v>
      </c>
      <c r="K373">
        <f t="shared" si="22"/>
        <v>0</v>
      </c>
      <c r="M373" s="142">
        <f t="shared" si="9"/>
        <v>0</v>
      </c>
      <c r="N373" s="142">
        <f t="shared" si="10"/>
        <v>0</v>
      </c>
      <c r="O373" s="142">
        <f t="shared" ref="O373:Q373" si="375">H373*3600/(1*10^6)</f>
        <v>11.04540762</v>
      </c>
      <c r="P373" s="142">
        <f t="shared" si="375"/>
        <v>15.77915375</v>
      </c>
      <c r="Q373" s="142">
        <f t="shared" si="375"/>
        <v>20.95796149</v>
      </c>
      <c r="R373" s="142">
        <f t="shared" si="12"/>
        <v>0</v>
      </c>
      <c r="T373">
        <f>Pumps!$F$18*D373/Pumps!$I$4/3600</f>
        <v>4.383098263</v>
      </c>
      <c r="U373">
        <f>IF('Design Specifications'!$C$30="y",Disinfection!G371*Disinfection!$N$3*(1*10^6)/3600,0)</f>
        <v>0</v>
      </c>
      <c r="V373">
        <f t="shared" si="13"/>
        <v>864</v>
      </c>
      <c r="W373">
        <f t="shared" si="18"/>
        <v>3.126179154</v>
      </c>
      <c r="X373">
        <f t="shared" si="14"/>
        <v>3.1104</v>
      </c>
      <c r="Y373">
        <f t="shared" si="15"/>
        <v>0.4547270824</v>
      </c>
    </row>
    <row r="374">
      <c r="A374" s="78" t="s">
        <v>853</v>
      </c>
      <c r="B374" s="78">
        <v>10.2</v>
      </c>
      <c r="C374" s="78">
        <f t="shared" si="3"/>
        <v>1224</v>
      </c>
      <c r="D374">
        <f t="shared" si="4"/>
        <v>1.224</v>
      </c>
      <c r="E374">
        <v>8.0</v>
      </c>
      <c r="F374">
        <f t="shared" si="5"/>
        <v>0</v>
      </c>
      <c r="G374">
        <f t="shared" si="6"/>
        <v>0</v>
      </c>
      <c r="H374">
        <f>C374*Pumps!$F$18/3600</f>
        <v>52158.86933</v>
      </c>
      <c r="I374">
        <f t="shared" si="7"/>
        <v>74512.67048</v>
      </c>
      <c r="J374">
        <f t="shared" si="8"/>
        <v>84591.19148</v>
      </c>
      <c r="K374">
        <f t="shared" si="22"/>
        <v>0</v>
      </c>
      <c r="M374" s="142">
        <f t="shared" si="9"/>
        <v>0</v>
      </c>
      <c r="N374" s="142">
        <f t="shared" si="10"/>
        <v>0</v>
      </c>
      <c r="O374" s="142">
        <f t="shared" ref="O374:Q374" si="376">H374*3600/(1*10^6)</f>
        <v>187.7719296</v>
      </c>
      <c r="P374" s="142">
        <f t="shared" si="376"/>
        <v>268.2456137</v>
      </c>
      <c r="Q374" s="142">
        <f t="shared" si="376"/>
        <v>304.5282893</v>
      </c>
      <c r="R374" s="142">
        <f t="shared" si="12"/>
        <v>0</v>
      </c>
      <c r="T374">
        <f>Pumps!$F$18*D374/Pumps!$I$4/3600</f>
        <v>74.51267048</v>
      </c>
      <c r="U374">
        <f>IF('Design Specifications'!$C$30="y",Disinfection!G372*Disinfection!$N$3*(1*10^6)/3600,0)</f>
        <v>0</v>
      </c>
      <c r="V374">
        <f t="shared" si="13"/>
        <v>864</v>
      </c>
      <c r="W374">
        <f t="shared" si="18"/>
        <v>3.378645614</v>
      </c>
      <c r="X374">
        <f t="shared" si="14"/>
        <v>3.1104</v>
      </c>
      <c r="Y374">
        <f t="shared" si="15"/>
        <v>0.472760401</v>
      </c>
    </row>
    <row r="375">
      <c r="A375" s="78" t="s">
        <v>855</v>
      </c>
      <c r="B375" s="78">
        <v>5.4</v>
      </c>
      <c r="C375" s="78">
        <f t="shared" si="3"/>
        <v>648</v>
      </c>
      <c r="D375">
        <f t="shared" si="4"/>
        <v>0.648</v>
      </c>
      <c r="E375">
        <v>8.0</v>
      </c>
      <c r="F375">
        <f t="shared" si="5"/>
        <v>0</v>
      </c>
      <c r="G375">
        <f t="shared" si="6"/>
        <v>0</v>
      </c>
      <c r="H375">
        <f>C375*Pumps!$F$18/3600</f>
        <v>27613.51906</v>
      </c>
      <c r="I375">
        <f t="shared" si="7"/>
        <v>39447.88437</v>
      </c>
      <c r="J375">
        <f t="shared" si="8"/>
        <v>45206.42372</v>
      </c>
      <c r="K375">
        <f t="shared" si="22"/>
        <v>0</v>
      </c>
      <c r="M375" s="142">
        <f t="shared" si="9"/>
        <v>0</v>
      </c>
      <c r="N375" s="142">
        <f t="shared" si="10"/>
        <v>0</v>
      </c>
      <c r="O375" s="142">
        <f t="shared" ref="O375:Q375" si="377">H375*3600/(1*10^6)</f>
        <v>99.40866861</v>
      </c>
      <c r="P375" s="142">
        <f t="shared" si="377"/>
        <v>142.0123837</v>
      </c>
      <c r="Q375" s="142">
        <f t="shared" si="377"/>
        <v>162.7431254</v>
      </c>
      <c r="R375" s="142">
        <f t="shared" si="12"/>
        <v>0</v>
      </c>
      <c r="T375">
        <f>Pumps!$F$18*D375/Pumps!$I$4/3600</f>
        <v>39.44788437</v>
      </c>
      <c r="U375">
        <f>IF('Design Specifications'!$C$30="y",Disinfection!G373*Disinfection!$N$3*(1*10^6)/3600,0)</f>
        <v>0</v>
      </c>
      <c r="V375">
        <f t="shared" si="13"/>
        <v>864</v>
      </c>
      <c r="W375">
        <f t="shared" si="18"/>
        <v>3.252412384</v>
      </c>
      <c r="X375">
        <f t="shared" si="14"/>
        <v>3.1104</v>
      </c>
      <c r="Y375">
        <f t="shared" si="15"/>
        <v>0.4637437417</v>
      </c>
    </row>
    <row r="376">
      <c r="A376" s="78" t="s">
        <v>857</v>
      </c>
      <c r="B376" s="78">
        <v>0.0</v>
      </c>
      <c r="C376" s="78">
        <f t="shared" si="3"/>
        <v>0</v>
      </c>
      <c r="D376">
        <f t="shared" si="4"/>
        <v>0</v>
      </c>
      <c r="E376">
        <v>8.0</v>
      </c>
      <c r="F376">
        <f t="shared" si="5"/>
        <v>0</v>
      </c>
      <c r="G376">
        <f t="shared" si="6"/>
        <v>0</v>
      </c>
      <c r="H376">
        <f>C376*Pumps!$F$18/3600</f>
        <v>0</v>
      </c>
      <c r="I376">
        <f t="shared" si="7"/>
        <v>0</v>
      </c>
      <c r="J376">
        <f t="shared" si="8"/>
        <v>898.56</v>
      </c>
      <c r="K376">
        <f t="shared" si="22"/>
        <v>0</v>
      </c>
      <c r="M376" s="142">
        <f t="shared" si="9"/>
        <v>0</v>
      </c>
      <c r="N376" s="142">
        <f t="shared" si="10"/>
        <v>0</v>
      </c>
      <c r="O376" s="142">
        <f t="shared" ref="O376:Q376" si="378">H376*3600/(1*10^6)</f>
        <v>0</v>
      </c>
      <c r="P376" s="142">
        <f t="shared" si="378"/>
        <v>0</v>
      </c>
      <c r="Q376" s="142">
        <f t="shared" si="378"/>
        <v>3.234816</v>
      </c>
      <c r="R376" s="142">
        <f t="shared" si="12"/>
        <v>0</v>
      </c>
      <c r="T376">
        <f>Pumps!$F$18*D376/Pumps!$I$4/3600</f>
        <v>0</v>
      </c>
      <c r="U376">
        <f>IF('Design Specifications'!$C$30="y",Disinfection!G374*Disinfection!$N$3*(1*10^6)/3600,0)</f>
        <v>0</v>
      </c>
      <c r="V376">
        <f t="shared" si="13"/>
        <v>864</v>
      </c>
      <c r="W376">
        <f t="shared" si="18"/>
        <v>3.1104</v>
      </c>
      <c r="X376">
        <f t="shared" si="14"/>
        <v>3.1104</v>
      </c>
      <c r="Y376">
        <f t="shared" si="15"/>
        <v>0.4536</v>
      </c>
    </row>
    <row r="377">
      <c r="A377" s="78" t="s">
        <v>859</v>
      </c>
      <c r="B377" s="78">
        <v>0.0</v>
      </c>
      <c r="C377" s="78">
        <f t="shared" si="3"/>
        <v>0</v>
      </c>
      <c r="D377">
        <f t="shared" si="4"/>
        <v>0</v>
      </c>
      <c r="E377">
        <v>8.0</v>
      </c>
      <c r="F377">
        <f t="shared" si="5"/>
        <v>0</v>
      </c>
      <c r="G377">
        <f t="shared" si="6"/>
        <v>0</v>
      </c>
      <c r="H377">
        <f>C377*Pumps!$F$18/3600</f>
        <v>0</v>
      </c>
      <c r="I377">
        <f t="shared" si="7"/>
        <v>0</v>
      </c>
      <c r="J377">
        <f t="shared" si="8"/>
        <v>898.56</v>
      </c>
      <c r="K377">
        <f t="shared" si="22"/>
        <v>0</v>
      </c>
      <c r="M377" s="142">
        <f t="shared" si="9"/>
        <v>0</v>
      </c>
      <c r="N377" s="142">
        <f t="shared" si="10"/>
        <v>0</v>
      </c>
      <c r="O377" s="142">
        <f t="shared" ref="O377:Q377" si="379">H377*3600/(1*10^6)</f>
        <v>0</v>
      </c>
      <c r="P377" s="142">
        <f t="shared" si="379"/>
        <v>0</v>
      </c>
      <c r="Q377" s="142">
        <f t="shared" si="379"/>
        <v>3.234816</v>
      </c>
      <c r="R377" s="142">
        <f t="shared" si="12"/>
        <v>0</v>
      </c>
      <c r="T377">
        <f>Pumps!$F$18*D377/Pumps!$I$4/3600</f>
        <v>0</v>
      </c>
      <c r="U377">
        <f>IF('Design Specifications'!$C$30="y",Disinfection!G375*Disinfection!$N$3*(1*10^6)/3600,0)</f>
        <v>0</v>
      </c>
      <c r="V377">
        <f t="shared" si="13"/>
        <v>864</v>
      </c>
      <c r="W377">
        <f t="shared" si="18"/>
        <v>3.1104</v>
      </c>
      <c r="X377">
        <f t="shared" si="14"/>
        <v>3.1104</v>
      </c>
      <c r="Y377">
        <f t="shared" si="15"/>
        <v>0.4536</v>
      </c>
    </row>
    <row r="378">
      <c r="A378" s="78" t="s">
        <v>861</v>
      </c>
      <c r="B378" s="78">
        <v>0.0</v>
      </c>
      <c r="C378" s="78">
        <f t="shared" si="3"/>
        <v>0</v>
      </c>
      <c r="D378">
        <f t="shared" si="4"/>
        <v>0</v>
      </c>
      <c r="E378">
        <v>8.0</v>
      </c>
      <c r="F378">
        <f t="shared" si="5"/>
        <v>0</v>
      </c>
      <c r="G378">
        <f t="shared" si="6"/>
        <v>0</v>
      </c>
      <c r="H378">
        <f>C378*Pumps!$F$18/3600</f>
        <v>0</v>
      </c>
      <c r="I378">
        <f t="shared" si="7"/>
        <v>0</v>
      </c>
      <c r="J378">
        <f t="shared" si="8"/>
        <v>898.56</v>
      </c>
      <c r="K378">
        <f t="shared" si="22"/>
        <v>0</v>
      </c>
      <c r="M378" s="142">
        <f t="shared" si="9"/>
        <v>0</v>
      </c>
      <c r="N378" s="142">
        <f t="shared" si="10"/>
        <v>0</v>
      </c>
      <c r="O378" s="142">
        <f t="shared" ref="O378:Q378" si="380">H378*3600/(1*10^6)</f>
        <v>0</v>
      </c>
      <c r="P378" s="142">
        <f t="shared" si="380"/>
        <v>0</v>
      </c>
      <c r="Q378" s="142">
        <f t="shared" si="380"/>
        <v>3.234816</v>
      </c>
      <c r="R378" s="142">
        <f t="shared" si="12"/>
        <v>0</v>
      </c>
      <c r="T378">
        <f>Pumps!$F$18*D378/Pumps!$I$4/3600</f>
        <v>0</v>
      </c>
      <c r="U378">
        <f>IF('Design Specifications'!$C$30="y",Disinfection!G376*Disinfection!$N$3*(1*10^6)/3600,0)</f>
        <v>0</v>
      </c>
      <c r="V378">
        <f t="shared" si="13"/>
        <v>864</v>
      </c>
      <c r="W378">
        <f t="shared" si="18"/>
        <v>3.1104</v>
      </c>
      <c r="X378">
        <f t="shared" si="14"/>
        <v>3.1104</v>
      </c>
      <c r="Y378">
        <f t="shared" si="15"/>
        <v>0.4536</v>
      </c>
    </row>
    <row r="379">
      <c r="A379" s="78" t="s">
        <v>863</v>
      </c>
      <c r="B379" s="78">
        <v>0.0</v>
      </c>
      <c r="C379" s="78">
        <f t="shared" si="3"/>
        <v>0</v>
      </c>
      <c r="D379">
        <f t="shared" si="4"/>
        <v>0</v>
      </c>
      <c r="E379">
        <v>8.0</v>
      </c>
      <c r="F379">
        <f t="shared" si="5"/>
        <v>0</v>
      </c>
      <c r="G379">
        <f t="shared" si="6"/>
        <v>0</v>
      </c>
      <c r="H379">
        <f>C379*Pumps!$F$18/3600</f>
        <v>0</v>
      </c>
      <c r="I379">
        <f t="shared" si="7"/>
        <v>0</v>
      </c>
      <c r="J379">
        <f t="shared" si="8"/>
        <v>898.56</v>
      </c>
      <c r="K379">
        <f t="shared" si="22"/>
        <v>0</v>
      </c>
      <c r="M379" s="142">
        <f t="shared" si="9"/>
        <v>0</v>
      </c>
      <c r="N379" s="142">
        <f t="shared" si="10"/>
        <v>0</v>
      </c>
      <c r="O379" s="142">
        <f t="shared" ref="O379:Q379" si="381">H379*3600/(1*10^6)</f>
        <v>0</v>
      </c>
      <c r="P379" s="142">
        <f t="shared" si="381"/>
        <v>0</v>
      </c>
      <c r="Q379" s="142">
        <f t="shared" si="381"/>
        <v>3.234816</v>
      </c>
      <c r="R379" s="142">
        <f t="shared" si="12"/>
        <v>0</v>
      </c>
      <c r="T379">
        <f>Pumps!$F$18*D379/Pumps!$I$4/3600</f>
        <v>0</v>
      </c>
      <c r="U379">
        <f>IF('Design Specifications'!$C$30="y",Disinfection!G377*Disinfection!$N$3*(1*10^6)/3600,0)</f>
        <v>0</v>
      </c>
      <c r="V379">
        <f t="shared" si="13"/>
        <v>864</v>
      </c>
      <c r="W379">
        <f t="shared" si="18"/>
        <v>3.1104</v>
      </c>
      <c r="X379">
        <f t="shared" si="14"/>
        <v>3.1104</v>
      </c>
      <c r="Y379">
        <f t="shared" si="15"/>
        <v>0.4536</v>
      </c>
    </row>
    <row r="380">
      <c r="W380" s="15" t="s">
        <v>1041</v>
      </c>
      <c r="Y380">
        <f>SUM(Y15:Y379)</f>
        <v>170.5750601</v>
      </c>
    </row>
    <row r="381">
      <c r="W381" s="15" t="s">
        <v>1042</v>
      </c>
      <c r="Y381">
        <f>Y380*5</f>
        <v>852.8753003</v>
      </c>
    </row>
  </sheetData>
  <mergeCells count="11">
    <mergeCell ref="E13:K13"/>
    <mergeCell ref="A13:C13"/>
    <mergeCell ref="M13:R13"/>
    <mergeCell ref="T13:Y13"/>
    <mergeCell ref="J1:L1"/>
    <mergeCell ref="F1:H1"/>
    <mergeCell ref="R1:T1"/>
    <mergeCell ref="V1:W1"/>
    <mergeCell ref="AB1:AC1"/>
    <mergeCell ref="N1:P1"/>
    <mergeCell ref="A3:A5"/>
  </mergeCells>
  <printOptions/>
  <pageMargins bottom="0.75" footer="0.0" header="0.0" left="0.7" right="0.7" top="0.75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9.0"/>
    <col customWidth="1" min="7" max="7" width="25.71"/>
  </cols>
  <sheetData>
    <row r="1" ht="17.25" customHeight="1">
      <c r="A1" s="143" t="s">
        <v>1043</v>
      </c>
    </row>
    <row r="2">
      <c r="A2" s="15" t="s">
        <v>1044</v>
      </c>
      <c r="B2">
        <f>(('Design Specifications'!B1*365*5)/1000)*$E$2</f>
        <v>109.5</v>
      </c>
      <c r="C2" s="15" t="s">
        <v>1045</v>
      </c>
      <c r="D2" s="15" t="s">
        <v>1046</v>
      </c>
      <c r="E2" s="15">
        <v>0.1</v>
      </c>
      <c r="F2" s="15" t="s">
        <v>1047</v>
      </c>
      <c r="G2" s="15"/>
    </row>
    <row r="3">
      <c r="A3" s="15" t="s">
        <v>1048</v>
      </c>
      <c r="B3" s="15">
        <f>'Design Specifications'!B1*365*5*$E$3/1000</f>
        <v>7008</v>
      </c>
      <c r="C3" s="15" t="s">
        <v>1045</v>
      </c>
      <c r="D3" s="15" t="s">
        <v>1049</v>
      </c>
      <c r="E3" s="15">
        <v>6.4</v>
      </c>
      <c r="F3" s="15" t="s">
        <v>1047</v>
      </c>
      <c r="G3" s="15"/>
      <c r="H3" s="15"/>
      <c r="I3" s="15"/>
    </row>
    <row r="4">
      <c r="A4" s="15" t="s">
        <v>1050</v>
      </c>
      <c r="B4" s="15">
        <v>2408.0</v>
      </c>
      <c r="C4" s="15" t="s">
        <v>1045</v>
      </c>
      <c r="D4" s="15"/>
      <c r="G4" s="15"/>
      <c r="I4" s="15"/>
    </row>
    <row r="5" ht="14.25" customHeight="1">
      <c r="A5" s="144" t="s">
        <v>1051</v>
      </c>
      <c r="B5" s="145">
        <f>B2+B3+B4</f>
        <v>9525.5</v>
      </c>
      <c r="C5" s="144" t="s">
        <v>1045</v>
      </c>
      <c r="G5" s="15"/>
    </row>
    <row r="6">
      <c r="G6" s="22" t="s">
        <v>1018</v>
      </c>
    </row>
    <row r="7">
      <c r="A7" s="22" t="s">
        <v>1052</v>
      </c>
      <c r="G7" s="15" t="s">
        <v>1053</v>
      </c>
      <c r="H7">
        <f>'Design Specifications'!B1*365*5</f>
        <v>1095000</v>
      </c>
      <c r="I7" s="15" t="s">
        <v>18</v>
      </c>
    </row>
    <row r="8">
      <c r="A8" s="15" t="s">
        <v>1050</v>
      </c>
      <c r="B8" s="15">
        <v>2408.0</v>
      </c>
      <c r="C8" s="15" t="s">
        <v>1045</v>
      </c>
      <c r="G8" s="15" t="s">
        <v>1054</v>
      </c>
      <c r="H8">
        <f>(H7*6.5/1000)+2408</f>
        <v>9525.5</v>
      </c>
      <c r="I8" s="15" t="s">
        <v>1045</v>
      </c>
    </row>
    <row r="9">
      <c r="A9" s="15" t="s">
        <v>1044</v>
      </c>
      <c r="B9" s="15">
        <f>IF('Design Specifications'!C31="y", B14, B13)</f>
        <v>3900.771845</v>
      </c>
      <c r="C9" s="15" t="s">
        <v>1045</v>
      </c>
      <c r="G9" s="15" t="s">
        <v>1055</v>
      </c>
      <c r="H9" s="15">
        <v>1250.0</v>
      </c>
      <c r="I9" s="15" t="s">
        <v>1045</v>
      </c>
    </row>
    <row r="10">
      <c r="A10" s="15" t="s">
        <v>1056</v>
      </c>
      <c r="B10">
        <f>B8+B9</f>
        <v>6308.771845</v>
      </c>
      <c r="G10" s="15" t="s">
        <v>1057</v>
      </c>
      <c r="H10">
        <f>3.25*K10/1000</f>
        <v>2.771844726</v>
      </c>
      <c r="I10" s="15" t="s">
        <v>1045</v>
      </c>
      <c r="J10" s="15" t="s">
        <v>1058</v>
      </c>
      <c r="K10">
        <f>Power!AA14</f>
        <v>852.8753003</v>
      </c>
      <c r="L10" s="15" t="s">
        <v>18</v>
      </c>
    </row>
    <row r="11">
      <c r="A11" s="15"/>
      <c r="G11" s="15"/>
      <c r="I11" s="15"/>
      <c r="J11" s="15"/>
      <c r="L11" s="15"/>
    </row>
    <row r="12">
      <c r="A12" s="22" t="s">
        <v>1059</v>
      </c>
      <c r="G12" s="15" t="s">
        <v>1060</v>
      </c>
      <c r="H12" s="15">
        <v>240.0</v>
      </c>
      <c r="I12" s="15" t="s">
        <v>1045</v>
      </c>
    </row>
    <row r="13">
      <c r="A13" s="15" t="s">
        <v>1061</v>
      </c>
      <c r="B13">
        <f>H13</f>
        <v>3900.771845</v>
      </c>
      <c r="C13" s="15" t="s">
        <v>1045</v>
      </c>
      <c r="G13" s="15" t="s">
        <v>1062</v>
      </c>
      <c r="H13">
        <f>H9 + H10 + H12 + B8</f>
        <v>3900.771845</v>
      </c>
      <c r="I13" s="15" t="s">
        <v>1045</v>
      </c>
    </row>
    <row r="14">
      <c r="A14" s="15" t="s">
        <v>1063</v>
      </c>
      <c r="B14">
        <f>H16</f>
        <v>620</v>
      </c>
      <c r="C14" s="15" t="s">
        <v>1045</v>
      </c>
    </row>
    <row r="15">
      <c r="A15" s="15"/>
      <c r="G15" s="22" t="s">
        <v>1016</v>
      </c>
      <c r="I15" s="15"/>
    </row>
    <row r="16">
      <c r="A16" s="146" t="s">
        <v>1064</v>
      </c>
      <c r="B16" s="147">
        <f>B10/B5</f>
        <v>0.6623034848</v>
      </c>
      <c r="G16" s="15" t="s">
        <v>1065</v>
      </c>
      <c r="H16">
        <f>Power!G5</f>
        <v>620</v>
      </c>
      <c r="I16" s="15" t="s">
        <v>1045</v>
      </c>
    </row>
    <row r="17">
      <c r="G17" s="15"/>
    </row>
    <row r="18">
      <c r="G18" s="15"/>
      <c r="H18" s="15"/>
      <c r="I18" s="15"/>
    </row>
    <row r="19">
      <c r="G19" s="15"/>
      <c r="H19" s="15"/>
      <c r="I19" s="15"/>
    </row>
    <row r="20">
      <c r="G20" s="15"/>
      <c r="H20" s="15"/>
    </row>
  </sheetData>
  <mergeCells count="3">
    <mergeCell ref="A12:B12"/>
    <mergeCell ref="A1:F1"/>
    <mergeCell ref="A7:F7"/>
  </mergeCells>
  <drawing r:id="rId1"/>
</worksheet>
</file>