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ra157\Documents\GitHub\311\Excel\"/>
    </mc:Choice>
  </mc:AlternateContent>
  <xr:revisionPtr revIDLastSave="0" documentId="13_ncr:1_{83C5B04E-D882-4E3B-A5CB-20935787FB49}" xr6:coauthVersionLast="47" xr6:coauthVersionMax="47" xr10:uidLastSave="{00000000-0000-0000-0000-000000000000}"/>
  <bookViews>
    <workbookView xWindow="-120" yWindow="-120" windowWidth="29040" windowHeight="15720" tabRatio="649" activeTab="6" xr2:uid="{00000000-000D-0000-FFFF-FFFF00000000}"/>
  </bookViews>
  <sheets>
    <sheet name="Current Sensor" sheetId="1" r:id="rId1"/>
    <sheet name="Temp Sensor" sheetId="2" r:id="rId2"/>
    <sheet name="Voltage Sensor" sheetId="4" r:id="rId3"/>
    <sheet name="Window Comparator" sheetId="6" r:id="rId4"/>
    <sheet name="Anti-Aliasing Filter" sheetId="9" r:id="rId5"/>
    <sheet name="Touch Sensor Oscillator" sheetId="11" r:id="rId6"/>
    <sheet name="Temp Sensor Lookup Table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2" i="12" l="1"/>
  <c r="D102" i="12" s="1"/>
  <c r="B101" i="12"/>
  <c r="C101" i="12" s="1"/>
  <c r="D101" i="12" s="1"/>
  <c r="B100" i="12"/>
  <c r="C100" i="12" s="1"/>
  <c r="D100" i="12" s="1"/>
  <c r="B99" i="12"/>
  <c r="C99" i="12" s="1"/>
  <c r="D99" i="12" s="1"/>
  <c r="B98" i="12"/>
  <c r="C98" i="12" s="1"/>
  <c r="D98" i="12" s="1"/>
  <c r="C97" i="12"/>
  <c r="D97" i="12" s="1"/>
  <c r="B96" i="12"/>
  <c r="C96" i="12" s="1"/>
  <c r="D96" i="12" s="1"/>
  <c r="B95" i="12"/>
  <c r="C95" i="12" s="1"/>
  <c r="D95" i="12" s="1"/>
  <c r="B94" i="12"/>
  <c r="C94" i="12" s="1"/>
  <c r="D94" i="12" s="1"/>
  <c r="B93" i="12"/>
  <c r="C93" i="12" s="1"/>
  <c r="D93" i="12" s="1"/>
  <c r="C2" i="12"/>
  <c r="D2" i="12" s="1"/>
  <c r="B6" i="12"/>
  <c r="C6" i="12" s="1"/>
  <c r="D6" i="12" s="1"/>
  <c r="B5" i="12"/>
  <c r="C5" i="12" s="1"/>
  <c r="D5" i="12" s="1"/>
  <c r="B4" i="12"/>
  <c r="C4" i="12" s="1"/>
  <c r="D4" i="12" s="1"/>
  <c r="B3" i="12"/>
  <c r="C3" i="12" s="1"/>
  <c r="D3" i="12" s="1"/>
  <c r="C7" i="12"/>
  <c r="D7" i="12" s="1"/>
  <c r="C17" i="12"/>
  <c r="D17" i="12" s="1"/>
  <c r="C22" i="12"/>
  <c r="D22" i="12" s="1"/>
  <c r="C26" i="12"/>
  <c r="D26" i="12" s="1"/>
  <c r="C27" i="12"/>
  <c r="D27" i="12" s="1"/>
  <c r="C32" i="12"/>
  <c r="D32" i="12" s="1"/>
  <c r="C47" i="12"/>
  <c r="D47" i="12" s="1"/>
  <c r="B92" i="12"/>
  <c r="C92" i="12" s="1"/>
  <c r="D92" i="12" s="1"/>
  <c r="B87" i="12"/>
  <c r="C87" i="12" s="1"/>
  <c r="D87" i="12" s="1"/>
  <c r="B82" i="12"/>
  <c r="C82" i="12" s="1"/>
  <c r="D82" i="12" s="1"/>
  <c r="B77" i="12"/>
  <c r="C77" i="12" s="1"/>
  <c r="D77" i="12" s="1"/>
  <c r="B72" i="12"/>
  <c r="B67" i="12"/>
  <c r="C67" i="12" s="1"/>
  <c r="D67" i="12" s="1"/>
  <c r="B62" i="12"/>
  <c r="B63" i="12" s="1"/>
  <c r="C63" i="12" s="1"/>
  <c r="D63" i="12" s="1"/>
  <c r="B57" i="12"/>
  <c r="C57" i="12" s="1"/>
  <c r="D57" i="12" s="1"/>
  <c r="B52" i="12"/>
  <c r="B47" i="12"/>
  <c r="B42" i="12"/>
  <c r="C42" i="12" s="1"/>
  <c r="D42" i="12" s="1"/>
  <c r="B37" i="12"/>
  <c r="B33" i="12" s="1"/>
  <c r="C33" i="12" s="1"/>
  <c r="D33" i="12" s="1"/>
  <c r="B32" i="12"/>
  <c r="B36" i="12" s="1"/>
  <c r="C36" i="12" s="1"/>
  <c r="D36" i="12" s="1"/>
  <c r="B27" i="12"/>
  <c r="B31" i="12" s="1"/>
  <c r="C31" i="12" s="1"/>
  <c r="D31" i="12" s="1"/>
  <c r="B22" i="12"/>
  <c r="B26" i="12" s="1"/>
  <c r="B17" i="12"/>
  <c r="B12" i="12"/>
  <c r="B14" i="12" s="1"/>
  <c r="C14" i="12" s="1"/>
  <c r="D14" i="12" s="1"/>
  <c r="E20" i="6"/>
  <c r="D20" i="6"/>
  <c r="D14" i="4"/>
  <c r="D13" i="4"/>
  <c r="D9" i="4"/>
  <c r="C20" i="6"/>
  <c r="B20" i="6"/>
  <c r="D14" i="6"/>
  <c r="D13" i="6"/>
  <c r="G5" i="6"/>
  <c r="F5" i="6"/>
  <c r="G20" i="6" s="1"/>
  <c r="P17" i="2"/>
  <c r="D15" i="11"/>
  <c r="D14" i="11"/>
  <c r="D11" i="11"/>
  <c r="D10" i="11"/>
  <c r="D8" i="11"/>
  <c r="F20" i="6"/>
  <c r="E5" i="6"/>
  <c r="D5" i="6"/>
  <c r="C5" i="6"/>
  <c r="B5" i="6"/>
  <c r="D11" i="9"/>
  <c r="D10" i="9"/>
  <c r="J6" i="1"/>
  <c r="D6" i="9"/>
  <c r="D4" i="9"/>
  <c r="J6" i="2"/>
  <c r="J5" i="2"/>
  <c r="J8" i="2"/>
  <c r="P6" i="2" s="1"/>
  <c r="J7" i="2"/>
  <c r="P5" i="2" s="1"/>
  <c r="J10" i="1"/>
  <c r="P7" i="1"/>
  <c r="P6" i="1"/>
  <c r="J7" i="1"/>
  <c r="B8" i="12" l="1"/>
  <c r="C8" i="12" s="1"/>
  <c r="D8" i="12" s="1"/>
  <c r="B9" i="12"/>
  <c r="C9" i="12" s="1"/>
  <c r="D9" i="12" s="1"/>
  <c r="B10" i="12"/>
  <c r="C10" i="12" s="1"/>
  <c r="D10" i="12" s="1"/>
  <c r="B11" i="12"/>
  <c r="C11" i="12" s="1"/>
  <c r="D11" i="12" s="1"/>
  <c r="B55" i="12"/>
  <c r="C55" i="12" s="1"/>
  <c r="D55" i="12" s="1"/>
  <c r="B73" i="12"/>
  <c r="C73" i="12" s="1"/>
  <c r="D73" i="12" s="1"/>
  <c r="B68" i="12"/>
  <c r="C68" i="12" s="1"/>
  <c r="D68" i="12" s="1"/>
  <c r="B70" i="12"/>
  <c r="C70" i="12" s="1"/>
  <c r="D70" i="12" s="1"/>
  <c r="B15" i="12"/>
  <c r="C15" i="12" s="1"/>
  <c r="D15" i="12" s="1"/>
  <c r="B75" i="12"/>
  <c r="C75" i="12" s="1"/>
  <c r="D75" i="12" s="1"/>
  <c r="B29" i="12"/>
  <c r="C29" i="12" s="1"/>
  <c r="D29" i="12" s="1"/>
  <c r="B30" i="12"/>
  <c r="C30" i="12" s="1"/>
  <c r="D30" i="12" s="1"/>
  <c r="B78" i="12"/>
  <c r="C78" i="12" s="1"/>
  <c r="D78" i="12" s="1"/>
  <c r="B64" i="12"/>
  <c r="C64" i="12" s="1"/>
  <c r="D64" i="12" s="1"/>
  <c r="C12" i="12"/>
  <c r="D12" i="12" s="1"/>
  <c r="B71" i="12"/>
  <c r="C71" i="12" s="1"/>
  <c r="D71" i="12" s="1"/>
  <c r="B16" i="12"/>
  <c r="C16" i="12" s="1"/>
  <c r="D16" i="12" s="1"/>
  <c r="B28" i="12"/>
  <c r="C28" i="12" s="1"/>
  <c r="D28" i="12" s="1"/>
  <c r="B76" i="12"/>
  <c r="C76" i="12" s="1"/>
  <c r="D76" i="12" s="1"/>
  <c r="B79" i="12"/>
  <c r="C79" i="12" s="1"/>
  <c r="D79" i="12" s="1"/>
  <c r="B69" i="12"/>
  <c r="C69" i="12" s="1"/>
  <c r="D69" i="12" s="1"/>
  <c r="B13" i="12"/>
  <c r="C13" i="12" s="1"/>
  <c r="D13" i="12" s="1"/>
  <c r="B74" i="12"/>
  <c r="C74" i="12" s="1"/>
  <c r="D74" i="12" s="1"/>
  <c r="B34" i="12"/>
  <c r="C34" i="12" s="1"/>
  <c r="D34" i="12" s="1"/>
  <c r="B80" i="12"/>
  <c r="C80" i="12" s="1"/>
  <c r="D80" i="12" s="1"/>
  <c r="C62" i="12"/>
  <c r="D62" i="12" s="1"/>
  <c r="B65" i="12"/>
  <c r="C65" i="12" s="1"/>
  <c r="D65" i="12" s="1"/>
  <c r="C72" i="12"/>
  <c r="D72" i="12" s="1"/>
  <c r="B35" i="12"/>
  <c r="C35" i="12" s="1"/>
  <c r="D35" i="12" s="1"/>
  <c r="B81" i="12"/>
  <c r="C81" i="12" s="1"/>
  <c r="D81" i="12" s="1"/>
  <c r="C37" i="12"/>
  <c r="D37" i="12" s="1"/>
  <c r="B66" i="12"/>
  <c r="C66" i="12" s="1"/>
  <c r="D66" i="12" s="1"/>
  <c r="B38" i="12"/>
  <c r="C38" i="12" s="1"/>
  <c r="D38" i="12" s="1"/>
  <c r="B39" i="12"/>
  <c r="C39" i="12" s="1"/>
  <c r="D39" i="12" s="1"/>
  <c r="B40" i="12"/>
  <c r="C40" i="12" s="1"/>
  <c r="D40" i="12" s="1"/>
  <c r="B58" i="12"/>
  <c r="C58" i="12" s="1"/>
  <c r="D58" i="12" s="1"/>
  <c r="B59" i="12"/>
  <c r="C59" i="12" s="1"/>
  <c r="D59" i="12" s="1"/>
  <c r="B60" i="12"/>
  <c r="C60" i="12" s="1"/>
  <c r="D60" i="12" s="1"/>
  <c r="B61" i="12"/>
  <c r="C61" i="12" s="1"/>
  <c r="D61" i="12" s="1"/>
  <c r="C52" i="12"/>
  <c r="D52" i="12" s="1"/>
  <c r="B91" i="12"/>
  <c r="C91" i="12" s="1"/>
  <c r="D91" i="12" s="1"/>
  <c r="B83" i="12"/>
  <c r="C83" i="12" s="1"/>
  <c r="D83" i="12" s="1"/>
  <c r="B84" i="12"/>
  <c r="C84" i="12" s="1"/>
  <c r="D84" i="12" s="1"/>
  <c r="B85" i="12"/>
  <c r="C85" i="12" s="1"/>
  <c r="D85" i="12" s="1"/>
  <c r="B86" i="12"/>
  <c r="C86" i="12" s="1"/>
  <c r="D86" i="12" s="1"/>
  <c r="B88" i="12"/>
  <c r="C88" i="12" s="1"/>
  <c r="D88" i="12" s="1"/>
  <c r="B89" i="12"/>
  <c r="C89" i="12" s="1"/>
  <c r="D89" i="12" s="1"/>
  <c r="B90" i="12"/>
  <c r="C90" i="12" s="1"/>
  <c r="D90" i="12" s="1"/>
  <c r="B56" i="12"/>
  <c r="C56" i="12" s="1"/>
  <c r="D56" i="12" s="1"/>
  <c r="B53" i="12"/>
  <c r="C53" i="12" s="1"/>
  <c r="D53" i="12" s="1"/>
  <c r="B54" i="12"/>
  <c r="C54" i="12" s="1"/>
  <c r="D54" i="12" s="1"/>
  <c r="B51" i="12"/>
  <c r="C51" i="12" s="1"/>
  <c r="D51" i="12" s="1"/>
  <c r="B43" i="12"/>
  <c r="C43" i="12" s="1"/>
  <c r="D43" i="12" s="1"/>
  <c r="B44" i="12"/>
  <c r="C44" i="12" s="1"/>
  <c r="D44" i="12" s="1"/>
  <c r="B45" i="12"/>
  <c r="C45" i="12" s="1"/>
  <c r="D45" i="12" s="1"/>
  <c r="B46" i="12"/>
  <c r="C46" i="12" s="1"/>
  <c r="D46" i="12" s="1"/>
  <c r="B48" i="12"/>
  <c r="C48" i="12" s="1"/>
  <c r="D48" i="12" s="1"/>
  <c r="B49" i="12"/>
  <c r="C49" i="12" s="1"/>
  <c r="D49" i="12" s="1"/>
  <c r="B50" i="12"/>
  <c r="C50" i="12" s="1"/>
  <c r="D50" i="12" s="1"/>
  <c r="B41" i="12"/>
  <c r="C41" i="12" s="1"/>
  <c r="D41" i="12" s="1"/>
  <c r="B18" i="12"/>
  <c r="C18" i="12" s="1"/>
  <c r="D18" i="12" s="1"/>
  <c r="B19" i="12"/>
  <c r="C19" i="12" s="1"/>
  <c r="D19" i="12" s="1"/>
  <c r="B20" i="12"/>
  <c r="C20" i="12" s="1"/>
  <c r="D20" i="12" s="1"/>
  <c r="B21" i="12"/>
  <c r="C21" i="12" s="1"/>
  <c r="D21" i="12" s="1"/>
  <c r="B23" i="12"/>
  <c r="C23" i="12" s="1"/>
  <c r="D23" i="12" s="1"/>
  <c r="B24" i="12"/>
  <c r="C24" i="12" s="1"/>
  <c r="D24" i="12" s="1"/>
  <c r="B25" i="12"/>
  <c r="C25" i="12" s="1"/>
  <c r="D25" i="12" s="1"/>
  <c r="J8" i="1"/>
  <c r="J12" i="1"/>
  <c r="J14" i="1" s="1"/>
  <c r="P9" i="1" s="1"/>
  <c r="J9" i="1"/>
  <c r="J11" i="1"/>
  <c r="J13" i="1" s="1"/>
  <c r="P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ctra157</author>
  </authors>
  <commentList>
    <comment ref="B8" authorId="0" shapeId="0" xr:uid="{A8C3D8B6-DE33-455B-B275-8AD8B41344DB}">
      <text>
        <r>
          <rPr>
            <b/>
            <sz val="9"/>
            <color indexed="81"/>
            <rFont val="Tahoma"/>
            <family val="2"/>
          </rPr>
          <t>ctra157:</t>
        </r>
        <r>
          <rPr>
            <sz val="9"/>
            <color indexed="81"/>
            <rFont val="Tahoma"/>
            <family val="2"/>
          </rPr>
          <t xml:space="preserve">
E12, E6,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ctra157</author>
  </authors>
  <commentList>
    <comment ref="B10" authorId="0" shapeId="0" xr:uid="{221E7002-277B-4444-82F3-0C45745BDF2C}">
      <text>
        <r>
          <rPr>
            <b/>
            <sz val="9"/>
            <color indexed="81"/>
            <rFont val="Tahoma"/>
            <family val="2"/>
          </rPr>
          <t>ctra157:</t>
        </r>
        <r>
          <rPr>
            <sz val="9"/>
            <color indexed="81"/>
            <rFont val="Tahoma"/>
            <family val="2"/>
          </rPr>
          <t xml:space="preserve">
Assumes R1=R2.</t>
        </r>
      </text>
    </comment>
    <comment ref="B11" authorId="0" shapeId="0" xr:uid="{05951897-3565-4077-B2AF-9907F205D955}">
      <text>
        <r>
          <rPr>
            <b/>
            <sz val="9"/>
            <color indexed="81"/>
            <rFont val="Tahoma"/>
            <family val="2"/>
          </rPr>
          <t>ctra157:</t>
        </r>
        <r>
          <rPr>
            <sz val="9"/>
            <color indexed="81"/>
            <rFont val="Tahoma"/>
            <family val="2"/>
          </rPr>
          <t xml:space="preserve">
Assumes R1=R2.</t>
        </r>
      </text>
    </comment>
  </commentList>
</comments>
</file>

<file path=xl/sharedStrings.xml><?xml version="1.0" encoding="utf-8"?>
<sst xmlns="http://schemas.openxmlformats.org/spreadsheetml/2006/main" count="291" uniqueCount="147">
  <si>
    <t>Current Sense Amplifier</t>
  </si>
  <si>
    <t>ZXCT199QC</t>
  </si>
  <si>
    <t>Gain</t>
  </si>
  <si>
    <t>CMRR [dB]</t>
  </si>
  <si>
    <t>Note: Vi_min and Vi_max are the output voltage of the sensor</t>
  </si>
  <si>
    <t>Note: Absolute value of Vs used for error calculations. The % errors represent the equivalent differential input error due to finite CMRR.</t>
  </si>
  <si>
    <t>Parameter</t>
  </si>
  <si>
    <t>Equation</t>
  </si>
  <si>
    <t>Value</t>
  </si>
  <si>
    <t>Unit</t>
  </si>
  <si>
    <t>Vsc</t>
  </si>
  <si>
    <t>-</t>
  </si>
  <si>
    <t>V</t>
  </si>
  <si>
    <t>Vs_min</t>
  </si>
  <si>
    <t>Isc_min * Rs</t>
  </si>
  <si>
    <t>Ps_discharging</t>
  </si>
  <si>
    <t>(Isc_minimum)^2 * Rs</t>
  </si>
  <si>
    <t>W</t>
  </si>
  <si>
    <t>Isc_min (discharging)</t>
  </si>
  <si>
    <t>A</t>
  </si>
  <si>
    <t>Vs_max</t>
  </si>
  <si>
    <t>Isc_max * Rs</t>
  </si>
  <si>
    <t>Ps_charging</t>
  </si>
  <si>
    <t>(Isc_maximum)^2 * Rs</t>
  </si>
  <si>
    <t>Isc_max (charging)</t>
  </si>
  <si>
    <t>Vi_min</t>
  </si>
  <si>
    <t>Gain * Vs_min + Vref</t>
  </si>
  <si>
    <t>% Equivalent Error at Isc_max</t>
  </si>
  <si>
    <t>(Vcm_min * 100 %) / (|Vs_max| * 10 ^(CMRR / 20))</t>
  </si>
  <si>
    <t>%</t>
  </si>
  <si>
    <t>Vref</t>
  </si>
  <si>
    <t>Vi_max</t>
  </si>
  <si>
    <t>Gain * Vs_max + Vref</t>
  </si>
  <si>
    <t>% Equivalent Error at Isc_min</t>
  </si>
  <si>
    <t>(Vcm_max * 100 %) / (|Vs_min| * 10 ^(CMRR / 20))</t>
  </si>
  <si>
    <t>Rs</t>
  </si>
  <si>
    <t>Ω</t>
  </si>
  <si>
    <t>V1</t>
  </si>
  <si>
    <t>V1 = Vsc</t>
  </si>
  <si>
    <t>V0_min</t>
  </si>
  <si>
    <t>Vsc - Vs_max</t>
  </si>
  <si>
    <t>V0_max</t>
  </si>
  <si>
    <t>Vsc - Vs_min</t>
  </si>
  <si>
    <t>Vcm_min</t>
  </si>
  <si>
    <t>(V1 + V0_min) / 2</t>
  </si>
  <si>
    <t>Vcm_max</t>
  </si>
  <si>
    <t>(V1 + V0_max) / 3</t>
  </si>
  <si>
    <t>Temp Sensor</t>
  </si>
  <si>
    <t>B57164K0103J000 (NTC Thermistor)</t>
  </si>
  <si>
    <t>Resistance at 25°C</t>
  </si>
  <si>
    <t>10 kΩ</t>
  </si>
  <si>
    <t>Vcc</t>
  </si>
  <si>
    <t>V_temp_high (80°C)</t>
  </si>
  <si>
    <t>(Vcc * R_temp_high) / (R_temp_high + R1)</t>
  </si>
  <si>
    <t>P (-15°C)</t>
  </si>
  <si>
    <t>(I_low)^2 * (R1 + R_temp_low)</t>
  </si>
  <si>
    <t>R1</t>
  </si>
  <si>
    <t>Equal to thermistor at 25°C</t>
  </si>
  <si>
    <t>V_temp_low (-15°C)</t>
  </si>
  <si>
    <t>(Vcc * R_remp_low) / (R_temp_low + R1)</t>
  </si>
  <si>
    <t>P (80°C)</t>
  </si>
  <si>
    <t>(I_high)^2 * (R1 + R_temp_high)</t>
  </si>
  <si>
    <t>10 k * (R_t / R_25)</t>
  </si>
  <si>
    <t>I_low (-15°C)</t>
  </si>
  <si>
    <t>Vcc / (R_temp_low + R1)</t>
  </si>
  <si>
    <t>I_high (80°C)</t>
  </si>
  <si>
    <t>Vcc / (R_temp_high + R1)</t>
  </si>
  <si>
    <t>V_THH</t>
  </si>
  <si>
    <t>Current Sensor</t>
  </si>
  <si>
    <t>Voltage Sensor</t>
  </si>
  <si>
    <t>Temperature Sensor</t>
  </si>
  <si>
    <t>V_THL</t>
  </si>
  <si>
    <t>Theoretical</t>
  </si>
  <si>
    <t>Pratical</t>
  </si>
  <si>
    <t>R2</t>
  </si>
  <si>
    <t>R3</t>
  </si>
  <si>
    <t>R4</t>
  </si>
  <si>
    <t>R5</t>
  </si>
  <si>
    <t>R6</t>
  </si>
  <si>
    <t>470 k</t>
  </si>
  <si>
    <t xml:space="preserve">Threshold Hysteresis = 100 mV </t>
  </si>
  <si>
    <t>C1</t>
  </si>
  <si>
    <t>1 / 2 *pi * R1 * f_cutoff</t>
  </si>
  <si>
    <t>f_sample</t>
  </si>
  <si>
    <t>Hz</t>
  </si>
  <si>
    <t>For an ADC clock of 200 kHz, at 13 cycles per sample</t>
  </si>
  <si>
    <t>f_cutoff</t>
  </si>
  <si>
    <t>f_sample / 2</t>
  </si>
  <si>
    <t>F</t>
  </si>
  <si>
    <t>Test value for simulations</t>
  </si>
  <si>
    <t>Minimum super cap voltage</t>
  </si>
  <si>
    <t>Maximum super cap voltage</t>
  </si>
  <si>
    <t>Chosen Parameters</t>
  </si>
  <si>
    <t>1 / (2*pi*R1*C1)</t>
  </si>
  <si>
    <t>Min (A)</t>
  </si>
  <si>
    <t>Max (A)</t>
  </si>
  <si>
    <t>Min (V)</t>
  </si>
  <si>
    <t>Max (V)</t>
  </si>
  <si>
    <t>Min (Ω)</t>
  </si>
  <si>
    <t>Max (Ω)</t>
  </si>
  <si>
    <r>
      <t>Max (</t>
    </r>
    <r>
      <rPr>
        <sz val="18"/>
        <color theme="1"/>
        <rFont val="Aptos Narrow"/>
        <family val="2"/>
      </rPr>
      <t>°</t>
    </r>
    <r>
      <rPr>
        <sz val="18"/>
        <color theme="1"/>
        <rFont val="Calibri"/>
        <family val="2"/>
      </rPr>
      <t>C)</t>
    </r>
  </si>
  <si>
    <r>
      <t>Min (</t>
    </r>
    <r>
      <rPr>
        <sz val="18"/>
        <color theme="1"/>
        <rFont val="Aptos Narrow"/>
        <family val="2"/>
      </rPr>
      <t>°</t>
    </r>
    <r>
      <rPr>
        <sz val="18"/>
        <color theme="1"/>
        <rFont val="Calibri"/>
        <family val="2"/>
      </rPr>
      <t>C)</t>
    </r>
  </si>
  <si>
    <t>(approximated from datasheet)</t>
  </si>
  <si>
    <t>C_touch_sensor (no touch)</t>
  </si>
  <si>
    <t>C_touch_sensor (yes touch)</t>
  </si>
  <si>
    <t>f_0 (no touch)</t>
  </si>
  <si>
    <t>f_0 (yes touch)</t>
  </si>
  <si>
    <t>1 / (-2 * ln(1/3) * R3 * C)</t>
  </si>
  <si>
    <t>T/C frequency</t>
  </si>
  <si>
    <t>no. clock cycles (no touch)</t>
  </si>
  <si>
    <t>no. clock cycles (yes touch)</t>
  </si>
  <si>
    <t>2 MHz / 1</t>
  </si>
  <si>
    <t>TC frequency / f_0</t>
  </si>
  <si>
    <t>V_high</t>
  </si>
  <si>
    <t>R_25</t>
  </si>
  <si>
    <t>R_t / R_25</t>
  </si>
  <si>
    <t>(-V_high * R1) / (R_25 * (V_high - Vcc))</t>
  </si>
  <si>
    <t>Corresponding temp range: -15°C to -20°C</t>
  </si>
  <si>
    <t>Supply voltage</t>
  </si>
  <si>
    <t>Thermistor resistance at 25°C</t>
  </si>
  <si>
    <t>Sensor max output voltage</t>
  </si>
  <si>
    <t>Here the snesor output voltage is chosen, then the temperature is determined. Kind of reverse of the above.</t>
  </si>
  <si>
    <t>(Ω)</t>
  </si>
  <si>
    <t>Current through reference voltage divider</t>
  </si>
  <si>
    <t>Max power dissipated</t>
  </si>
  <si>
    <t>(aim for well under 0.125 W, from 209 slides)</t>
  </si>
  <si>
    <t>R_temp_low (-10°C)</t>
  </si>
  <si>
    <t>R_temp_high (70°C)</t>
  </si>
  <si>
    <t>Note: cap is rated from 2.5V to 3.8V</t>
  </si>
  <si>
    <t>5V *  Rb / (Ra + Rb)</t>
  </si>
  <si>
    <t>Ra</t>
  </si>
  <si>
    <t>Rb</t>
  </si>
  <si>
    <t>Low output</t>
  </si>
  <si>
    <t>Rf</t>
  </si>
  <si>
    <t>Ri</t>
  </si>
  <si>
    <t>kΩ</t>
  </si>
  <si>
    <t>Vsc_min</t>
  </si>
  <si>
    <t>Vsc_max</t>
  </si>
  <si>
    <t>(1 + Rf/Ri) * Vsc_min - Rf/Ri * Vos</t>
  </si>
  <si>
    <t>Vos (voltage across Rb)</t>
  </si>
  <si>
    <t>High output</t>
  </si>
  <si>
    <t>(1 + Rf/Ri) * Vsc_max - Rf/Ri * Vos</t>
  </si>
  <si>
    <t>Note: output calculations assume amplifier circuit has negligible loading on the voltage reference divider.</t>
  </si>
  <si>
    <t>Temperature (°C)</t>
  </si>
  <si>
    <t>Resistance (Ω)</t>
  </si>
  <si>
    <t>Output voltage (V)</t>
  </si>
  <si>
    <t>Grey resistance cells are linearly interpolated from adjacent resistances given in datasheet.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</si>
</sst>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E+00"/>
    <numFmt numFmtId="166" formatCode="0.000"/>
    <numFmt numFmtId="167" formatCode="0.0000E+00"/>
  </numFmts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Helvetica"/>
      <charset val="1"/>
    </font>
    <font>
      <b/>
      <sz val="16"/>
      <color theme="1"/>
      <name val="Calibri"/>
      <family val="2"/>
      <scheme val="minor"/>
    </font>
    <font>
      <b/>
      <sz val="16"/>
      <color rgb="FF242424"/>
      <name val="Calibri"/>
      <family val="2"/>
      <scheme val="minor"/>
    </font>
    <font>
      <sz val="18"/>
      <color theme="1"/>
      <name val="Calibri"/>
      <family val="2"/>
      <scheme val="minor"/>
    </font>
    <font>
      <sz val="17"/>
      <color rgb="FF000000"/>
      <name val="Helvetica"/>
      <charset val="1"/>
    </font>
    <font>
      <b/>
      <sz val="28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Aptos Narrow"/>
      <family val="2"/>
    </font>
    <font>
      <sz val="18"/>
      <color theme="1"/>
      <name val="Calibri"/>
      <family val="2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0" fontId="0" fillId="3" borderId="0" xfId="0" applyFill="1"/>
    <xf numFmtId="1" fontId="0" fillId="0" borderId="0" xfId="0" applyNumberForma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1450964</xdr:colOff>
      <xdr:row>14</xdr:row>
      <xdr:rowOff>307963</xdr:rowOff>
    </xdr:from>
    <xdr:to>
      <xdr:col>4</xdr:col>
      <xdr:colOff>103910</xdr:colOff>
      <xdr:row>30</xdr:row>
      <xdr:rowOff>281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B386D9-2BD7-471E-5C49-9D7ED902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964" y="8551418"/>
          <a:ext cx="9684628" cy="6889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9</xdr:row>
      <xdr:rowOff>0</xdr:rowOff>
    </xdr:from>
    <xdr:to>
      <xdr:col>7</xdr:col>
      <xdr:colOff>1790700</xdr:colOff>
      <xdr:row>19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C36A2F-BE78-B6F1-8A67-F7B46D62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6572250"/>
          <a:ext cx="11144250" cy="5734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4927A03D-9F93-A97F-DCAB-3B71BB6F1F75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330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D92EE29D-0911-5A22-D1F8-8A8FD971799E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962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333375</xdr:colOff>
      <xdr:row>0</xdr:row>
      <xdr:rowOff>1738312</xdr:rowOff>
    </xdr:from>
    <xdr:to>
      <xdr:col>25</xdr:col>
      <xdr:colOff>507999</xdr:colOff>
      <xdr:row>16</xdr:row>
      <xdr:rowOff>71436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EC82D-4E3B-0F52-EEFF-0687F3FE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2563" y="1738312"/>
          <a:ext cx="10699749" cy="8024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359550</xdr:colOff>
      <xdr:row>1</xdr:row>
      <xdr:rowOff>92850</xdr:rowOff>
    </xdr:from>
    <xdr:to>
      <xdr:col>39</xdr:col>
      <xdr:colOff>7125</xdr:colOff>
      <xdr:row>11</xdr:row>
      <xdr:rowOff>302400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5A5C0B-A9EE-BF20-75EF-01EF3DC6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9113" y="1997850"/>
          <a:ext cx="4600575" cy="4733925"/>
        </a:xfrm>
        <a:prstGeom prst="rect">
          <a:avLst/>
        </a:prstGeom>
      </xdr:spPr>
    </xdr:pic>
    <xdr:clientData/>
  </xdr:twoCellAnchor>
  <xdr:twoCellAnchor editAs="oneCell">
    <xdr:from>
      <xdr:col>14</xdr:col>
      <xdr:colOff>552450</xdr:colOff>
      <xdr:row>1</xdr:row>
      <xdr:rowOff>76200</xdr:rowOff>
    </xdr:from>
    <xdr:to>
      <xdr:col>31</xdr:col>
      <xdr:colOff>128588</xdr:colOff>
      <xdr:row>18</xdr:row>
      <xdr:rowOff>266699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28B648-1910-0276-5D8B-E83709E2A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6513" y="1981200"/>
          <a:ext cx="13101638" cy="7881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27709</xdr:colOff>
      <xdr:row>1</xdr:row>
      <xdr:rowOff>55418</xdr:rowOff>
    </xdr:from>
    <xdr:to>
      <xdr:col>17</xdr:col>
      <xdr:colOff>132484</xdr:colOff>
      <xdr:row>8</xdr:row>
      <xdr:rowOff>282286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09BFFD-8358-3974-9E54-9931187A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5309" y="1967345"/>
          <a:ext cx="6962775" cy="3829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110836</xdr:colOff>
      <xdr:row>0</xdr:row>
      <xdr:rowOff>1898073</xdr:rowOff>
    </xdr:from>
    <xdr:to>
      <xdr:col>17</xdr:col>
      <xdr:colOff>510886</xdr:colOff>
      <xdr:row>14</xdr:row>
      <xdr:rowOff>229466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FF338C-212C-9281-FBE3-BEBD0665B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8436" y="1898073"/>
          <a:ext cx="7258050" cy="6505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topLeftCell="A3" zoomScale="55" zoomScaleNormal="55" workbookViewId="0">
      <selection activeCell="D9" sqref="D9"/>
    </sheetView>
  </sheetViews>
  <sheetFormatPr defaultColWidth="9.140625" defaultRowHeight="35.25" customHeight="1" x14ac:dyDescent="0.25"/>
  <cols>
    <col min="1" max="1" width="40.7109375" style="2" customWidth="1"/>
    <col min="2" max="2" width="67.28515625" style="2" customWidth="1"/>
    <col min="3" max="3" width="38.7109375" style="2" customWidth="1"/>
    <col min="4" max="4" width="18.7109375" style="2" customWidth="1"/>
    <col min="5" max="7" width="9.140625" style="2"/>
    <col min="8" max="9" width="38.7109375" style="2" customWidth="1"/>
    <col min="10" max="10" width="18.7109375" style="2" customWidth="1"/>
    <col min="11" max="13" width="9.140625" style="2"/>
    <col min="14" max="14" width="47.7109375" style="2" customWidth="1"/>
    <col min="15" max="15" width="76.140625" style="2" customWidth="1"/>
    <col min="16" max="16" width="18.7109375" style="2" customWidth="1"/>
    <col min="17" max="16384" width="9.140625" style="2"/>
  </cols>
  <sheetData>
    <row r="1" spans="2:17" ht="150" customHeight="1" x14ac:dyDescent="0.25">
      <c r="B1" s="7"/>
    </row>
    <row r="2" spans="2:17" ht="35.25" customHeight="1" x14ac:dyDescent="0.25">
      <c r="B2" s="10" t="s">
        <v>0</v>
      </c>
      <c r="C2" s="10" t="s">
        <v>1</v>
      </c>
      <c r="D2" s="10" t="s">
        <v>2</v>
      </c>
      <c r="E2" s="10">
        <v>100</v>
      </c>
      <c r="F2" s="11"/>
      <c r="G2" s="10"/>
      <c r="H2" s="10" t="s">
        <v>3</v>
      </c>
      <c r="I2" s="10">
        <v>120</v>
      </c>
      <c r="J2" s="1"/>
      <c r="K2" s="1"/>
    </row>
    <row r="3" spans="2:17" ht="35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7" ht="73.5" customHeight="1" x14ac:dyDescent="0.35">
      <c r="B4" s="28"/>
      <c r="C4" s="28"/>
      <c r="D4" s="28"/>
      <c r="E4" s="28"/>
      <c r="F4" s="1"/>
      <c r="G4" s="1"/>
      <c r="H4" s="30" t="s">
        <v>4</v>
      </c>
      <c r="I4" s="31"/>
      <c r="J4" s="31"/>
      <c r="K4" s="31"/>
      <c r="N4" s="29" t="s">
        <v>5</v>
      </c>
      <c r="O4" s="29"/>
      <c r="P4" s="29"/>
      <c r="Q4" s="29"/>
    </row>
    <row r="5" spans="2:17" ht="35.25" customHeight="1" x14ac:dyDescent="0.25">
      <c r="B5" s="10" t="s">
        <v>6</v>
      </c>
      <c r="C5" s="10" t="s">
        <v>7</v>
      </c>
      <c r="D5" s="10" t="s">
        <v>8</v>
      </c>
      <c r="E5" s="10" t="s">
        <v>9</v>
      </c>
      <c r="F5" s="1"/>
      <c r="G5" s="1"/>
      <c r="H5" s="10" t="s">
        <v>6</v>
      </c>
      <c r="I5" s="10" t="s">
        <v>7</v>
      </c>
      <c r="J5" s="10" t="s">
        <v>8</v>
      </c>
      <c r="K5" s="10" t="s">
        <v>9</v>
      </c>
      <c r="N5" s="10" t="s">
        <v>6</v>
      </c>
      <c r="O5" s="10" t="s">
        <v>7</v>
      </c>
      <c r="P5" s="10" t="s">
        <v>8</v>
      </c>
      <c r="Q5" s="10" t="s">
        <v>9</v>
      </c>
    </row>
    <row r="6" spans="2:17" ht="35.25" customHeight="1" x14ac:dyDescent="0.25">
      <c r="B6" s="1" t="s">
        <v>10</v>
      </c>
      <c r="C6" s="1" t="s">
        <v>11</v>
      </c>
      <c r="D6" s="1">
        <v>3.5</v>
      </c>
      <c r="E6" s="3" t="s">
        <v>12</v>
      </c>
      <c r="F6" s="1"/>
      <c r="G6" s="1"/>
      <c r="H6" s="1" t="s">
        <v>13</v>
      </c>
      <c r="I6" s="1" t="s">
        <v>14</v>
      </c>
      <c r="J6" s="1">
        <f>D7*D10</f>
        <v>-1.7340000000000001E-2</v>
      </c>
      <c r="K6" s="1" t="s">
        <v>12</v>
      </c>
      <c r="N6" s="2" t="s">
        <v>15</v>
      </c>
      <c r="O6" s="2" t="s">
        <v>16</v>
      </c>
      <c r="P6" s="2">
        <f>POWER(D7,2)*D10</f>
        <v>4.4217000000000006E-3</v>
      </c>
      <c r="Q6" s="2" t="s">
        <v>17</v>
      </c>
    </row>
    <row r="7" spans="2:17" ht="35.25" customHeight="1" x14ac:dyDescent="0.25">
      <c r="B7" s="1" t="s">
        <v>18</v>
      </c>
      <c r="C7" s="1" t="s">
        <v>11</v>
      </c>
      <c r="D7" s="1">
        <v>-0.255</v>
      </c>
      <c r="E7" s="1" t="s">
        <v>19</v>
      </c>
      <c r="F7" s="1"/>
      <c r="G7" s="1"/>
      <c r="H7" s="1" t="s">
        <v>20</v>
      </c>
      <c r="I7" s="1" t="s">
        <v>21</v>
      </c>
      <c r="J7" s="1">
        <f>D8*D10</f>
        <v>1.7340000000000001E-2</v>
      </c>
      <c r="K7" s="1" t="s">
        <v>12</v>
      </c>
      <c r="N7" s="2" t="s">
        <v>22</v>
      </c>
      <c r="O7" s="2" t="s">
        <v>23</v>
      </c>
      <c r="P7" s="2">
        <f>POWER(D8,2)*D10</f>
        <v>4.4217000000000006E-3</v>
      </c>
      <c r="Q7" s="2" t="s">
        <v>17</v>
      </c>
    </row>
    <row r="8" spans="2:17" ht="35.25" customHeight="1" x14ac:dyDescent="0.25">
      <c r="B8" s="1" t="s">
        <v>24</v>
      </c>
      <c r="C8" s="1" t="s">
        <v>11</v>
      </c>
      <c r="D8" s="1">
        <v>0.255</v>
      </c>
      <c r="E8" s="1" t="s">
        <v>19</v>
      </c>
      <c r="F8" s="1"/>
      <c r="G8" s="1"/>
      <c r="H8" s="8" t="s">
        <v>25</v>
      </c>
      <c r="I8" s="8" t="s">
        <v>26</v>
      </c>
      <c r="J8" s="8">
        <f>E2*J6+D9</f>
        <v>0.76599999999999979</v>
      </c>
      <c r="K8" s="8" t="s">
        <v>12</v>
      </c>
      <c r="N8" s="2" t="s">
        <v>27</v>
      </c>
      <c r="O8" s="2" t="s">
        <v>28</v>
      </c>
      <c r="P8" s="2">
        <f>(J13 * 100)/(ABS(J7) * POWER(10, (I2 / 20)))</f>
        <v>2.0134544405997691E-2</v>
      </c>
      <c r="Q8" s="2" t="s">
        <v>29</v>
      </c>
    </row>
    <row r="9" spans="2:17" ht="35.25" customHeight="1" x14ac:dyDescent="0.25">
      <c r="B9" s="1" t="s">
        <v>30</v>
      </c>
      <c r="C9" s="1" t="s">
        <v>11</v>
      </c>
      <c r="D9" s="1">
        <v>2.5</v>
      </c>
      <c r="E9" s="1" t="s">
        <v>12</v>
      </c>
      <c r="F9" s="1"/>
      <c r="G9" s="1"/>
      <c r="H9" s="8" t="s">
        <v>31</v>
      </c>
      <c r="I9" s="8" t="s">
        <v>32</v>
      </c>
      <c r="J9" s="8">
        <f>E2*J7+D9</f>
        <v>4.234</v>
      </c>
      <c r="K9" s="8" t="s">
        <v>12</v>
      </c>
      <c r="N9" s="2" t="s">
        <v>33</v>
      </c>
      <c r="O9" s="2" t="s">
        <v>34</v>
      </c>
      <c r="P9" s="2">
        <f>(J14 * 100)/(ABS(J6) * POWER(10, (I2 / 20)))</f>
        <v>2.0234544405997694E-2</v>
      </c>
      <c r="Q9" s="2" t="s">
        <v>29</v>
      </c>
    </row>
    <row r="10" spans="2:17" ht="35.25" customHeight="1" x14ac:dyDescent="0.25">
      <c r="B10" s="1" t="s">
        <v>35</v>
      </c>
      <c r="C10" s="1" t="s">
        <v>11</v>
      </c>
      <c r="D10" s="1">
        <v>6.8000000000000005E-2</v>
      </c>
      <c r="E10" s="3" t="s">
        <v>36</v>
      </c>
      <c r="F10" s="1"/>
      <c r="G10" s="1"/>
      <c r="H10" s="2" t="s">
        <v>37</v>
      </c>
      <c r="I10" s="1" t="s">
        <v>38</v>
      </c>
      <c r="J10" s="1">
        <f>D6</f>
        <v>3.5</v>
      </c>
      <c r="K10" s="1" t="s">
        <v>12</v>
      </c>
    </row>
    <row r="11" spans="2:17" ht="35.25" customHeight="1" x14ac:dyDescent="0.25">
      <c r="B11" s="4"/>
      <c r="C11" s="4"/>
      <c r="D11" s="4"/>
      <c r="E11" s="4"/>
      <c r="H11" s="2" t="s">
        <v>39</v>
      </c>
      <c r="I11" s="1" t="s">
        <v>40</v>
      </c>
      <c r="J11" s="2">
        <f>D6 - J7</f>
        <v>3.4826600000000001</v>
      </c>
      <c r="K11" s="2" t="s">
        <v>12</v>
      </c>
    </row>
    <row r="12" spans="2:17" ht="35.25" customHeight="1" x14ac:dyDescent="0.25">
      <c r="B12" s="4"/>
      <c r="C12" s="4"/>
      <c r="D12" s="4"/>
      <c r="E12" s="4"/>
      <c r="H12" s="2" t="s">
        <v>41</v>
      </c>
      <c r="I12" s="1" t="s">
        <v>42</v>
      </c>
      <c r="J12" s="2">
        <f>D6 - J6</f>
        <v>3.5173399999999999</v>
      </c>
      <c r="K12" s="2" t="s">
        <v>12</v>
      </c>
    </row>
    <row r="13" spans="2:17" ht="35.25" customHeight="1" x14ac:dyDescent="0.25">
      <c r="H13" s="1" t="s">
        <v>43</v>
      </c>
      <c r="I13" s="2" t="s">
        <v>44</v>
      </c>
      <c r="J13" s="2">
        <f>(J10 + J11) / 2</f>
        <v>3.49133</v>
      </c>
      <c r="K13" s="2" t="s">
        <v>12</v>
      </c>
    </row>
    <row r="14" spans="2:17" ht="35.25" customHeight="1" x14ac:dyDescent="0.25">
      <c r="H14" s="2" t="s">
        <v>45</v>
      </c>
      <c r="I14" s="2" t="s">
        <v>46</v>
      </c>
      <c r="J14" s="2">
        <f>(J10 + J12) / 2</f>
        <v>3.50867</v>
      </c>
      <c r="K14" s="2" t="s">
        <v>12</v>
      </c>
    </row>
  </sheetData>
  <mergeCells count="3">
    <mergeCell ref="B4:E4"/>
    <mergeCell ref="N4:Q4"/>
    <mergeCell ref="H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2C88-472F-40E6-9BB7-0CE3D1C9A840}">
  <dimension ref="B1:Q17"/>
  <sheetViews>
    <sheetView zoomScale="55" zoomScaleNormal="55" workbookViewId="0">
      <selection activeCell="G6" sqref="G6"/>
    </sheetView>
  </sheetViews>
  <sheetFormatPr defaultRowHeight="35.25" customHeight="1" x14ac:dyDescent="0.25"/>
  <cols>
    <col min="1" max="1" width="40.7109375" style="5" customWidth="1"/>
    <col min="2" max="2" width="58.7109375" style="5" customWidth="1"/>
    <col min="3" max="3" width="33.85546875" style="5" customWidth="1"/>
    <col min="4" max="4" width="17.5703125" style="5" customWidth="1"/>
    <col min="5" max="5" width="9.7109375" style="5" customWidth="1"/>
    <col min="6" max="7" width="9.140625" style="5" customWidth="1"/>
    <col min="8" max="8" width="34.42578125" style="5" customWidth="1"/>
    <col min="9" max="9" width="40.85546875" style="5" customWidth="1"/>
    <col min="10" max="10" width="25.42578125" style="5" customWidth="1"/>
    <col min="11" max="11" width="9.7109375" style="5" customWidth="1"/>
    <col min="12" max="13" width="9.140625" style="5" customWidth="1"/>
    <col min="14" max="14" width="34.42578125" style="5" customWidth="1"/>
    <col min="15" max="15" width="52.85546875" style="5" customWidth="1"/>
    <col min="16" max="16" width="17.5703125" style="5" customWidth="1"/>
    <col min="17" max="17" width="34.42578125" style="5" customWidth="1"/>
    <col min="18" max="16380" width="9.140625" style="5" customWidth="1"/>
    <col min="16381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57.75" customHeight="1" x14ac:dyDescent="0.25">
      <c r="B2" s="10" t="s">
        <v>47</v>
      </c>
      <c r="C2" s="12" t="s">
        <v>48</v>
      </c>
      <c r="D2" s="1"/>
      <c r="E2" s="1"/>
      <c r="F2" s="1"/>
      <c r="G2" s="1"/>
      <c r="H2" s="10" t="s">
        <v>49</v>
      </c>
      <c r="I2" s="1" t="s">
        <v>50</v>
      </c>
      <c r="J2" s="1"/>
      <c r="K2" s="1"/>
      <c r="L2" s="1"/>
      <c r="M2" s="1"/>
      <c r="N2" s="1"/>
      <c r="O2" s="1"/>
      <c r="P2" s="1"/>
      <c r="Q2" s="1"/>
    </row>
    <row r="4" spans="2:17" ht="35.25" customHeight="1" x14ac:dyDescent="0.25">
      <c r="B4" s="10" t="s">
        <v>6</v>
      </c>
      <c r="C4" s="10" t="s">
        <v>7</v>
      </c>
      <c r="D4" s="10" t="s">
        <v>8</v>
      </c>
      <c r="E4" s="10" t="s">
        <v>9</v>
      </c>
      <c r="F4" s="1"/>
      <c r="G4" s="1"/>
      <c r="H4" s="10" t="s">
        <v>6</v>
      </c>
      <c r="I4" s="10" t="s">
        <v>7</v>
      </c>
      <c r="J4" s="10" t="s">
        <v>8</v>
      </c>
      <c r="K4" s="10" t="s">
        <v>9</v>
      </c>
      <c r="L4" s="1"/>
      <c r="M4" s="1"/>
      <c r="N4" s="10" t="s">
        <v>6</v>
      </c>
      <c r="O4" s="10" t="s">
        <v>7</v>
      </c>
      <c r="P4" s="10" t="s">
        <v>8</v>
      </c>
      <c r="Q4" s="10" t="s">
        <v>9</v>
      </c>
    </row>
    <row r="5" spans="2:17" ht="69.75" customHeight="1" x14ac:dyDescent="0.25">
      <c r="B5" s="1" t="s">
        <v>51</v>
      </c>
      <c r="C5" s="1" t="s">
        <v>11</v>
      </c>
      <c r="D5" s="1">
        <v>5</v>
      </c>
      <c r="E5" s="1" t="s">
        <v>12</v>
      </c>
      <c r="F5" s="1"/>
      <c r="G5" s="1"/>
      <c r="H5" s="1" t="s">
        <v>52</v>
      </c>
      <c r="I5" s="9" t="s">
        <v>53</v>
      </c>
      <c r="J5" s="13">
        <f>(D5*D8) / (D8 + D6)</f>
        <v>0.77427888069098993</v>
      </c>
      <c r="K5" s="1" t="s">
        <v>12</v>
      </c>
      <c r="L5" s="1"/>
      <c r="M5" s="1"/>
      <c r="N5" s="1" t="s">
        <v>54</v>
      </c>
      <c r="O5" s="1" t="s">
        <v>55</v>
      </c>
      <c r="P5" s="25">
        <f>POWER(J7,2)*(D5+D7)</f>
        <v>3.3903900917282403E-4</v>
      </c>
      <c r="Q5" s="1" t="s">
        <v>17</v>
      </c>
    </row>
    <row r="6" spans="2:17" ht="69.75" customHeight="1" x14ac:dyDescent="0.25">
      <c r="B6" s="1" t="s">
        <v>56</v>
      </c>
      <c r="C6" s="9" t="s">
        <v>57</v>
      </c>
      <c r="D6" s="1">
        <v>10000</v>
      </c>
      <c r="E6" s="6" t="s">
        <v>36</v>
      </c>
      <c r="F6" s="1"/>
      <c r="G6" s="1"/>
      <c r="H6" s="1" t="s">
        <v>58</v>
      </c>
      <c r="I6" s="9" t="s">
        <v>59</v>
      </c>
      <c r="J6" s="13">
        <f>(D5*D7) / (D7 + D6)</f>
        <v>4.1911348378225348</v>
      </c>
      <c r="K6" s="1" t="s">
        <v>12</v>
      </c>
      <c r="L6" s="1"/>
      <c r="M6" s="1"/>
      <c r="N6" s="1" t="s">
        <v>60</v>
      </c>
      <c r="O6" s="1" t="s">
        <v>61</v>
      </c>
      <c r="P6" s="25">
        <f>POWER(J8, 2) * (D6+D8)</f>
        <v>2.1128605596545053E-3</v>
      </c>
      <c r="Q6" s="1" t="s">
        <v>17</v>
      </c>
    </row>
    <row r="7" spans="2:17" ht="35.25" customHeight="1" x14ac:dyDescent="0.25">
      <c r="B7" s="1" t="s">
        <v>126</v>
      </c>
      <c r="C7" s="1" t="s">
        <v>62</v>
      </c>
      <c r="D7" s="1">
        <v>51815</v>
      </c>
      <c r="E7" s="6" t="s">
        <v>36</v>
      </c>
      <c r="F7" s="1"/>
      <c r="G7" s="1"/>
      <c r="H7" s="1" t="s">
        <v>63</v>
      </c>
      <c r="I7" s="1" t="s">
        <v>64</v>
      </c>
      <c r="J7" s="13">
        <f>D5 / (D7 + D6)</f>
        <v>8.0886516217746498E-5</v>
      </c>
      <c r="K7" s="1" t="s">
        <v>19</v>
      </c>
      <c r="L7" s="1"/>
      <c r="M7" s="1"/>
      <c r="N7" s="1"/>
      <c r="O7" s="1"/>
      <c r="P7" s="1"/>
      <c r="Q7" s="1"/>
    </row>
    <row r="8" spans="2:17" ht="35.25" customHeight="1" x14ac:dyDescent="0.25">
      <c r="B8" s="1" t="s">
        <v>127</v>
      </c>
      <c r="C8" s="1" t="s">
        <v>62</v>
      </c>
      <c r="D8" s="1">
        <v>1832.3</v>
      </c>
      <c r="E8" s="1" t="s">
        <v>36</v>
      </c>
      <c r="F8" s="1"/>
      <c r="G8" s="1"/>
      <c r="H8" s="1" t="s">
        <v>65</v>
      </c>
      <c r="I8" s="1" t="s">
        <v>66</v>
      </c>
      <c r="J8" s="13">
        <f>D5 / (D8 + D6)</f>
        <v>4.2257211193090104E-4</v>
      </c>
      <c r="K8" s="1" t="s">
        <v>19</v>
      </c>
      <c r="L8" s="1"/>
      <c r="M8" s="1"/>
      <c r="N8" s="1"/>
      <c r="O8" s="1"/>
      <c r="P8" s="1"/>
      <c r="Q8" s="1"/>
    </row>
    <row r="9" spans="2:17" ht="35.25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35.25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/>
      <c r="O10" s="10"/>
      <c r="P10" s="10"/>
      <c r="Q10" s="10"/>
    </row>
    <row r="11" spans="2:17" ht="99.6" customHeight="1" x14ac:dyDescent="0.25">
      <c r="N11" s="32" t="s">
        <v>121</v>
      </c>
      <c r="O11" s="32"/>
      <c r="P11" s="32"/>
      <c r="Q11" s="32"/>
    </row>
    <row r="12" spans="2:17" ht="35.25" customHeight="1" x14ac:dyDescent="0.25">
      <c r="N12" s="10" t="s">
        <v>6</v>
      </c>
      <c r="O12" s="10" t="s">
        <v>7</v>
      </c>
      <c r="P12" s="10" t="s">
        <v>8</v>
      </c>
      <c r="Q12" s="10" t="s">
        <v>9</v>
      </c>
    </row>
    <row r="13" spans="2:17" ht="35.25" customHeight="1" x14ac:dyDescent="0.25">
      <c r="N13" s="1" t="s">
        <v>51</v>
      </c>
      <c r="O13" s="1" t="s">
        <v>118</v>
      </c>
      <c r="P13" s="5">
        <v>5</v>
      </c>
      <c r="Q13" s="1" t="s">
        <v>12</v>
      </c>
    </row>
    <row r="14" spans="2:17" ht="35.25" customHeight="1" x14ac:dyDescent="0.25">
      <c r="N14" s="1" t="s">
        <v>56</v>
      </c>
      <c r="O14" s="1" t="s">
        <v>11</v>
      </c>
      <c r="P14" s="5">
        <v>10000</v>
      </c>
    </row>
    <row r="15" spans="2:17" ht="35.25" customHeight="1" x14ac:dyDescent="0.25">
      <c r="N15" s="1" t="s">
        <v>114</v>
      </c>
      <c r="O15" s="1" t="s">
        <v>119</v>
      </c>
      <c r="P15" s="5">
        <v>10000</v>
      </c>
      <c r="Q15" s="5" t="s">
        <v>36</v>
      </c>
    </row>
    <row r="16" spans="2:17" ht="34.9" customHeight="1" x14ac:dyDescent="0.25">
      <c r="I16" s="1"/>
      <c r="N16" s="1" t="s">
        <v>113</v>
      </c>
      <c r="O16" s="1" t="s">
        <v>120</v>
      </c>
      <c r="P16" s="5">
        <v>4.5</v>
      </c>
      <c r="Q16" s="1" t="s">
        <v>12</v>
      </c>
    </row>
    <row r="17" spans="14:17" ht="72.599999999999994" customHeight="1" x14ac:dyDescent="0.25">
      <c r="N17" s="1" t="s">
        <v>115</v>
      </c>
      <c r="O17" s="24" t="s">
        <v>116</v>
      </c>
      <c r="P17" s="5">
        <f>(-1*P16*P14)/(P15*(P16-P13))</f>
        <v>9</v>
      </c>
      <c r="Q17" s="9" t="s">
        <v>117</v>
      </c>
    </row>
  </sheetData>
  <mergeCells count="1">
    <mergeCell ref="N11:Q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C968-61FF-4F4E-9D6C-A1C9337DEECD}">
  <dimension ref="B1:Q17"/>
  <sheetViews>
    <sheetView zoomScale="40" zoomScaleNormal="40" workbookViewId="0">
      <selection activeCell="E54" sqref="E54"/>
    </sheetView>
  </sheetViews>
  <sheetFormatPr defaultColWidth="9.140625" defaultRowHeight="35.25" customHeight="1" x14ac:dyDescent="0.25"/>
  <cols>
    <col min="1" max="1" width="40.7109375" style="5" customWidth="1"/>
    <col min="2" max="2" width="58.7109375" style="5" customWidth="1"/>
    <col min="3" max="3" width="68.85546875" style="5" customWidth="1"/>
    <col min="4" max="4" width="17.5703125" style="5" customWidth="1"/>
    <col min="5" max="5" width="9.7109375" style="5" customWidth="1"/>
    <col min="6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35.25" customHeight="1" x14ac:dyDescent="0.25">
      <c r="B2" s="10" t="s">
        <v>6</v>
      </c>
      <c r="C2" s="10" t="s">
        <v>7</v>
      </c>
      <c r="D2" s="10" t="s">
        <v>8</v>
      </c>
      <c r="E2" s="10" t="s">
        <v>9</v>
      </c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</row>
    <row r="3" spans="2:17" ht="75" customHeight="1" x14ac:dyDescent="0.25">
      <c r="B3" s="1" t="s">
        <v>136</v>
      </c>
      <c r="C3" s="9" t="s">
        <v>90</v>
      </c>
      <c r="D3" s="5">
        <v>2.65</v>
      </c>
      <c r="E3" s="1" t="s">
        <v>12</v>
      </c>
    </row>
    <row r="4" spans="2:17" ht="75" customHeight="1" x14ac:dyDescent="0.25">
      <c r="B4" s="1" t="s">
        <v>137</v>
      </c>
      <c r="C4" s="9" t="s">
        <v>91</v>
      </c>
      <c r="D4" s="1">
        <v>3.65</v>
      </c>
      <c r="E4" s="1" t="s">
        <v>12</v>
      </c>
      <c r="F4"/>
      <c r="G4" s="1"/>
      <c r="H4" s="10"/>
      <c r="I4" s="10"/>
      <c r="J4" s="10"/>
      <c r="K4" s="10"/>
      <c r="L4" s="1"/>
      <c r="M4" s="1"/>
      <c r="N4" s="10"/>
      <c r="O4" s="10"/>
      <c r="P4" s="10"/>
      <c r="Q4" s="10"/>
    </row>
    <row r="5" spans="2:17" ht="35.25" customHeight="1" x14ac:dyDescent="0.25">
      <c r="B5" s="1" t="s">
        <v>128</v>
      </c>
      <c r="C5" s="1"/>
      <c r="D5" s="1"/>
      <c r="E5" s="1"/>
      <c r="F5" s="1"/>
      <c r="G5" s="1"/>
      <c r="H5" s="1"/>
      <c r="I5" s="9"/>
      <c r="J5" s="13"/>
      <c r="K5" s="1"/>
      <c r="L5" s="1"/>
      <c r="M5" s="1"/>
      <c r="N5" s="1"/>
      <c r="O5" s="1"/>
      <c r="P5" s="14"/>
      <c r="Q5" s="1"/>
    </row>
    <row r="6" spans="2:17" ht="35.25" customHeight="1" x14ac:dyDescent="0.25">
      <c r="B6" s="1"/>
      <c r="C6" s="9"/>
      <c r="D6" s="1"/>
      <c r="E6" s="6"/>
      <c r="F6" s="1"/>
      <c r="G6" s="1"/>
      <c r="H6" s="1"/>
      <c r="I6" s="9"/>
      <c r="J6" s="13"/>
      <c r="K6" s="1"/>
      <c r="L6" s="1"/>
      <c r="M6" s="1"/>
      <c r="N6" s="1"/>
      <c r="O6" s="1"/>
      <c r="P6" s="14"/>
      <c r="Q6" s="1"/>
    </row>
    <row r="7" spans="2:17" ht="35.25" customHeight="1" x14ac:dyDescent="0.25">
      <c r="B7" s="1" t="s">
        <v>130</v>
      </c>
      <c r="D7" s="5">
        <v>560</v>
      </c>
      <c r="E7" s="1" t="s">
        <v>36</v>
      </c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</row>
    <row r="8" spans="2:17" ht="35.25" customHeight="1" x14ac:dyDescent="0.25">
      <c r="B8" s="1" t="s">
        <v>131</v>
      </c>
      <c r="C8" s="1"/>
      <c r="D8" s="1">
        <v>1200</v>
      </c>
      <c r="E8" s="1" t="s">
        <v>36</v>
      </c>
      <c r="F8" s="1"/>
      <c r="G8" s="1"/>
      <c r="H8" s="1"/>
      <c r="I8" s="1"/>
      <c r="J8" s="13"/>
      <c r="K8" s="1"/>
      <c r="L8" s="1"/>
      <c r="M8" s="1"/>
      <c r="N8" s="1"/>
      <c r="O8" s="1"/>
      <c r="P8" s="1"/>
      <c r="Q8" s="1"/>
    </row>
    <row r="9" spans="2:17" ht="35.25" customHeight="1" x14ac:dyDescent="0.25">
      <c r="B9" s="1" t="s">
        <v>139</v>
      </c>
      <c r="C9" s="1" t="s">
        <v>129</v>
      </c>
      <c r="D9" s="1">
        <f>5*D8/(D8+D7)</f>
        <v>3.4090909090909092</v>
      </c>
      <c r="E9" s="6" t="s">
        <v>12</v>
      </c>
    </row>
    <row r="11" spans="2:17" ht="35.25" customHeight="1" x14ac:dyDescent="0.25">
      <c r="B11" s="1" t="s">
        <v>133</v>
      </c>
      <c r="D11" s="5">
        <v>82</v>
      </c>
      <c r="E11" s="1" t="s">
        <v>135</v>
      </c>
    </row>
    <row r="12" spans="2:17" ht="35.25" customHeight="1" x14ac:dyDescent="0.25">
      <c r="B12" s="1" t="s">
        <v>134</v>
      </c>
      <c r="D12" s="5">
        <v>33</v>
      </c>
      <c r="E12" s="1" t="s">
        <v>135</v>
      </c>
    </row>
    <row r="13" spans="2:17" ht="35.25" customHeight="1" x14ac:dyDescent="0.25">
      <c r="B13" s="1" t="s">
        <v>132</v>
      </c>
      <c r="C13" s="1" t="s">
        <v>138</v>
      </c>
      <c r="D13" s="5">
        <f>(1+D11/D12)*D3-D11/D12*D9</f>
        <v>0.76377410468319518</v>
      </c>
      <c r="E13" s="1" t="s">
        <v>12</v>
      </c>
    </row>
    <row r="14" spans="2:17" ht="35.25" customHeight="1" x14ac:dyDescent="0.25">
      <c r="B14" s="1" t="s">
        <v>140</v>
      </c>
      <c r="C14" s="1" t="s">
        <v>141</v>
      </c>
      <c r="D14" s="5">
        <f>(1+D11/D12)*D4-D11/D12*D9</f>
        <v>4.2486225895316796</v>
      </c>
      <c r="E14" s="1" t="s">
        <v>12</v>
      </c>
    </row>
    <row r="15" spans="2:17" ht="35.25" customHeight="1" x14ac:dyDescent="0.25">
      <c r="B15" s="33" t="s">
        <v>142</v>
      </c>
    </row>
    <row r="16" spans="2:17" ht="35.25" customHeight="1" x14ac:dyDescent="0.25">
      <c r="B16" s="33"/>
    </row>
    <row r="17" spans="2:6" ht="35.25" customHeight="1" x14ac:dyDescent="0.25">
      <c r="B17" s="33"/>
      <c r="F17"/>
    </row>
  </sheetData>
  <mergeCells count="1">
    <mergeCell ref="B15:B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F59B-30C5-40B9-A90E-89A9AC3DA184}">
  <dimension ref="A1:S22"/>
  <sheetViews>
    <sheetView zoomScale="70" zoomScaleNormal="70" workbookViewId="0">
      <selection activeCell="G20" sqref="G20"/>
    </sheetView>
  </sheetViews>
  <sheetFormatPr defaultColWidth="9.140625" defaultRowHeight="35.25" customHeight="1" x14ac:dyDescent="0.25"/>
  <cols>
    <col min="1" max="1" width="40.7109375" style="5" customWidth="1"/>
    <col min="2" max="20" width="16.7109375" style="5" customWidth="1"/>
    <col min="21" max="16384" width="9.140625" style="5"/>
  </cols>
  <sheetData>
    <row r="1" spans="1:19" ht="150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35.25" customHeight="1" x14ac:dyDescent="0.25">
      <c r="B2" s="34" t="s">
        <v>68</v>
      </c>
      <c r="C2" s="34"/>
      <c r="D2" s="34" t="s">
        <v>69</v>
      </c>
      <c r="E2" s="34"/>
      <c r="F2" s="34" t="s">
        <v>70</v>
      </c>
      <c r="G2" s="34"/>
      <c r="H2" s="10"/>
      <c r="I2" s="34" t="s">
        <v>80</v>
      </c>
      <c r="J2" s="34"/>
      <c r="K2" s="34"/>
      <c r="L2" s="34"/>
    </row>
    <row r="3" spans="1:19" ht="35.25" customHeight="1" x14ac:dyDescent="0.25">
      <c r="B3" s="10" t="s">
        <v>67</v>
      </c>
      <c r="C3" s="10" t="s">
        <v>71</v>
      </c>
      <c r="D3" s="10" t="s">
        <v>67</v>
      </c>
      <c r="E3" s="10" t="s">
        <v>71</v>
      </c>
      <c r="F3" s="10" t="s">
        <v>67</v>
      </c>
      <c r="G3" s="10" t="s">
        <v>71</v>
      </c>
      <c r="I3" s="34" t="s">
        <v>67</v>
      </c>
      <c r="J3" s="34"/>
      <c r="K3" s="34" t="s">
        <v>71</v>
      </c>
      <c r="L3" s="34"/>
    </row>
    <row r="4" spans="1:19" ht="35.25" customHeight="1" x14ac:dyDescent="0.25">
      <c r="A4" s="1" t="s">
        <v>72</v>
      </c>
      <c r="B4" s="1">
        <v>4.25</v>
      </c>
      <c r="C4" s="1">
        <v>0.75</v>
      </c>
      <c r="D4" s="1">
        <v>4.25</v>
      </c>
      <c r="E4" s="1">
        <v>0.75</v>
      </c>
      <c r="F4" s="1">
        <v>4.25</v>
      </c>
      <c r="G4" s="1">
        <v>0.75</v>
      </c>
      <c r="H4" s="10"/>
      <c r="I4" s="1" t="s">
        <v>75</v>
      </c>
      <c r="J4" s="1" t="s">
        <v>76</v>
      </c>
      <c r="K4" s="1" t="s">
        <v>77</v>
      </c>
      <c r="L4" s="1" t="s">
        <v>78</v>
      </c>
    </row>
    <row r="5" spans="1:19" ht="35.25" customHeight="1" x14ac:dyDescent="0.25">
      <c r="A5" s="1" t="s">
        <v>73</v>
      </c>
      <c r="B5" s="18">
        <f>5*C11/(B11+C11)</f>
        <v>4.25</v>
      </c>
      <c r="C5" s="18">
        <f>5*E11/(D11+E11)</f>
        <v>0.75</v>
      </c>
      <c r="D5" s="18">
        <f>5*G11/(F11+G11)</f>
        <v>4.25</v>
      </c>
      <c r="E5" s="18">
        <f>5*I11/(H11+I11)</f>
        <v>0.75</v>
      </c>
      <c r="F5" s="18">
        <f>5*K11/(J11+K11)</f>
        <v>4.25</v>
      </c>
      <c r="G5" s="18">
        <f>5*M11/(L11+M11)</f>
        <v>0.75</v>
      </c>
      <c r="H5" s="1"/>
      <c r="I5" s="1" t="s">
        <v>50</v>
      </c>
      <c r="J5" s="1" t="s">
        <v>79</v>
      </c>
      <c r="K5" s="1" t="s">
        <v>50</v>
      </c>
      <c r="L5" s="1" t="s">
        <v>79</v>
      </c>
    </row>
    <row r="6" spans="1:19" ht="35.25" customHeight="1" x14ac:dyDescent="0.25">
      <c r="B6" s="1"/>
      <c r="C6" s="9"/>
      <c r="D6" s="1"/>
      <c r="E6" s="6"/>
      <c r="F6" s="1"/>
      <c r="G6" s="1"/>
      <c r="H6" s="1"/>
      <c r="K6" s="1"/>
      <c r="L6" s="1"/>
      <c r="M6" s="1"/>
      <c r="N6" s="1"/>
      <c r="O6" s="1"/>
      <c r="P6" s="14"/>
      <c r="Q6" s="1"/>
      <c r="R6" s="1"/>
      <c r="S6" s="1"/>
    </row>
    <row r="7" spans="1:19" ht="35.25" customHeight="1" x14ac:dyDescent="0.25">
      <c r="B7" s="1"/>
      <c r="C7" s="1"/>
      <c r="D7" s="1"/>
      <c r="E7" s="6"/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  <c r="R7" s="1"/>
      <c r="S7" s="1"/>
    </row>
    <row r="8" spans="1:19" ht="35.25" customHeight="1" x14ac:dyDescent="0.25">
      <c r="B8" s="34" t="s">
        <v>68</v>
      </c>
      <c r="C8" s="34"/>
      <c r="D8" s="34"/>
      <c r="E8" s="34"/>
      <c r="F8" s="34" t="s">
        <v>69</v>
      </c>
      <c r="G8" s="34"/>
      <c r="H8" s="34"/>
      <c r="I8" s="34"/>
      <c r="J8" s="34" t="s">
        <v>70</v>
      </c>
      <c r="K8" s="34"/>
      <c r="L8" s="34"/>
      <c r="M8" s="34"/>
      <c r="N8" s="1"/>
      <c r="O8" s="1"/>
      <c r="P8" s="1"/>
      <c r="Q8" s="1"/>
      <c r="R8" s="1"/>
      <c r="S8" s="1"/>
    </row>
    <row r="9" spans="1:19" ht="35.25" customHeight="1" x14ac:dyDescent="0.25">
      <c r="B9" s="34" t="s">
        <v>67</v>
      </c>
      <c r="C9" s="34"/>
      <c r="D9" s="34" t="s">
        <v>71</v>
      </c>
      <c r="E9" s="34"/>
      <c r="F9" s="34" t="s">
        <v>67</v>
      </c>
      <c r="G9" s="34"/>
      <c r="H9" s="34" t="s">
        <v>71</v>
      </c>
      <c r="I9" s="34"/>
      <c r="J9" s="34" t="s">
        <v>67</v>
      </c>
      <c r="K9" s="34"/>
      <c r="L9" s="34" t="s">
        <v>71</v>
      </c>
      <c r="M9" s="34"/>
    </row>
    <row r="10" spans="1:19" ht="35.25" customHeight="1" x14ac:dyDescent="0.25">
      <c r="B10" s="1" t="s">
        <v>56</v>
      </c>
      <c r="C10" s="1" t="s">
        <v>74</v>
      </c>
      <c r="D10" s="1" t="s">
        <v>56</v>
      </c>
      <c r="E10" s="1" t="s">
        <v>74</v>
      </c>
      <c r="F10" s="1" t="s">
        <v>56</v>
      </c>
      <c r="G10" s="1" t="s">
        <v>74</v>
      </c>
      <c r="H10" s="1" t="s">
        <v>56</v>
      </c>
      <c r="I10" s="1" t="s">
        <v>74</v>
      </c>
      <c r="J10" s="1" t="s">
        <v>56</v>
      </c>
      <c r="K10" s="1" t="s">
        <v>74</v>
      </c>
      <c r="L10" s="1" t="s">
        <v>56</v>
      </c>
      <c r="M10" s="1" t="s">
        <v>74</v>
      </c>
    </row>
    <row r="11" spans="1:19" ht="35.25" customHeight="1" x14ac:dyDescent="0.25">
      <c r="A11" s="1" t="s">
        <v>73</v>
      </c>
      <c r="B11" s="17">
        <v>120</v>
      </c>
      <c r="C11" s="18">
        <v>680</v>
      </c>
      <c r="D11" s="18">
        <v>680</v>
      </c>
      <c r="E11" s="18">
        <v>120</v>
      </c>
      <c r="F11" s="17">
        <v>120</v>
      </c>
      <c r="G11" s="18">
        <v>680</v>
      </c>
      <c r="H11" s="18">
        <v>680</v>
      </c>
      <c r="I11" s="18">
        <v>120</v>
      </c>
      <c r="J11" s="17">
        <v>120</v>
      </c>
      <c r="K11" s="18">
        <v>680</v>
      </c>
      <c r="L11" s="18">
        <v>680</v>
      </c>
      <c r="M11" s="18">
        <v>120</v>
      </c>
      <c r="N11" s="1" t="s">
        <v>122</v>
      </c>
    </row>
    <row r="13" spans="1:19" ht="35.25" customHeight="1" x14ac:dyDescent="0.25">
      <c r="C13" s="21" t="s">
        <v>123</v>
      </c>
      <c r="D13" s="5">
        <f>5/(B11+C11)</f>
        <v>6.2500000000000003E-3</v>
      </c>
      <c r="E13" s="1" t="s">
        <v>19</v>
      </c>
    </row>
    <row r="14" spans="1:19" ht="35.25" customHeight="1" x14ac:dyDescent="0.25">
      <c r="C14" s="21" t="s">
        <v>124</v>
      </c>
      <c r="D14" s="5">
        <f>D13^2*C11</f>
        <v>2.6562500000000006E-2</v>
      </c>
      <c r="E14" s="1" t="s">
        <v>17</v>
      </c>
      <c r="F14" s="20" t="s">
        <v>125</v>
      </c>
    </row>
    <row r="18" spans="2:8" ht="35.25" customHeight="1" x14ac:dyDescent="0.25">
      <c r="B18" s="34" t="s">
        <v>68</v>
      </c>
      <c r="C18" s="34"/>
      <c r="D18" s="34" t="s">
        <v>69</v>
      </c>
      <c r="E18" s="34"/>
      <c r="F18" s="34" t="s">
        <v>70</v>
      </c>
      <c r="G18" s="34"/>
    </row>
    <row r="19" spans="2:8" ht="35.25" customHeight="1" x14ac:dyDescent="0.25"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99</v>
      </c>
    </row>
    <row r="20" spans="2:8" ht="35.25" customHeight="1" x14ac:dyDescent="0.25">
      <c r="B20" s="5">
        <f>(C5-2.5)/(100*0.068)</f>
        <v>-0.25735294117647056</v>
      </c>
      <c r="C20" s="5">
        <f>(B5-2.5)/(100*0.068)</f>
        <v>0.25735294117647056</v>
      </c>
      <c r="D20" s="19">
        <f>(E5+'Voltage Sensor'!D11/'Voltage Sensor'!D12*'Voltage Sensor'!D9)/(1+'Voltage Sensor'!D11/'Voltage Sensor'!D12)</f>
        <v>2.6460474308300395</v>
      </c>
      <c r="E20" s="19">
        <f>(D5+'Voltage Sensor'!D11/'Voltage Sensor'!D12*'Voltage Sensor'!D9)/(1+'Voltage Sensor'!D11/'Voltage Sensor'!D12)</f>
        <v>3.6503952569169962</v>
      </c>
      <c r="F20" s="5">
        <f>10000*G5/(5-G5)</f>
        <v>1764.7058823529412</v>
      </c>
      <c r="G20" s="5">
        <f>10000*F5/(5-F5)</f>
        <v>56666.666666666664</v>
      </c>
    </row>
    <row r="21" spans="2:8" ht="35.25" customHeight="1" x14ac:dyDescent="0.25">
      <c r="F21" s="1" t="s">
        <v>100</v>
      </c>
      <c r="G21" s="1" t="s">
        <v>101</v>
      </c>
    </row>
    <row r="22" spans="2:8" ht="35.25" customHeight="1" x14ac:dyDescent="0.25">
      <c r="F22" s="5">
        <v>66.3</v>
      </c>
      <c r="G22" s="5">
        <v>-8</v>
      </c>
      <c r="H22" s="20" t="s">
        <v>102</v>
      </c>
    </row>
  </sheetData>
  <mergeCells count="18">
    <mergeCell ref="B18:C18"/>
    <mergeCell ref="D18:E18"/>
    <mergeCell ref="F18:G18"/>
    <mergeCell ref="B2:C2"/>
    <mergeCell ref="D2:E2"/>
    <mergeCell ref="F2:G2"/>
    <mergeCell ref="I2:L2"/>
    <mergeCell ref="I3:J3"/>
    <mergeCell ref="K3:L3"/>
    <mergeCell ref="J8:M8"/>
    <mergeCell ref="B9:C9"/>
    <mergeCell ref="B8:E8"/>
    <mergeCell ref="D9:E9"/>
    <mergeCell ref="F8:I8"/>
    <mergeCell ref="F9:G9"/>
    <mergeCell ref="H9:I9"/>
    <mergeCell ref="J9:K9"/>
    <mergeCell ref="L9:M9"/>
  </mergeCells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2E54-9BDB-4BF6-80B7-49457B01E1DD}">
  <dimension ref="B1:Q11"/>
  <sheetViews>
    <sheetView zoomScale="55" zoomScaleNormal="55" workbookViewId="0">
      <selection activeCell="B8" sqref="B8"/>
    </sheetView>
  </sheetViews>
  <sheetFormatPr defaultColWidth="9.140625" defaultRowHeight="35.25" customHeight="1" x14ac:dyDescent="0.25"/>
  <cols>
    <col min="1" max="1" width="40.7109375" style="5" customWidth="1"/>
    <col min="2" max="2" width="34.42578125" style="5" customWidth="1"/>
    <col min="3" max="3" width="52.85546875" style="5" customWidth="1"/>
    <col min="4" max="4" width="17.5703125" style="5" customWidth="1"/>
    <col min="5" max="5" width="9.7109375" style="5" customWidth="1"/>
    <col min="6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35.25" customHeight="1" x14ac:dyDescent="0.25">
      <c r="B2" s="10" t="s">
        <v>6</v>
      </c>
      <c r="C2" s="10" t="s">
        <v>7</v>
      </c>
      <c r="D2" s="10" t="s">
        <v>8</v>
      </c>
      <c r="E2" s="10" t="s">
        <v>9</v>
      </c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</row>
    <row r="3" spans="2:17" ht="73.900000000000006" customHeight="1" x14ac:dyDescent="0.25">
      <c r="B3" s="1" t="s">
        <v>83</v>
      </c>
      <c r="C3" s="9" t="s">
        <v>85</v>
      </c>
      <c r="D3" s="5">
        <v>16000</v>
      </c>
      <c r="E3" s="1" t="s">
        <v>84</v>
      </c>
    </row>
    <row r="4" spans="2:17" ht="35.25" customHeight="1" x14ac:dyDescent="0.25">
      <c r="B4" s="1" t="s">
        <v>86</v>
      </c>
      <c r="C4" s="1" t="s">
        <v>87</v>
      </c>
      <c r="D4" s="5">
        <f>D3 / 2</f>
        <v>8000</v>
      </c>
      <c r="E4" s="1" t="s">
        <v>84</v>
      </c>
      <c r="F4" s="1"/>
      <c r="G4" s="1"/>
      <c r="H4" s="10"/>
      <c r="I4" s="10"/>
      <c r="J4" s="10"/>
      <c r="K4" s="10"/>
      <c r="L4" s="1"/>
      <c r="M4" s="1"/>
      <c r="N4" s="10"/>
      <c r="O4" s="10"/>
      <c r="P4" s="10"/>
      <c r="Q4" s="10"/>
    </row>
    <row r="5" spans="2:17" ht="35.25" customHeight="1" x14ac:dyDescent="0.25">
      <c r="B5" s="1" t="s">
        <v>56</v>
      </c>
      <c r="C5" s="1" t="s">
        <v>11</v>
      </c>
      <c r="D5" s="5">
        <v>4700</v>
      </c>
      <c r="E5" s="1" t="s">
        <v>36</v>
      </c>
      <c r="F5" s="1"/>
      <c r="G5" s="1"/>
      <c r="H5" s="1"/>
      <c r="I5" s="9"/>
      <c r="J5" s="13"/>
      <c r="K5" s="1"/>
      <c r="L5" s="1"/>
      <c r="M5" s="1"/>
      <c r="N5" s="1"/>
      <c r="O5" s="1"/>
      <c r="P5" s="14"/>
      <c r="Q5" s="1"/>
    </row>
    <row r="6" spans="2:17" ht="35.25" customHeight="1" x14ac:dyDescent="0.25">
      <c r="B6" s="1" t="s">
        <v>81</v>
      </c>
      <c r="C6" s="1" t="s">
        <v>82</v>
      </c>
      <c r="D6" s="1">
        <f>1 / (2 * PI() * D5 *D4)</f>
        <v>4.232844231167429E-9</v>
      </c>
      <c r="E6" s="1" t="s">
        <v>88</v>
      </c>
      <c r="F6" s="1"/>
      <c r="G6" s="1"/>
      <c r="H6" s="1"/>
      <c r="I6" s="9"/>
      <c r="J6" s="13"/>
      <c r="K6" s="1"/>
      <c r="L6" s="1"/>
      <c r="M6" s="1"/>
      <c r="N6" s="1"/>
      <c r="O6" s="1"/>
      <c r="P6" s="14"/>
      <c r="Q6" s="1"/>
    </row>
    <row r="7" spans="2:17" ht="35.25" customHeight="1" x14ac:dyDescent="0.25">
      <c r="B7" s="1"/>
      <c r="C7" s="1"/>
      <c r="D7" s="1"/>
      <c r="E7" s="6"/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</row>
    <row r="8" spans="2:17" ht="35.25" customHeight="1" x14ac:dyDescent="0.25">
      <c r="B8" s="10" t="s">
        <v>92</v>
      </c>
      <c r="C8" s="10" t="s">
        <v>7</v>
      </c>
      <c r="D8" s="10" t="s">
        <v>8</v>
      </c>
      <c r="E8" s="10" t="s">
        <v>9</v>
      </c>
      <c r="F8" s="1"/>
      <c r="G8" s="1"/>
      <c r="H8" s="1"/>
      <c r="I8" s="1"/>
      <c r="J8" s="13"/>
      <c r="K8" s="1"/>
      <c r="L8" s="1"/>
      <c r="M8" s="1"/>
      <c r="N8" s="1"/>
      <c r="O8" s="1"/>
      <c r="P8" s="1"/>
      <c r="Q8" s="1"/>
    </row>
    <row r="9" spans="2:17" ht="35.25" customHeight="1" x14ac:dyDescent="0.25">
      <c r="B9" s="1" t="s">
        <v>56</v>
      </c>
      <c r="D9" s="5">
        <v>4700</v>
      </c>
      <c r="E9" s="1" t="s">
        <v>36</v>
      </c>
    </row>
    <row r="10" spans="2:17" ht="35.25" customHeight="1" x14ac:dyDescent="0.25">
      <c r="B10" s="1" t="s">
        <v>81</v>
      </c>
      <c r="D10" s="5">
        <f>0.0000000047</f>
        <v>4.6999999999999999E-9</v>
      </c>
      <c r="E10" s="1" t="s">
        <v>88</v>
      </c>
    </row>
    <row r="11" spans="2:17" ht="35.25" customHeight="1" x14ac:dyDescent="0.25">
      <c r="B11" s="1" t="s">
        <v>86</v>
      </c>
      <c r="C11" s="1" t="s">
        <v>93</v>
      </c>
      <c r="D11" s="5">
        <f>1/(2*PI()*D9*D10)</f>
        <v>7204.8412445403055</v>
      </c>
      <c r="E11" s="1" t="s">
        <v>84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5C97-B701-49E8-8D17-B57E480030E6}">
  <dimension ref="B1:Q15"/>
  <sheetViews>
    <sheetView zoomScale="55" zoomScaleNormal="55" workbookViewId="0">
      <selection activeCell="C25" sqref="C25"/>
    </sheetView>
  </sheetViews>
  <sheetFormatPr defaultColWidth="9.140625" defaultRowHeight="35.25" customHeight="1" x14ac:dyDescent="0.25"/>
  <cols>
    <col min="1" max="1" width="40.7109375" style="5" customWidth="1"/>
    <col min="2" max="2" width="34.42578125" style="5" customWidth="1"/>
    <col min="3" max="3" width="52.85546875" style="5" customWidth="1"/>
    <col min="4" max="4" width="17.5703125" style="5" customWidth="1"/>
    <col min="5" max="5" width="9.7109375" style="5" customWidth="1"/>
    <col min="6" max="16384" width="9.140625" style="5"/>
  </cols>
  <sheetData>
    <row r="1" spans="2:17" ht="150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35.25" customHeight="1" x14ac:dyDescent="0.25">
      <c r="B2" s="10" t="s">
        <v>6</v>
      </c>
      <c r="C2" s="10" t="s">
        <v>7</v>
      </c>
      <c r="D2" s="10" t="s">
        <v>8</v>
      </c>
      <c r="E2" s="10" t="s">
        <v>9</v>
      </c>
      <c r="F2" s="1"/>
      <c r="G2" s="1"/>
      <c r="H2" s="10"/>
      <c r="I2" s="1"/>
      <c r="J2" s="1"/>
      <c r="K2" s="1"/>
      <c r="L2" s="1"/>
      <c r="M2" s="1"/>
      <c r="N2" s="1"/>
      <c r="O2" s="1"/>
      <c r="P2" s="1"/>
      <c r="Q2" s="1"/>
    </row>
    <row r="3" spans="2:17" ht="73.900000000000006" customHeight="1" x14ac:dyDescent="0.25">
      <c r="B3" s="1" t="s">
        <v>56</v>
      </c>
      <c r="C3" s="9"/>
      <c r="D3" s="9">
        <v>10000</v>
      </c>
      <c r="E3" s="1" t="s">
        <v>36</v>
      </c>
    </row>
    <row r="4" spans="2:17" ht="35.25" customHeight="1" x14ac:dyDescent="0.25">
      <c r="B4" s="1" t="s">
        <v>74</v>
      </c>
      <c r="C4" s="1"/>
      <c r="D4" s="1">
        <v>10000</v>
      </c>
      <c r="E4" s="1" t="s">
        <v>36</v>
      </c>
      <c r="F4" s="1"/>
      <c r="G4" s="1"/>
      <c r="H4" s="10"/>
      <c r="I4" s="10"/>
      <c r="J4" s="10"/>
      <c r="K4" s="10"/>
      <c r="L4" s="1"/>
      <c r="M4" s="1"/>
      <c r="N4" s="10"/>
      <c r="O4" s="10"/>
      <c r="P4" s="10"/>
      <c r="Q4" s="10"/>
    </row>
    <row r="5" spans="2:17" ht="35.25" customHeight="1" x14ac:dyDescent="0.25">
      <c r="B5" s="1" t="s">
        <v>75</v>
      </c>
      <c r="C5" s="1"/>
      <c r="D5" s="16">
        <v>470000</v>
      </c>
      <c r="E5" s="5" t="s">
        <v>36</v>
      </c>
      <c r="F5" s="1"/>
      <c r="G5" s="1"/>
      <c r="H5" s="1"/>
      <c r="I5" s="9"/>
      <c r="J5" s="13"/>
      <c r="K5" s="1"/>
      <c r="L5" s="1"/>
      <c r="M5" s="1"/>
      <c r="N5" s="1"/>
      <c r="O5" s="1"/>
      <c r="P5" s="14"/>
      <c r="Q5" s="1"/>
    </row>
    <row r="6" spans="2:17" ht="35.25" customHeight="1" x14ac:dyDescent="0.25">
      <c r="B6" s="1" t="s">
        <v>30</v>
      </c>
      <c r="C6" s="1"/>
      <c r="D6" s="1">
        <v>2.5</v>
      </c>
      <c r="E6" s="1" t="s">
        <v>12</v>
      </c>
      <c r="F6" s="1"/>
      <c r="G6" s="1"/>
      <c r="H6" s="1"/>
      <c r="I6" s="9"/>
      <c r="J6" s="13"/>
      <c r="K6" s="1"/>
      <c r="L6" s="1"/>
      <c r="M6" s="1"/>
      <c r="N6" s="1"/>
      <c r="O6" s="1"/>
      <c r="P6" s="14"/>
      <c r="Q6" s="1"/>
    </row>
    <row r="7" spans="2:17" ht="35.25" customHeight="1" x14ac:dyDescent="0.25">
      <c r="B7" s="21" t="s">
        <v>103</v>
      </c>
      <c r="C7" s="1" t="s">
        <v>89</v>
      </c>
      <c r="D7" s="16">
        <v>1E-10</v>
      </c>
      <c r="E7" s="6" t="s">
        <v>88</v>
      </c>
      <c r="F7" s="1"/>
      <c r="G7" s="1"/>
      <c r="H7" s="1"/>
      <c r="I7" s="1"/>
      <c r="J7" s="13"/>
      <c r="K7" s="1"/>
      <c r="L7" s="1"/>
      <c r="M7" s="1"/>
      <c r="N7" s="1"/>
      <c r="O7" s="1"/>
      <c r="P7" s="1"/>
      <c r="Q7" s="1"/>
    </row>
    <row r="8" spans="2:17" ht="35.25" customHeight="1" x14ac:dyDescent="0.25">
      <c r="B8" s="21" t="s">
        <v>104</v>
      </c>
      <c r="C8" s="1" t="s">
        <v>89</v>
      </c>
      <c r="D8" s="16">
        <f>D7*1.05</f>
        <v>1.0500000000000001E-10</v>
      </c>
      <c r="E8" s="1" t="s">
        <v>88</v>
      </c>
      <c r="F8" s="1"/>
      <c r="G8" s="1"/>
      <c r="H8" s="1"/>
      <c r="I8" s="1"/>
      <c r="J8" s="13"/>
      <c r="K8" s="1"/>
      <c r="L8" s="1"/>
      <c r="M8" s="1"/>
      <c r="N8" s="1"/>
      <c r="O8" s="1"/>
      <c r="P8" s="1"/>
      <c r="Q8" s="1"/>
    </row>
    <row r="10" spans="2:17" ht="35.25" customHeight="1" x14ac:dyDescent="0.25">
      <c r="B10" s="1" t="s">
        <v>105</v>
      </c>
      <c r="C10" s="1" t="s">
        <v>107</v>
      </c>
      <c r="D10" s="22">
        <f>1/(-2*LN(1/3)*D5*D7)</f>
        <v>9683.3960279450785</v>
      </c>
      <c r="E10" s="1" t="s">
        <v>84</v>
      </c>
    </row>
    <row r="11" spans="2:17" ht="35.25" customHeight="1" x14ac:dyDescent="0.25">
      <c r="B11" s="1" t="s">
        <v>106</v>
      </c>
      <c r="C11" s="1" t="s">
        <v>107</v>
      </c>
      <c r="D11" s="22">
        <f>1/(-2*LN(1/3)*D5*D8)</f>
        <v>9222.2819313762629</v>
      </c>
      <c r="E11" s="1" t="s">
        <v>84</v>
      </c>
    </row>
    <row r="13" spans="2:17" ht="35.25" customHeight="1" x14ac:dyDescent="0.25">
      <c r="B13" s="1" t="s">
        <v>108</v>
      </c>
      <c r="C13" s="1" t="s">
        <v>111</v>
      </c>
      <c r="D13" s="16">
        <v>2000000</v>
      </c>
      <c r="E13" s="1" t="s">
        <v>84</v>
      </c>
    </row>
    <row r="14" spans="2:17" ht="35.25" customHeight="1" x14ac:dyDescent="0.25">
      <c r="B14" s="21" t="s">
        <v>109</v>
      </c>
      <c r="C14" s="1" t="s">
        <v>112</v>
      </c>
      <c r="D14" s="23">
        <f>D13/D10</f>
        <v>206.53911026960463</v>
      </c>
    </row>
    <row r="15" spans="2:17" ht="35.25" customHeight="1" x14ac:dyDescent="0.25">
      <c r="B15" s="21" t="s">
        <v>110</v>
      </c>
      <c r="C15" s="1" t="s">
        <v>112</v>
      </c>
      <c r="D15" s="23">
        <f>D13/D11</f>
        <v>216.86606578308491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40A-C562-401C-9C12-DAC3640D6A6E}">
  <dimension ref="A1:F102"/>
  <sheetViews>
    <sheetView tabSelected="1" topLeftCell="A73" workbookViewId="0">
      <selection activeCell="E95" sqref="E95"/>
    </sheetView>
  </sheetViews>
  <sheetFormatPr defaultRowHeight="15" x14ac:dyDescent="0.25"/>
  <cols>
    <col min="1" max="1" width="18.28515625" customWidth="1"/>
    <col min="2" max="2" width="14.5703125" customWidth="1"/>
    <col min="3" max="3" width="18.42578125" customWidth="1"/>
  </cols>
  <sheetData>
    <row r="1" spans="1:6" x14ac:dyDescent="0.25">
      <c r="A1" t="s">
        <v>143</v>
      </c>
      <c r="B1" t="s">
        <v>144</v>
      </c>
      <c r="C1" t="s">
        <v>145</v>
      </c>
      <c r="D1" t="s">
        <v>8</v>
      </c>
    </row>
    <row r="2" spans="1:6" x14ac:dyDescent="0.25">
      <c r="A2">
        <v>-20</v>
      </c>
      <c r="B2">
        <v>114660</v>
      </c>
      <c r="C2">
        <f>B2/(B2+10000)*5</f>
        <v>4.5989090325685869</v>
      </c>
      <c r="D2" s="27">
        <f>C2*1000</f>
        <v>4598.9090325685866</v>
      </c>
      <c r="F2" t="s">
        <v>146</v>
      </c>
    </row>
    <row r="3" spans="1:6" x14ac:dyDescent="0.25">
      <c r="A3">
        <v>-19</v>
      </c>
      <c r="B3" s="26">
        <f>4/5*B2+1/5*B7</f>
        <v>108630</v>
      </c>
      <c r="C3">
        <f t="shared" ref="C3:C6" si="0">B3/(B3+10000)*5</f>
        <v>4.5785214532580296</v>
      </c>
      <c r="D3" s="27">
        <f t="shared" ref="D3:D6" si="1">C3*1000</f>
        <v>4578.5214532580294</v>
      </c>
    </row>
    <row r="4" spans="1:6" x14ac:dyDescent="0.25">
      <c r="A4">
        <v>-18</v>
      </c>
      <c r="B4" s="26">
        <f>3/5*B2+2/5*B7</f>
        <v>102600</v>
      </c>
      <c r="C4">
        <f t="shared" si="0"/>
        <v>4.5559502664298401</v>
      </c>
      <c r="D4" s="27">
        <f t="shared" si="1"/>
        <v>4555.9502664298398</v>
      </c>
    </row>
    <row r="5" spans="1:6" x14ac:dyDescent="0.25">
      <c r="A5">
        <v>-17</v>
      </c>
      <c r="B5" s="26">
        <f>2/5*B2+3/5*B7</f>
        <v>96570</v>
      </c>
      <c r="C5">
        <f t="shared" si="0"/>
        <v>4.5308248099840478</v>
      </c>
      <c r="D5" s="27">
        <f t="shared" si="1"/>
        <v>4530.8248099840475</v>
      </c>
    </row>
    <row r="6" spans="1:6" x14ac:dyDescent="0.25">
      <c r="A6">
        <v>-16</v>
      </c>
      <c r="B6" s="26">
        <f>1/5*B2+4/5*B7</f>
        <v>90540</v>
      </c>
      <c r="C6">
        <f t="shared" si="0"/>
        <v>4.5026854983091305</v>
      </c>
      <c r="D6" s="27">
        <f t="shared" si="1"/>
        <v>4502.6854983091307</v>
      </c>
    </row>
    <row r="7" spans="1:6" x14ac:dyDescent="0.25">
      <c r="A7">
        <v>-15</v>
      </c>
      <c r="B7">
        <v>84510</v>
      </c>
      <c r="C7">
        <f>B7/(B7+10000)*5</f>
        <v>4.4709554544492649</v>
      </c>
      <c r="D7" s="27">
        <f>C7*1000</f>
        <v>4470.9554544492648</v>
      </c>
    </row>
    <row r="8" spans="1:6" x14ac:dyDescent="0.25">
      <c r="A8">
        <v>-14</v>
      </c>
      <c r="B8" s="26">
        <f>4/5*B7+1/5*B12</f>
        <v>80193.399999999994</v>
      </c>
      <c r="C8">
        <f t="shared" ref="C8:C11" si="2">B8/(B8+10000)*5</f>
        <v>4.4456357117039609</v>
      </c>
      <c r="D8" s="27">
        <f t="shared" ref="D8:D11" si="3">C8*1000</f>
        <v>4445.6357117039606</v>
      </c>
    </row>
    <row r="9" spans="1:6" x14ac:dyDescent="0.25">
      <c r="A9">
        <v>-13</v>
      </c>
      <c r="B9" s="26">
        <f>3/5*B7+2/5*B12</f>
        <v>75876.800000000003</v>
      </c>
      <c r="C9">
        <f t="shared" si="2"/>
        <v>4.4177705736590092</v>
      </c>
      <c r="D9" s="27">
        <f t="shared" si="3"/>
        <v>4417.7705736590087</v>
      </c>
    </row>
    <row r="10" spans="1:6" x14ac:dyDescent="0.25">
      <c r="A10">
        <v>-12</v>
      </c>
      <c r="B10" s="26">
        <f>2/5*B7+3/5*B12</f>
        <v>71560.2</v>
      </c>
      <c r="C10">
        <f t="shared" si="2"/>
        <v>4.3869558927025682</v>
      </c>
      <c r="D10" s="27">
        <f t="shared" si="3"/>
        <v>4386.9558927025682</v>
      </c>
    </row>
    <row r="11" spans="1:6" x14ac:dyDescent="0.25">
      <c r="A11">
        <v>-11</v>
      </c>
      <c r="B11" s="26">
        <f>1/5*B7+4/5*B12</f>
        <v>67243.600000000006</v>
      </c>
      <c r="C11">
        <f t="shared" si="2"/>
        <v>4.3526971813846069</v>
      </c>
      <c r="D11" s="27">
        <f t="shared" si="3"/>
        <v>4352.6971813846067</v>
      </c>
    </row>
    <row r="12" spans="1:6" x14ac:dyDescent="0.25">
      <c r="A12">
        <v>-10</v>
      </c>
      <c r="B12">
        <f>6.2927*10000</f>
        <v>62927</v>
      </c>
      <c r="C12">
        <f>B12/(B12+10000)*5</f>
        <v>4.3143828760267118</v>
      </c>
      <c r="D12" s="27">
        <f>C12*1000</f>
        <v>4314.3828760267115</v>
      </c>
    </row>
    <row r="13" spans="1:6" x14ac:dyDescent="0.25">
      <c r="A13">
        <v>-9</v>
      </c>
      <c r="B13" s="26">
        <f>4/5*B12+1/5*B17</f>
        <v>59757.000000000007</v>
      </c>
      <c r="C13">
        <f t="shared" ref="C13:C76" si="4">B13/(B13+10000)*5</f>
        <v>4.2832260561664066</v>
      </c>
      <c r="D13" s="27">
        <f t="shared" ref="D13:D76" si="5">C13*1000</f>
        <v>4283.226056166407</v>
      </c>
    </row>
    <row r="14" spans="1:6" x14ac:dyDescent="0.25">
      <c r="A14">
        <v>-8</v>
      </c>
      <c r="B14" s="26">
        <f>3/5*B12+2/5*B17</f>
        <v>56587</v>
      </c>
      <c r="C14">
        <f t="shared" si="4"/>
        <v>4.2491026776998515</v>
      </c>
      <c r="D14" s="27">
        <f t="shared" si="5"/>
        <v>4249.1026776998515</v>
      </c>
    </row>
    <row r="15" spans="1:6" x14ac:dyDescent="0.25">
      <c r="A15">
        <v>-7</v>
      </c>
      <c r="B15" s="26">
        <f>2/5*B12+3/5*B17</f>
        <v>53417</v>
      </c>
      <c r="C15">
        <f t="shared" si="4"/>
        <v>4.2115678761215447</v>
      </c>
      <c r="D15" s="27">
        <f t="shared" si="5"/>
        <v>4211.5678761215449</v>
      </c>
    </row>
    <row r="16" spans="1:6" x14ac:dyDescent="0.25">
      <c r="A16">
        <v>-6</v>
      </c>
      <c r="B16" s="26">
        <f>1/5*B12+4/5*B17</f>
        <v>50247</v>
      </c>
      <c r="C16">
        <f t="shared" si="4"/>
        <v>4.1700831576676016</v>
      </c>
      <c r="D16" s="27">
        <f t="shared" si="5"/>
        <v>4170.0831576676019</v>
      </c>
    </row>
    <row r="17" spans="1:4" x14ac:dyDescent="0.25">
      <c r="A17">
        <v>-5</v>
      </c>
      <c r="B17">
        <f>4.7077*10000</f>
        <v>47077</v>
      </c>
      <c r="C17">
        <f t="shared" si="4"/>
        <v>4.1239903989347724</v>
      </c>
      <c r="D17" s="27">
        <f t="shared" si="5"/>
        <v>4123.9903989347722</v>
      </c>
    </row>
    <row r="18" spans="1:4" x14ac:dyDescent="0.25">
      <c r="A18">
        <v>-4</v>
      </c>
      <c r="B18" s="26">
        <f>4/5*B17+1/5*B22</f>
        <v>44774.2</v>
      </c>
      <c r="C18">
        <f t="shared" si="4"/>
        <v>4.0871614738325706</v>
      </c>
      <c r="D18" s="27">
        <f t="shared" si="5"/>
        <v>4087.1614738325707</v>
      </c>
    </row>
    <row r="19" spans="1:4" x14ac:dyDescent="0.25">
      <c r="A19">
        <v>-3</v>
      </c>
      <c r="B19" s="26">
        <f>3/5*B17+2/5*B22</f>
        <v>42471.4</v>
      </c>
      <c r="C19">
        <f t="shared" si="4"/>
        <v>4.0470999439694761</v>
      </c>
      <c r="D19" s="27">
        <f t="shared" si="5"/>
        <v>4047.099943969476</v>
      </c>
    </row>
    <row r="20" spans="1:4" x14ac:dyDescent="0.25">
      <c r="A20">
        <v>-2</v>
      </c>
      <c r="B20" s="26">
        <f>2/5*B17+3/5*B22</f>
        <v>40168.6</v>
      </c>
      <c r="C20">
        <f t="shared" si="4"/>
        <v>4.0033606678280833</v>
      </c>
      <c r="D20" s="27">
        <f t="shared" si="5"/>
        <v>4003.3606678280835</v>
      </c>
    </row>
    <row r="21" spans="1:4" x14ac:dyDescent="0.25">
      <c r="A21">
        <v>-1</v>
      </c>
      <c r="B21" s="26">
        <f>1/5*B17+4/5*B22</f>
        <v>37865.800000000003</v>
      </c>
      <c r="C21">
        <f t="shared" si="4"/>
        <v>3.9554128417366892</v>
      </c>
      <c r="D21" s="27">
        <f t="shared" si="5"/>
        <v>3955.4128417366892</v>
      </c>
    </row>
    <row r="22" spans="1:4" x14ac:dyDescent="0.25">
      <c r="A22">
        <v>0</v>
      </c>
      <c r="B22">
        <f>3.5563*10000</f>
        <v>35563</v>
      </c>
      <c r="C22">
        <f t="shared" si="4"/>
        <v>3.9026183526106712</v>
      </c>
      <c r="D22" s="27">
        <f t="shared" si="5"/>
        <v>3902.6183526106711</v>
      </c>
    </row>
    <row r="23" spans="1:4" x14ac:dyDescent="0.25">
      <c r="A23">
        <v>1</v>
      </c>
      <c r="B23" s="26">
        <f>4/5*B22+1/5*B27</f>
        <v>33874.200000000004</v>
      </c>
      <c r="C23">
        <f t="shared" si="4"/>
        <v>3.8603780809678585</v>
      </c>
      <c r="D23" s="27">
        <f t="shared" si="5"/>
        <v>3860.3780809678583</v>
      </c>
    </row>
    <row r="24" spans="1:4" x14ac:dyDescent="0.25">
      <c r="A24">
        <v>2</v>
      </c>
      <c r="B24" s="26">
        <f>3/5*B22+2/5*B27</f>
        <v>32185.4</v>
      </c>
      <c r="C24">
        <f t="shared" si="4"/>
        <v>3.8147558159932111</v>
      </c>
      <c r="D24" s="27">
        <f t="shared" si="5"/>
        <v>3814.7558159932109</v>
      </c>
    </row>
    <row r="25" spans="1:4" x14ac:dyDescent="0.25">
      <c r="A25">
        <v>3</v>
      </c>
      <c r="B25" s="26">
        <f>2/5*B22+3/5*B27</f>
        <v>30496.6</v>
      </c>
      <c r="C25">
        <f t="shared" si="4"/>
        <v>3.7653284473264419</v>
      </c>
      <c r="D25" s="27">
        <f t="shared" si="5"/>
        <v>3765.3284473264421</v>
      </c>
    </row>
    <row r="26" spans="1:4" x14ac:dyDescent="0.25">
      <c r="A26">
        <v>4</v>
      </c>
      <c r="B26" s="26">
        <f>1/5*B22+4/5*B27</f>
        <v>28807.800000000003</v>
      </c>
      <c r="C26">
        <f t="shared" si="4"/>
        <v>3.7115992145908812</v>
      </c>
      <c r="D26" s="27">
        <f t="shared" si="5"/>
        <v>3711.5992145908813</v>
      </c>
    </row>
    <row r="27" spans="1:4" x14ac:dyDescent="0.25">
      <c r="A27">
        <v>5</v>
      </c>
      <c r="B27">
        <f>2.7119*10000</f>
        <v>27119</v>
      </c>
      <c r="C27">
        <f t="shared" si="4"/>
        <v>3.6529809531506774</v>
      </c>
      <c r="D27" s="27">
        <f t="shared" si="5"/>
        <v>3652.9809531506776</v>
      </c>
    </row>
    <row r="28" spans="1:4" x14ac:dyDescent="0.25">
      <c r="A28">
        <v>6</v>
      </c>
      <c r="B28" s="26">
        <f>4/5*B27+1/5*B32</f>
        <v>25867.200000000001</v>
      </c>
      <c r="C28">
        <f t="shared" si="4"/>
        <v>3.6059686844805281</v>
      </c>
      <c r="D28" s="27">
        <f t="shared" si="5"/>
        <v>3605.9686844805283</v>
      </c>
    </row>
    <row r="29" spans="1:4" x14ac:dyDescent="0.25">
      <c r="A29">
        <v>7</v>
      </c>
      <c r="B29" s="26">
        <f>3/5*B27+2/5*B32</f>
        <v>24615.4</v>
      </c>
      <c r="C29">
        <f t="shared" si="4"/>
        <v>3.5555561975305787</v>
      </c>
      <c r="D29" s="27">
        <f t="shared" si="5"/>
        <v>3555.5561975305786</v>
      </c>
    </row>
    <row r="30" spans="1:4" x14ac:dyDescent="0.25">
      <c r="A30">
        <v>8</v>
      </c>
      <c r="B30" s="26">
        <f>2/5*B27+3/5*B32</f>
        <v>23363.599999999999</v>
      </c>
      <c r="C30">
        <f t="shared" si="4"/>
        <v>3.5013607644259008</v>
      </c>
      <c r="D30" s="27">
        <f t="shared" si="5"/>
        <v>3501.3607644259009</v>
      </c>
    </row>
    <row r="31" spans="1:4" x14ac:dyDescent="0.25">
      <c r="A31">
        <v>9</v>
      </c>
      <c r="B31" s="26">
        <f>1/5*B27+4/5*B32</f>
        <v>22111.8</v>
      </c>
      <c r="C31">
        <f t="shared" si="4"/>
        <v>3.4429399784502897</v>
      </c>
      <c r="D31" s="27">
        <f t="shared" si="5"/>
        <v>3442.9399784502898</v>
      </c>
    </row>
    <row r="32" spans="1:4" x14ac:dyDescent="0.25">
      <c r="A32">
        <v>10</v>
      </c>
      <c r="B32">
        <f>2.086*10000</f>
        <v>20860</v>
      </c>
      <c r="C32">
        <f t="shared" si="4"/>
        <v>3.3797796500324044</v>
      </c>
      <c r="D32" s="27">
        <f t="shared" si="5"/>
        <v>3379.7796500324043</v>
      </c>
    </row>
    <row r="33" spans="1:4" x14ac:dyDescent="0.25">
      <c r="A33">
        <v>11</v>
      </c>
      <c r="B33" s="26">
        <f>4/5*B32+1/5*B37</f>
        <v>19928.8</v>
      </c>
      <c r="C33">
        <f t="shared" si="4"/>
        <v>3.3293683675924193</v>
      </c>
      <c r="D33" s="27">
        <f t="shared" si="5"/>
        <v>3329.3683675924194</v>
      </c>
    </row>
    <row r="34" spans="1:4" x14ac:dyDescent="0.25">
      <c r="A34">
        <v>12</v>
      </c>
      <c r="B34" s="26">
        <f>3/5*B32+2/5*B37</f>
        <v>18997.599999999999</v>
      </c>
      <c r="C34">
        <f t="shared" si="4"/>
        <v>3.2757193698788867</v>
      </c>
      <c r="D34" s="27">
        <f t="shared" si="5"/>
        <v>3275.7193698788865</v>
      </c>
    </row>
    <row r="35" spans="1:4" x14ac:dyDescent="0.25">
      <c r="A35">
        <v>13</v>
      </c>
      <c r="B35" s="26">
        <f>2/5*B32+3/5*B37</f>
        <v>18066.400000000001</v>
      </c>
      <c r="C35">
        <f t="shared" si="4"/>
        <v>3.2185103896474079</v>
      </c>
      <c r="D35" s="27">
        <f t="shared" si="5"/>
        <v>3218.5103896474079</v>
      </c>
    </row>
    <row r="36" spans="1:4" x14ac:dyDescent="0.25">
      <c r="A36">
        <v>14</v>
      </c>
      <c r="B36" s="26">
        <f>1/5*B32+4/5*B37</f>
        <v>17135.2</v>
      </c>
      <c r="C36">
        <f t="shared" si="4"/>
        <v>3.1573749226097467</v>
      </c>
      <c r="D36" s="27">
        <f t="shared" si="5"/>
        <v>3157.3749226097466</v>
      </c>
    </row>
    <row r="37" spans="1:4" x14ac:dyDescent="0.25">
      <c r="A37">
        <v>15</v>
      </c>
      <c r="B37">
        <f>1.6204*10000</f>
        <v>16204</v>
      </c>
      <c r="C37">
        <f t="shared" si="4"/>
        <v>3.0918943672721722</v>
      </c>
      <c r="D37" s="27">
        <f t="shared" si="5"/>
        <v>3091.8943672721721</v>
      </c>
    </row>
    <row r="38" spans="1:4" x14ac:dyDescent="0.25">
      <c r="A38">
        <v>16</v>
      </c>
      <c r="B38" s="26">
        <f>4/5*B37+1/5*B42</f>
        <v>15499.800000000001</v>
      </c>
      <c r="C38">
        <f t="shared" si="4"/>
        <v>3.0392003074533918</v>
      </c>
      <c r="D38" s="27">
        <f t="shared" si="5"/>
        <v>3039.2003074533918</v>
      </c>
    </row>
    <row r="39" spans="1:4" x14ac:dyDescent="0.25">
      <c r="A39">
        <v>17</v>
      </c>
      <c r="B39" s="26">
        <f>3/5*B37+2/5*B42</f>
        <v>14795.6</v>
      </c>
      <c r="C39">
        <f t="shared" si="4"/>
        <v>2.9835132039555408</v>
      </c>
      <c r="D39" s="27">
        <f t="shared" si="5"/>
        <v>2983.5132039555406</v>
      </c>
    </row>
    <row r="40" spans="1:4" x14ac:dyDescent="0.25">
      <c r="A40">
        <v>18</v>
      </c>
      <c r="B40" s="26">
        <f>2/5*B37+3/5*B42</f>
        <v>14091.4</v>
      </c>
      <c r="C40">
        <f t="shared" si="4"/>
        <v>2.9245705936558268</v>
      </c>
      <c r="D40" s="27">
        <f t="shared" si="5"/>
        <v>2924.570593655827</v>
      </c>
    </row>
    <row r="41" spans="1:4" x14ac:dyDescent="0.25">
      <c r="A41">
        <v>19</v>
      </c>
      <c r="B41" s="26">
        <f>1/5*B37+4/5*B42</f>
        <v>13387.2</v>
      </c>
      <c r="C41">
        <f t="shared" si="4"/>
        <v>2.8620784018608472</v>
      </c>
      <c r="D41" s="27">
        <f t="shared" si="5"/>
        <v>2862.078401860847</v>
      </c>
    </row>
    <row r="42" spans="1:4" x14ac:dyDescent="0.25">
      <c r="A42">
        <v>20</v>
      </c>
      <c r="B42">
        <f>1.2683*10000</f>
        <v>12683</v>
      </c>
      <c r="C42">
        <f t="shared" si="4"/>
        <v>2.7957060353568752</v>
      </c>
      <c r="D42" s="27">
        <f t="shared" si="5"/>
        <v>2795.7060353568754</v>
      </c>
    </row>
    <row r="43" spans="1:4" x14ac:dyDescent="0.25">
      <c r="A43">
        <v>21</v>
      </c>
      <c r="B43" s="26">
        <f>4/5*B42+1/5*B47</f>
        <v>12146.400000000001</v>
      </c>
      <c r="C43">
        <f t="shared" si="4"/>
        <v>2.7422967163963445</v>
      </c>
      <c r="D43" s="27">
        <f t="shared" si="5"/>
        <v>2742.2967163963444</v>
      </c>
    </row>
    <row r="44" spans="1:4" x14ac:dyDescent="0.25">
      <c r="A44">
        <v>22</v>
      </c>
      <c r="B44" s="26">
        <f>3/5*B42+2/5*B47</f>
        <v>11609.8</v>
      </c>
      <c r="C44">
        <f t="shared" si="4"/>
        <v>2.6862349489583432</v>
      </c>
      <c r="D44" s="27">
        <f t="shared" si="5"/>
        <v>2686.2349489583435</v>
      </c>
    </row>
    <row r="45" spans="1:4" x14ac:dyDescent="0.25">
      <c r="A45">
        <v>23</v>
      </c>
      <c r="B45" s="26">
        <f>2/5*B42+3/5*B47</f>
        <v>11073.2</v>
      </c>
      <c r="C45">
        <f t="shared" si="4"/>
        <v>2.6273181102063288</v>
      </c>
      <c r="D45" s="27">
        <f t="shared" si="5"/>
        <v>2627.3181102063286</v>
      </c>
    </row>
    <row r="46" spans="1:4" x14ac:dyDescent="0.25">
      <c r="A46">
        <v>24</v>
      </c>
      <c r="B46" s="26">
        <f>1/5*B42+4/5*B47</f>
        <v>10536.6</v>
      </c>
      <c r="C46">
        <f t="shared" si="4"/>
        <v>2.5653224000077914</v>
      </c>
      <c r="D46" s="27">
        <f t="shared" si="5"/>
        <v>2565.3224000077917</v>
      </c>
    </row>
    <row r="47" spans="1:4" x14ac:dyDescent="0.25">
      <c r="A47">
        <v>25</v>
      </c>
      <c r="B47">
        <f>10000</f>
        <v>10000</v>
      </c>
      <c r="C47">
        <f t="shared" si="4"/>
        <v>2.5</v>
      </c>
      <c r="D47" s="27">
        <f t="shared" si="5"/>
        <v>2500</v>
      </c>
    </row>
    <row r="48" spans="1:4" x14ac:dyDescent="0.25">
      <c r="A48">
        <v>26</v>
      </c>
      <c r="B48" s="26">
        <f>4/5*B47+1/5*B52</f>
        <v>9588.4</v>
      </c>
      <c r="C48">
        <f t="shared" si="4"/>
        <v>2.4474689101713256</v>
      </c>
      <c r="D48" s="27">
        <f t="shared" si="5"/>
        <v>2447.4689101713257</v>
      </c>
    </row>
    <row r="49" spans="1:4" x14ac:dyDescent="0.25">
      <c r="A49">
        <v>27</v>
      </c>
      <c r="B49" s="26">
        <f>3/5*B47+2/5*B52</f>
        <v>9176.7999999999993</v>
      </c>
      <c r="C49">
        <f t="shared" si="4"/>
        <v>2.3926828250803052</v>
      </c>
      <c r="D49" s="27">
        <f t="shared" si="5"/>
        <v>2392.6828250803051</v>
      </c>
    </row>
    <row r="50" spans="1:4" x14ac:dyDescent="0.25">
      <c r="A50">
        <v>28</v>
      </c>
      <c r="B50" s="26">
        <f>2/5*B47+3/5*B52</f>
        <v>8765.2000000000007</v>
      </c>
      <c r="C50">
        <f t="shared" si="4"/>
        <v>2.3354933600494534</v>
      </c>
      <c r="D50" s="27">
        <f t="shared" si="5"/>
        <v>2335.4933600494533</v>
      </c>
    </row>
    <row r="51" spans="1:4" x14ac:dyDescent="0.25">
      <c r="A51">
        <v>29</v>
      </c>
      <c r="B51" s="26">
        <f>1/5*B47+4/5*B52</f>
        <v>8353.6</v>
      </c>
      <c r="C51">
        <f t="shared" si="4"/>
        <v>2.275738819632116</v>
      </c>
      <c r="D51" s="27">
        <f t="shared" si="5"/>
        <v>2275.7388196321158</v>
      </c>
    </row>
    <row r="52" spans="1:4" x14ac:dyDescent="0.25">
      <c r="A52">
        <v>30</v>
      </c>
      <c r="B52">
        <f>0.7942*10000</f>
        <v>7942</v>
      </c>
      <c r="C52">
        <f t="shared" si="4"/>
        <v>2.2132426708282242</v>
      </c>
      <c r="D52" s="27">
        <f t="shared" si="5"/>
        <v>2213.2426708282242</v>
      </c>
    </row>
    <row r="53" spans="1:4" x14ac:dyDescent="0.25">
      <c r="A53">
        <v>31</v>
      </c>
      <c r="B53" s="26">
        <f>4/5*B52+1/5*B57</f>
        <v>7618.9600000000009</v>
      </c>
      <c r="C53">
        <f t="shared" si="4"/>
        <v>2.1621480496011118</v>
      </c>
      <c r="D53" s="27">
        <f t="shared" si="5"/>
        <v>2162.1480496011118</v>
      </c>
    </row>
    <row r="54" spans="1:4" x14ac:dyDescent="0.25">
      <c r="A54">
        <v>32</v>
      </c>
      <c r="B54" s="26">
        <f>3/5*B52+2/5*B57</f>
        <v>7295.92</v>
      </c>
      <c r="C54">
        <f t="shared" si="4"/>
        <v>2.1091448156559469</v>
      </c>
      <c r="D54" s="27">
        <f t="shared" si="5"/>
        <v>2109.1448156559468</v>
      </c>
    </row>
    <row r="55" spans="1:4" x14ac:dyDescent="0.25">
      <c r="A55">
        <v>33</v>
      </c>
      <c r="B55" s="26">
        <f>2/5*B52+3/5*B57</f>
        <v>6972.88</v>
      </c>
      <c r="C55">
        <f t="shared" si="4"/>
        <v>2.054123990742879</v>
      </c>
      <c r="D55" s="27">
        <f t="shared" si="5"/>
        <v>2054.123990742879</v>
      </c>
    </row>
    <row r="56" spans="1:4" x14ac:dyDescent="0.25">
      <c r="A56">
        <v>34</v>
      </c>
      <c r="B56" s="26">
        <f>1/5*B52+4/5*B57</f>
        <v>6649.84</v>
      </c>
      <c r="C56">
        <f t="shared" si="4"/>
        <v>1.9969681390331679</v>
      </c>
      <c r="D56" s="27">
        <f t="shared" si="5"/>
        <v>1996.968139033168</v>
      </c>
    </row>
    <row r="57" spans="1:4" x14ac:dyDescent="0.25">
      <c r="A57">
        <v>35</v>
      </c>
      <c r="B57">
        <f>0.63268*10000</f>
        <v>6326.8</v>
      </c>
      <c r="C57">
        <f t="shared" si="4"/>
        <v>1.9375505304162481</v>
      </c>
      <c r="D57" s="27">
        <f t="shared" si="5"/>
        <v>1937.5505304162482</v>
      </c>
    </row>
    <row r="58" spans="1:4" x14ac:dyDescent="0.25">
      <c r="A58">
        <v>36</v>
      </c>
      <c r="B58" s="26">
        <f>4/5*B57+1/5*B62</f>
        <v>6076.2400000000007</v>
      </c>
      <c r="C58">
        <f t="shared" si="4"/>
        <v>1.8898200076634835</v>
      </c>
      <c r="D58" s="27">
        <f t="shared" si="5"/>
        <v>1889.8200076634835</v>
      </c>
    </row>
    <row r="59" spans="1:4" x14ac:dyDescent="0.25">
      <c r="A59">
        <v>37</v>
      </c>
      <c r="B59" s="26">
        <f>3/5*B57+2/5*B62</f>
        <v>5825.68</v>
      </c>
      <c r="C59">
        <f t="shared" si="4"/>
        <v>1.8405780983818707</v>
      </c>
      <c r="D59" s="27">
        <f t="shared" si="5"/>
        <v>1840.5780983818706</v>
      </c>
    </row>
    <row r="60" spans="1:4" x14ac:dyDescent="0.25">
      <c r="A60">
        <v>38</v>
      </c>
      <c r="B60" s="26">
        <f>2/5*B57+3/5*B62</f>
        <v>5575.1200000000008</v>
      </c>
      <c r="C60">
        <f t="shared" si="4"/>
        <v>1.7897518606598217</v>
      </c>
      <c r="D60" s="27">
        <f t="shared" si="5"/>
        <v>1789.7518606598217</v>
      </c>
    </row>
    <row r="61" spans="1:4" x14ac:dyDescent="0.25">
      <c r="A61">
        <v>39</v>
      </c>
      <c r="B61" s="26">
        <f>1/5*B57+4/5*B62</f>
        <v>5324.56</v>
      </c>
      <c r="C61">
        <f t="shared" si="4"/>
        <v>1.7372635821191604</v>
      </c>
      <c r="D61" s="27">
        <f t="shared" si="5"/>
        <v>1737.2635821191604</v>
      </c>
    </row>
    <row r="62" spans="1:4" x14ac:dyDescent="0.25">
      <c r="A62">
        <v>40</v>
      </c>
      <c r="B62">
        <f>0.5074*10000</f>
        <v>5074</v>
      </c>
      <c r="C62">
        <f t="shared" si="4"/>
        <v>1.6830303834416878</v>
      </c>
      <c r="D62" s="27">
        <f t="shared" si="5"/>
        <v>1683.0303834416877</v>
      </c>
    </row>
    <row r="63" spans="1:4" x14ac:dyDescent="0.25">
      <c r="A63">
        <v>41</v>
      </c>
      <c r="B63" s="26">
        <f>4/5*B62+1/5*B67</f>
        <v>4879.72</v>
      </c>
      <c r="C63">
        <f t="shared" si="4"/>
        <v>1.6397217151935652</v>
      </c>
      <c r="D63" s="27">
        <f t="shared" si="5"/>
        <v>1639.7217151935652</v>
      </c>
    </row>
    <row r="64" spans="1:4" x14ac:dyDescent="0.25">
      <c r="A64">
        <v>42</v>
      </c>
      <c r="B64" s="26">
        <f>3/5*B62+2/5*B67</f>
        <v>4685.4400000000005</v>
      </c>
      <c r="C64">
        <f t="shared" si="4"/>
        <v>1.595267148958424</v>
      </c>
      <c r="D64" s="27">
        <f t="shared" si="5"/>
        <v>1595.2671489584241</v>
      </c>
    </row>
    <row r="65" spans="1:4" x14ac:dyDescent="0.25">
      <c r="A65">
        <v>43</v>
      </c>
      <c r="B65" s="26">
        <f>2/5*B62+3/5*B67</f>
        <v>4491.16</v>
      </c>
      <c r="C65">
        <f t="shared" si="4"/>
        <v>1.549620596280767</v>
      </c>
      <c r="D65" s="27">
        <f t="shared" si="5"/>
        <v>1549.6205962807669</v>
      </c>
    </row>
    <row r="66" spans="1:4" x14ac:dyDescent="0.25">
      <c r="A66">
        <v>44</v>
      </c>
      <c r="B66" s="26">
        <f>1/5*B62+4/5*B67</f>
        <v>4296.88</v>
      </c>
      <c r="C66">
        <f t="shared" si="4"/>
        <v>1.502733463524909</v>
      </c>
      <c r="D66" s="27">
        <f t="shared" si="5"/>
        <v>1502.733463524909</v>
      </c>
    </row>
    <row r="67" spans="1:4" x14ac:dyDescent="0.25">
      <c r="A67">
        <v>45</v>
      </c>
      <c r="B67">
        <f>0.41026*10000</f>
        <v>4102.6000000000004</v>
      </c>
      <c r="C67">
        <f t="shared" si="4"/>
        <v>1.4545544793158709</v>
      </c>
      <c r="D67" s="27">
        <f t="shared" si="5"/>
        <v>1454.5544793158708</v>
      </c>
    </row>
    <row r="68" spans="1:4" x14ac:dyDescent="0.25">
      <c r="A68">
        <v>46</v>
      </c>
      <c r="B68" s="26">
        <f>4/5*B67+1/5*B72</f>
        <v>3949.34</v>
      </c>
      <c r="C68">
        <f t="shared" si="4"/>
        <v>1.4156010248513551</v>
      </c>
      <c r="D68" s="27">
        <f t="shared" si="5"/>
        <v>1415.6010248513551</v>
      </c>
    </row>
    <row r="69" spans="1:4" x14ac:dyDescent="0.25">
      <c r="A69">
        <v>47</v>
      </c>
      <c r="B69" s="26">
        <f>3/5*B67+2/5*B72</f>
        <v>3796.08</v>
      </c>
      <c r="C69">
        <f t="shared" si="4"/>
        <v>1.3757821062214772</v>
      </c>
      <c r="D69" s="27">
        <f t="shared" si="5"/>
        <v>1375.7821062214773</v>
      </c>
    </row>
    <row r="70" spans="1:4" x14ac:dyDescent="0.25">
      <c r="A70">
        <v>48</v>
      </c>
      <c r="B70" s="26">
        <f>2/5*B67+3/5*B72</f>
        <v>3642.8199999999997</v>
      </c>
      <c r="C70">
        <f t="shared" si="4"/>
        <v>1.3350685562075877</v>
      </c>
      <c r="D70" s="27">
        <f t="shared" si="5"/>
        <v>1335.0685562075878</v>
      </c>
    </row>
    <row r="71" spans="1:4" x14ac:dyDescent="0.25">
      <c r="A71">
        <v>49</v>
      </c>
      <c r="B71" s="26">
        <f>1/5*B67+4/5*B72</f>
        <v>3489.56</v>
      </c>
      <c r="C71">
        <f t="shared" si="4"/>
        <v>1.2934298820717651</v>
      </c>
      <c r="D71" s="27">
        <f t="shared" si="5"/>
        <v>1293.4298820717652</v>
      </c>
    </row>
    <row r="72" spans="1:4" x14ac:dyDescent="0.25">
      <c r="A72">
        <v>50</v>
      </c>
      <c r="B72">
        <f>0.33363*10000</f>
        <v>3336.2999999999997</v>
      </c>
      <c r="C72">
        <f t="shared" si="4"/>
        <v>1.2508341893928601</v>
      </c>
      <c r="D72" s="27">
        <f t="shared" si="5"/>
        <v>1250.83418939286</v>
      </c>
    </row>
    <row r="73" spans="1:4" x14ac:dyDescent="0.25">
      <c r="A73">
        <v>51</v>
      </c>
      <c r="B73" s="26">
        <f>4/5*B72+1/5*B77</f>
        <v>3213.9</v>
      </c>
      <c r="C73">
        <f t="shared" si="4"/>
        <v>1.2161057674115894</v>
      </c>
      <c r="D73" s="27">
        <f t="shared" si="5"/>
        <v>1216.1057674115893</v>
      </c>
    </row>
    <row r="74" spans="1:4" x14ac:dyDescent="0.25">
      <c r="A74">
        <v>52</v>
      </c>
      <c r="B74" s="26">
        <f>3/5*B72+2/5*B77</f>
        <v>3091.5</v>
      </c>
      <c r="C74">
        <f t="shared" si="4"/>
        <v>1.1807279532521102</v>
      </c>
      <c r="D74" s="27">
        <f t="shared" si="5"/>
        <v>1180.7279532521102</v>
      </c>
    </row>
    <row r="75" spans="1:4" x14ac:dyDescent="0.25">
      <c r="A75">
        <v>53</v>
      </c>
      <c r="B75" s="26">
        <f>2/5*B72+3/5*B77</f>
        <v>2969.1000000000004</v>
      </c>
      <c r="C75">
        <f t="shared" si="4"/>
        <v>1.1446823603796716</v>
      </c>
      <c r="D75" s="27">
        <f t="shared" si="5"/>
        <v>1144.6823603796715</v>
      </c>
    </row>
    <row r="76" spans="1:4" x14ac:dyDescent="0.25">
      <c r="A76">
        <v>54</v>
      </c>
      <c r="B76" s="26">
        <f>1/5*B72+4/5*B77</f>
        <v>2846.7</v>
      </c>
      <c r="C76">
        <f t="shared" si="4"/>
        <v>1.1079499015311325</v>
      </c>
      <c r="D76" s="27">
        <f t="shared" si="5"/>
        <v>1107.9499015311326</v>
      </c>
    </row>
    <row r="77" spans="1:4" x14ac:dyDescent="0.25">
      <c r="A77">
        <v>55</v>
      </c>
      <c r="B77">
        <f>0.27243*10000</f>
        <v>2724.3</v>
      </c>
      <c r="C77">
        <f t="shared" ref="C77:C92" si="6">B77/(B77+10000)*5</f>
        <v>1.0705107550120636</v>
      </c>
      <c r="D77" s="27">
        <f t="shared" ref="D77:D92" si="7">C77*1000</f>
        <v>1070.5107550120636</v>
      </c>
    </row>
    <row r="78" spans="1:4" x14ac:dyDescent="0.25">
      <c r="A78">
        <v>56</v>
      </c>
      <c r="B78" s="26">
        <f>4/5*B77+1/5*B82</f>
        <v>2626.84</v>
      </c>
      <c r="C78">
        <f t="shared" si="6"/>
        <v>1.0401810745998208</v>
      </c>
      <c r="D78" s="27">
        <f t="shared" si="7"/>
        <v>1040.1810745998207</v>
      </c>
    </row>
    <row r="79" spans="1:4" x14ac:dyDescent="0.25">
      <c r="A79">
        <v>57</v>
      </c>
      <c r="B79" s="26">
        <f>3/5*B77+2/5*B82</f>
        <v>2529.38</v>
      </c>
      <c r="C79">
        <f t="shared" si="6"/>
        <v>1.0093795542955837</v>
      </c>
      <c r="D79" s="27">
        <f t="shared" si="7"/>
        <v>1009.3795542955837</v>
      </c>
    </row>
    <row r="80" spans="1:4" x14ac:dyDescent="0.25">
      <c r="A80">
        <v>58</v>
      </c>
      <c r="B80" s="26">
        <f>2/5*B77+3/5*B82</f>
        <v>2431.92</v>
      </c>
      <c r="C80">
        <f t="shared" si="6"/>
        <v>0.97809509713704723</v>
      </c>
      <c r="D80" s="27">
        <f t="shared" si="7"/>
        <v>978.09509713704722</v>
      </c>
    </row>
    <row r="81" spans="1:4" x14ac:dyDescent="0.25">
      <c r="A81">
        <v>59</v>
      </c>
      <c r="B81" s="26">
        <f>1/5*B77+4/5*B82</f>
        <v>2334.46</v>
      </c>
      <c r="C81">
        <f t="shared" si="6"/>
        <v>0.94631625543396314</v>
      </c>
      <c r="D81" s="27">
        <f t="shared" si="7"/>
        <v>946.31625543396319</v>
      </c>
    </row>
    <row r="82" spans="1:4" x14ac:dyDescent="0.25">
      <c r="A82">
        <v>60</v>
      </c>
      <c r="B82">
        <f>0.2237*10000</f>
        <v>2237</v>
      </c>
      <c r="C82">
        <f t="shared" si="6"/>
        <v>0.91403121680150368</v>
      </c>
      <c r="D82" s="27">
        <f t="shared" si="7"/>
        <v>914.03121680150366</v>
      </c>
    </row>
    <row r="83" spans="1:4" x14ac:dyDescent="0.25">
      <c r="A83">
        <v>61</v>
      </c>
      <c r="B83" s="26">
        <f>4/5*B82+1/5*B87</f>
        <v>2158.7800000000002</v>
      </c>
      <c r="C83">
        <f t="shared" si="6"/>
        <v>0.88774531655314115</v>
      </c>
      <c r="D83" s="27">
        <f t="shared" si="7"/>
        <v>887.74531655314115</v>
      </c>
    </row>
    <row r="84" spans="1:4" x14ac:dyDescent="0.25">
      <c r="A84">
        <v>62</v>
      </c>
      <c r="B84" s="26">
        <f>3/5*B82+2/5*B87</f>
        <v>2080.5600000000004</v>
      </c>
      <c r="C84">
        <f t="shared" si="6"/>
        <v>0.86111902097253779</v>
      </c>
      <c r="D84" s="27">
        <f t="shared" si="7"/>
        <v>861.11902097253778</v>
      </c>
    </row>
    <row r="85" spans="1:4" x14ac:dyDescent="0.25">
      <c r="A85">
        <v>63</v>
      </c>
      <c r="B85" s="26">
        <f>2/5*B82+3/5*B87</f>
        <v>2002.3400000000001</v>
      </c>
      <c r="C85">
        <f t="shared" si="6"/>
        <v>0.83414567492672276</v>
      </c>
      <c r="D85" s="27">
        <f t="shared" si="7"/>
        <v>834.14567492672279</v>
      </c>
    </row>
    <row r="86" spans="1:4" x14ac:dyDescent="0.25">
      <c r="A86">
        <v>64</v>
      </c>
      <c r="B86" s="26">
        <f>1/5*B82+4/5*B87</f>
        <v>1924.1200000000003</v>
      </c>
      <c r="C86">
        <f t="shared" si="6"/>
        <v>0.80681844865700791</v>
      </c>
      <c r="D86" s="27">
        <f t="shared" si="7"/>
        <v>806.81844865700793</v>
      </c>
    </row>
    <row r="87" spans="1:4" x14ac:dyDescent="0.25">
      <c r="A87">
        <v>65</v>
      </c>
      <c r="B87">
        <f>0.18459*10000</f>
        <v>1845.9</v>
      </c>
      <c r="C87">
        <f t="shared" si="6"/>
        <v>0.77913033201360804</v>
      </c>
      <c r="D87" s="27">
        <f t="shared" si="7"/>
        <v>779.13033201360804</v>
      </c>
    </row>
    <row r="88" spans="1:4" x14ac:dyDescent="0.25">
      <c r="A88">
        <v>66</v>
      </c>
      <c r="B88" s="26">
        <f>4/5*B87+1/5*B92</f>
        <v>1782.8200000000002</v>
      </c>
      <c r="C88">
        <f t="shared" si="6"/>
        <v>0.75653366511582121</v>
      </c>
      <c r="D88" s="27">
        <f t="shared" si="7"/>
        <v>756.53366511582124</v>
      </c>
    </row>
    <row r="89" spans="1:4" x14ac:dyDescent="0.25">
      <c r="A89">
        <v>67</v>
      </c>
      <c r="B89" s="26">
        <f>3/5*B87+2/5*B92</f>
        <v>1719.74</v>
      </c>
      <c r="C89">
        <f t="shared" si="6"/>
        <v>0.73369375088525857</v>
      </c>
      <c r="D89" s="27">
        <f t="shared" si="7"/>
        <v>733.69375088525862</v>
      </c>
    </row>
    <row r="90" spans="1:4" x14ac:dyDescent="0.25">
      <c r="A90">
        <v>68</v>
      </c>
      <c r="B90" s="26">
        <f>2/5*B87+3/5*B92</f>
        <v>1656.66</v>
      </c>
      <c r="C90">
        <f t="shared" si="6"/>
        <v>0.71060664032407228</v>
      </c>
      <c r="D90" s="27">
        <f t="shared" si="7"/>
        <v>710.60664032407226</v>
      </c>
    </row>
    <row r="91" spans="1:4" x14ac:dyDescent="0.25">
      <c r="A91">
        <v>69</v>
      </c>
      <c r="B91" s="26">
        <f>1/5*B87+4/5*B92</f>
        <v>1593.5800000000002</v>
      </c>
      <c r="C91">
        <f t="shared" si="6"/>
        <v>0.68726829848933635</v>
      </c>
      <c r="D91" s="27">
        <f t="shared" si="7"/>
        <v>687.2682984893363</v>
      </c>
    </row>
    <row r="92" spans="1:4" x14ac:dyDescent="0.25">
      <c r="A92">
        <v>70</v>
      </c>
      <c r="B92">
        <f>0.15305*10000</f>
        <v>1530.5</v>
      </c>
      <c r="C92">
        <f t="shared" si="6"/>
        <v>0.66367460214214469</v>
      </c>
      <c r="D92" s="27">
        <f t="shared" si="7"/>
        <v>663.67460214214464</v>
      </c>
    </row>
    <row r="93" spans="1:4" x14ac:dyDescent="0.25">
      <c r="A93">
        <v>71</v>
      </c>
      <c r="B93" s="26">
        <f>4/5*B92+1/5*B97</f>
        <v>1479.5</v>
      </c>
      <c r="C93">
        <f t="shared" ref="C93:C97" si="8">B93/(B93+10000)*5</f>
        <v>0.64440959972124223</v>
      </c>
      <c r="D93" s="27">
        <f t="shared" ref="D93:D97" si="9">C93*1000</f>
        <v>644.40959972124222</v>
      </c>
    </row>
    <row r="94" spans="1:4" x14ac:dyDescent="0.25">
      <c r="A94">
        <v>72</v>
      </c>
      <c r="B94" s="26">
        <f>3/5*B92+2/5*B97</f>
        <v>1428.5</v>
      </c>
      <c r="C94">
        <f t="shared" si="8"/>
        <v>0.62497265607910046</v>
      </c>
      <c r="D94" s="27">
        <f t="shared" si="9"/>
        <v>624.97265607910049</v>
      </c>
    </row>
    <row r="95" spans="1:4" x14ac:dyDescent="0.25">
      <c r="A95">
        <v>73</v>
      </c>
      <c r="B95" s="26">
        <f>2/5*B92+3/5*B97</f>
        <v>1377.5</v>
      </c>
      <c r="C95">
        <f t="shared" si="8"/>
        <v>0.60536145901999561</v>
      </c>
      <c r="D95" s="27">
        <f t="shared" si="9"/>
        <v>605.36145901999566</v>
      </c>
    </row>
    <row r="96" spans="1:4" x14ac:dyDescent="0.25">
      <c r="A96">
        <v>74</v>
      </c>
      <c r="B96" s="26">
        <f>1/5*B92+4/5*B97</f>
        <v>1326.5</v>
      </c>
      <c r="C96">
        <f t="shared" si="8"/>
        <v>0.58557365470357126</v>
      </c>
      <c r="D96" s="27">
        <f t="shared" si="9"/>
        <v>585.57365470357126</v>
      </c>
    </row>
    <row r="97" spans="1:4" x14ac:dyDescent="0.25">
      <c r="A97">
        <v>75</v>
      </c>
      <c r="B97">
        <v>1275.5</v>
      </c>
      <c r="C97">
        <f t="shared" si="8"/>
        <v>0.56560684670302863</v>
      </c>
      <c r="D97" s="27">
        <f t="shared" si="9"/>
        <v>565.60684670302862</v>
      </c>
    </row>
    <row r="98" spans="1:4" x14ac:dyDescent="0.25">
      <c r="A98">
        <v>76</v>
      </c>
      <c r="B98" s="26">
        <f>4/5*B97+1/5*B102</f>
        <v>1233.94</v>
      </c>
      <c r="C98">
        <f t="shared" ref="C98:C102" si="10">B98/(B98+10000)*5</f>
        <v>0.54920179384970902</v>
      </c>
      <c r="D98" s="27">
        <f t="shared" ref="D98:D102" si="11">C98*1000</f>
        <v>549.20179384970902</v>
      </c>
    </row>
    <row r="99" spans="1:4" x14ac:dyDescent="0.25">
      <c r="A99">
        <v>77</v>
      </c>
      <c r="B99" s="26">
        <f>3/5*B97+2/5*B102</f>
        <v>1192.3800000000001</v>
      </c>
      <c r="C99">
        <f t="shared" si="10"/>
        <v>0.53267490917928084</v>
      </c>
      <c r="D99" s="27">
        <f t="shared" si="11"/>
        <v>532.6749091792808</v>
      </c>
    </row>
    <row r="100" spans="1:4" x14ac:dyDescent="0.25">
      <c r="A100">
        <v>78</v>
      </c>
      <c r="B100" s="26">
        <f>2/5*B97+3/5*B102</f>
        <v>1150.8200000000002</v>
      </c>
      <c r="C100">
        <f t="shared" si="10"/>
        <v>0.51602483046089898</v>
      </c>
      <c r="D100" s="27">
        <f t="shared" si="11"/>
        <v>516.02483046089901</v>
      </c>
    </row>
    <row r="101" spans="1:4" x14ac:dyDescent="0.25">
      <c r="A101">
        <v>79</v>
      </c>
      <c r="B101" s="26">
        <f>1/5*B97+4/5*B102</f>
        <v>1109.2600000000002</v>
      </c>
      <c r="C101">
        <f t="shared" si="10"/>
        <v>0.4992501750791683</v>
      </c>
      <c r="D101" s="27">
        <f t="shared" si="11"/>
        <v>499.25017507916829</v>
      </c>
    </row>
    <row r="102" spans="1:4" x14ac:dyDescent="0.25">
      <c r="A102">
        <v>80</v>
      </c>
      <c r="B102">
        <v>1067.7</v>
      </c>
      <c r="C102">
        <f t="shared" si="10"/>
        <v>0.48234953965141814</v>
      </c>
      <c r="D102" s="27">
        <f t="shared" si="11"/>
        <v>482.34953965141813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Sensor</vt:lpstr>
      <vt:lpstr>Temp Sensor</vt:lpstr>
      <vt:lpstr>Voltage Sensor</vt:lpstr>
      <vt:lpstr>Window Comparator</vt:lpstr>
      <vt:lpstr>Anti-Aliasing Filter</vt:lpstr>
      <vt:lpstr>Touch Sensor Oscillator</vt:lpstr>
      <vt:lpstr>Temp Sensor Lookup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Caleb Tran</cp:lastModifiedBy>
  <cp:revision/>
  <dcterms:created xsi:type="dcterms:W3CDTF">2026-08-14T06:23:50Z</dcterms:created>
  <dcterms:modified xsi:type="dcterms:W3CDTF">2026-10-15T23:18:41Z</dcterms:modified>
  <cp:category/>
  <cp:contentStatus/>
</cp:coreProperties>
</file>