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tom\Documents\GitHub\311\Excel\"/>
    </mc:Choice>
  </mc:AlternateContent>
  <xr:revisionPtr revIDLastSave="0" documentId="13_ncr:1_{EC7F3BDD-F69B-4F14-99E6-6CA8FAEB6FD6}" xr6:coauthVersionLast="47" xr6:coauthVersionMax="47" xr10:uidLastSave="{00000000-0000-0000-0000-000000000000}"/>
  <bookViews>
    <workbookView xWindow="-108" yWindow="-108" windowWidth="23256" windowHeight="12456" activeTab="3" xr2:uid="{0EA872C3-4804-43CB-9F0B-5F94DB7B4351}"/>
  </bookViews>
  <sheets>
    <sheet name="SS_Analysis" sheetId="1" r:id="rId1"/>
    <sheet name="Inductor_Design" sheetId="2" r:id="rId2"/>
    <sheet name="Testing_Openloop" sheetId="4" r:id="rId3"/>
    <sheet name="Testing_Closedloop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5" l="1"/>
  <c r="Q7" i="5"/>
  <c r="P7" i="5"/>
  <c r="E7" i="5"/>
  <c r="D7" i="5"/>
  <c r="C7" i="5"/>
  <c r="AB28" i="4"/>
  <c r="AC28" i="4"/>
  <c r="AD28" i="4"/>
  <c r="R28" i="4"/>
  <c r="S28" i="4"/>
  <c r="T28" i="4"/>
  <c r="W28" i="4"/>
  <c r="X28" i="4"/>
  <c r="Y28" i="4"/>
  <c r="H28" i="4"/>
  <c r="I28" i="4"/>
  <c r="J28" i="4"/>
  <c r="M28" i="4"/>
  <c r="N28" i="4"/>
  <c r="O28" i="4"/>
  <c r="E28" i="4"/>
  <c r="D28" i="4"/>
  <c r="C28" i="4"/>
  <c r="H36" i="4"/>
  <c r="G36" i="4"/>
  <c r="D36" i="4"/>
  <c r="C36" i="4"/>
  <c r="B41" i="2" l="1"/>
  <c r="B53" i="2"/>
  <c r="B35" i="2"/>
  <c r="B6" i="2"/>
  <c r="B34" i="2"/>
  <c r="B24" i="2"/>
  <c r="B39" i="2"/>
  <c r="B25" i="2"/>
  <c r="B7" i="2"/>
  <c r="J76" i="1"/>
  <c r="B32" i="1"/>
  <c r="J68" i="1"/>
  <c r="H68" i="1"/>
  <c r="H70" i="1"/>
  <c r="F68" i="1"/>
  <c r="D68" i="1"/>
  <c r="B68" i="1"/>
  <c r="B19" i="1"/>
  <c r="B21" i="1"/>
  <c r="J46" i="1"/>
  <c r="J45" i="1"/>
  <c r="J47" i="1" s="1"/>
  <c r="H46" i="1"/>
  <c r="H45" i="1"/>
  <c r="H47" i="1" s="1"/>
  <c r="H51" i="1" s="1"/>
  <c r="H53" i="1" s="1"/>
  <c r="H44" i="1"/>
  <c r="H52" i="1" s="1"/>
  <c r="H57" i="1" s="1"/>
  <c r="F46" i="1"/>
  <c r="F45" i="1"/>
  <c r="F47" i="1" s="1"/>
  <c r="F44" i="1"/>
  <c r="F105" i="1" s="1"/>
  <c r="D46" i="1"/>
  <c r="D45" i="1"/>
  <c r="D47" i="1" s="1"/>
  <c r="D44" i="1"/>
  <c r="D52" i="1" s="1"/>
  <c r="B45" i="1"/>
  <c r="B47" i="1" s="1"/>
  <c r="B22" i="1"/>
  <c r="B20" i="1"/>
  <c r="B18" i="1"/>
  <c r="B17" i="1"/>
  <c r="F49" i="1" l="1"/>
  <c r="B8" i="2" s="1"/>
  <c r="F54" i="1"/>
  <c r="B23" i="1"/>
  <c r="D49" i="1"/>
  <c r="B33" i="1"/>
  <c r="B34" i="1" s="1"/>
  <c r="D57" i="1"/>
  <c r="H54" i="1"/>
  <c r="J54" i="1"/>
  <c r="D54" i="1"/>
  <c r="F52" i="1"/>
  <c r="F57" i="1" s="1"/>
  <c r="J49" i="1"/>
  <c r="J50" i="1"/>
  <c r="J51" i="1"/>
  <c r="J53" i="1" s="1"/>
  <c r="D51" i="1"/>
  <c r="D53" i="1" s="1"/>
  <c r="H49" i="1"/>
  <c r="D50" i="1"/>
  <c r="H50" i="1"/>
  <c r="F50" i="1"/>
  <c r="F51" i="1"/>
  <c r="J44" i="1"/>
  <c r="J52" i="1" s="1"/>
  <c r="J57" i="1" s="1"/>
  <c r="B24" i="1"/>
  <c r="B11" i="2"/>
  <c r="B47" i="2" l="1"/>
  <c r="B43" i="2"/>
  <c r="B44" i="2" s="1"/>
  <c r="B37" i="2"/>
  <c r="F53" i="1"/>
  <c r="B9" i="2"/>
  <c r="D63" i="1"/>
  <c r="B43" i="1"/>
  <c r="B46" i="1" s="1"/>
  <c r="B54" i="1" s="1"/>
  <c r="F63" i="1"/>
  <c r="J64" i="1"/>
  <c r="D64" i="1"/>
  <c r="H63" i="1"/>
  <c r="B42" i="2" l="1"/>
  <c r="B45" i="2" s="1"/>
  <c r="B46" i="2"/>
  <c r="B49" i="1"/>
  <c r="B44" i="1"/>
  <c r="B64" i="1"/>
  <c r="F64" i="1"/>
  <c r="F48" i="1"/>
  <c r="H64" i="1"/>
  <c r="D105" i="1"/>
  <c r="H105" i="1"/>
  <c r="J63" i="1"/>
  <c r="B105" i="1" l="1"/>
  <c r="B52" i="1"/>
  <c r="B57" i="1" s="1"/>
  <c r="B63" i="1"/>
  <c r="B51" i="1"/>
  <c r="B53" i="1" s="1"/>
  <c r="B50" i="1"/>
  <c r="B48" i="1"/>
  <c r="H48" i="1"/>
  <c r="D48" i="1"/>
  <c r="B36" i="2"/>
  <c r="J48" i="1"/>
</calcChain>
</file>

<file path=xl/sharedStrings.xml><?xml version="1.0" encoding="utf-8"?>
<sst xmlns="http://schemas.openxmlformats.org/spreadsheetml/2006/main" count="647" uniqueCount="320">
  <si>
    <t>Parameter</t>
  </si>
  <si>
    <t>Value</t>
  </si>
  <si>
    <t>Unit</t>
  </si>
  <si>
    <t>V</t>
  </si>
  <si>
    <t>W</t>
  </si>
  <si>
    <t>Operating fs</t>
  </si>
  <si>
    <t>kHz</t>
  </si>
  <si>
    <t>Unit (eq)</t>
  </si>
  <si>
    <t>µH</t>
  </si>
  <si>
    <t>Evaluating Output Capacitor (Theoretical)</t>
  </si>
  <si>
    <t>Max Vo Ripple</t>
  </si>
  <si>
    <t>Min Co</t>
  </si>
  <si>
    <t>Selected Co</t>
  </si>
  <si>
    <t>Evaluating Steady-State Operating Conditions (Theoretical)</t>
  </si>
  <si>
    <t>Vout</t>
  </si>
  <si>
    <t>Pout</t>
  </si>
  <si>
    <t>RLoad</t>
  </si>
  <si>
    <t>Operating D</t>
  </si>
  <si>
    <t>DCM Achieved</t>
  </si>
  <si>
    <t>Validating Steady-State Operating Conditions (Open-Loop Simulations)</t>
  </si>
  <si>
    <t xml:space="preserve">Ohms </t>
  </si>
  <si>
    <t xml:space="preserve">A </t>
  </si>
  <si>
    <t>UC3843 &amp; PI Controller Parameters (Theoretical)</t>
  </si>
  <si>
    <t>Vref for 5V Output</t>
  </si>
  <si>
    <t>Ohms</t>
  </si>
  <si>
    <t>nF</t>
  </si>
  <si>
    <t xml:space="preserve">kOhms </t>
  </si>
  <si>
    <t>Rva</t>
  </si>
  <si>
    <t>Rvb</t>
  </si>
  <si>
    <t>kOhms</t>
  </si>
  <si>
    <t>Selected Kp</t>
  </si>
  <si>
    <t>Selected Ki</t>
  </si>
  <si>
    <t>Validating PI Controller Operation (Closed-Loop Simulations)</t>
  </si>
  <si>
    <t>Vref</t>
  </si>
  <si>
    <t>Settling Time (+/- 5%)</t>
  </si>
  <si>
    <t>ms</t>
  </si>
  <si>
    <t>Max Vin(avg)</t>
  </si>
  <si>
    <t>Min Vin(avg)</t>
  </si>
  <si>
    <t>Nominal Vout(avg)</t>
  </si>
  <si>
    <t>Vin</t>
  </si>
  <si>
    <t>Min Operating D</t>
  </si>
  <si>
    <t>Max Operating D</t>
  </si>
  <si>
    <t>A</t>
  </si>
  <si>
    <t>D for Max L for CCM</t>
  </si>
  <si>
    <t>Min L for CCM</t>
  </si>
  <si>
    <t>dIL</t>
  </si>
  <si>
    <t>Iin(avg) = IL(avg)</t>
  </si>
  <si>
    <t>Iin(rms) = IL(rms)</t>
  </si>
  <si>
    <t>Iin(pk) = IL(pk)</t>
  </si>
  <si>
    <t>Iout(avg) = ID(avg)</t>
  </si>
  <si>
    <t>IC(rms)</t>
  </si>
  <si>
    <t>ISw(rms)</t>
  </si>
  <si>
    <t>VSw(max)</t>
  </si>
  <si>
    <t>VD(max)</t>
  </si>
  <si>
    <t>dVout</t>
  </si>
  <si>
    <t>Evaluating Key Inductor Parameters for CCM (Theoretical)</t>
  </si>
  <si>
    <t>Max Pout(avg)</t>
  </si>
  <si>
    <t>Min Pout(avg)</t>
  </si>
  <si>
    <t>Boost Conveter Design - Part I</t>
  </si>
  <si>
    <t>Max IL(avg) = Iin(avg)</t>
  </si>
  <si>
    <t>Min IL(avg) = Iin(avg)</t>
  </si>
  <si>
    <t>Transformer Design Specifications</t>
  </si>
  <si>
    <t>Max Bmax</t>
  </si>
  <si>
    <t>T</t>
  </si>
  <si>
    <t>Core, Former &amp; Magnet Wire Details</t>
  </si>
  <si>
    <t>Core type</t>
  </si>
  <si>
    <t>EFD20</t>
  </si>
  <si>
    <t>Core material</t>
  </si>
  <si>
    <t>N97</t>
  </si>
  <si>
    <t>Ae</t>
  </si>
  <si>
    <t>mm^2</t>
  </si>
  <si>
    <t>le</t>
  </si>
  <si>
    <t>mm</t>
  </si>
  <si>
    <t>Ve</t>
  </si>
  <si>
    <t>mm^3</t>
  </si>
  <si>
    <t>AN</t>
  </si>
  <si>
    <t>ln</t>
  </si>
  <si>
    <t>Wire ρ</t>
  </si>
  <si>
    <t>Ωm</t>
  </si>
  <si>
    <t>µ0</t>
  </si>
  <si>
    <t>H/m</t>
  </si>
  <si>
    <t>µe</t>
  </si>
  <si>
    <t>Achievable Kf</t>
  </si>
  <si>
    <t>Evaluating Inductor Parameters</t>
  </si>
  <si>
    <t>Selected lg</t>
  </si>
  <si>
    <t>Bmax</t>
  </si>
  <si>
    <t>Bmax &lt; Max Bmax</t>
  </si>
  <si>
    <t>Skin Depth</t>
  </si>
  <si>
    <t xml:space="preserve">Max Rdc Loss in Lp </t>
  </si>
  <si>
    <t>uH</t>
  </si>
  <si>
    <t>Inductor Design - Part II</t>
  </si>
  <si>
    <t>Max RMS IL</t>
  </si>
  <si>
    <t>Max IL(avg)</t>
  </si>
  <si>
    <t>Max IL(pk)</t>
  </si>
  <si>
    <t>Wire Acu</t>
  </si>
  <si>
    <t>Selected Wire Diameter</t>
  </si>
  <si>
    <t>Rdc of Inductor</t>
  </si>
  <si>
    <t>Experimental Results</t>
  </si>
  <si>
    <t>Inductance</t>
  </si>
  <si>
    <t>Rac</t>
  </si>
  <si>
    <t>mOhm</t>
  </si>
  <si>
    <t>Selected L</t>
  </si>
  <si>
    <t>(1-1)</t>
  </si>
  <si>
    <t>(1-2)</t>
  </si>
  <si>
    <t>A (1-3)</t>
  </si>
  <si>
    <t>A (1-4)</t>
  </si>
  <si>
    <t>(1-5)</t>
  </si>
  <si>
    <t>µF</t>
  </si>
  <si>
    <t>Ohms (1-8)</t>
  </si>
  <si>
    <t>(1-9)</t>
  </si>
  <si>
    <t>A (1-10)</t>
  </si>
  <si>
    <t>A (1-11)</t>
  </si>
  <si>
    <t>A (1-12)</t>
  </si>
  <si>
    <t>A (1-13)</t>
  </si>
  <si>
    <t>A (1-14)</t>
  </si>
  <si>
    <t>A (1-15)</t>
  </si>
  <si>
    <t>A (1-16)</t>
  </si>
  <si>
    <t>V (1-17)</t>
  </si>
  <si>
    <t>V (1-18)</t>
  </si>
  <si>
    <t>mV (1-19)</t>
  </si>
  <si>
    <t>Rop1</t>
  </si>
  <si>
    <t>Rop2</t>
  </si>
  <si>
    <t>Min PI Output (Vpi_in)</t>
  </si>
  <si>
    <t>Max PI Output (Vpi_in)</t>
  </si>
  <si>
    <t xml:space="preserve">Cvb </t>
  </si>
  <si>
    <t xml:space="preserve">Ri </t>
  </si>
  <si>
    <t xml:space="preserve">Rrt </t>
  </si>
  <si>
    <t xml:space="preserve">Cct </t>
  </si>
  <si>
    <t xml:space="preserve">Rg </t>
  </si>
  <si>
    <t>Ria</t>
  </si>
  <si>
    <t>Rib</t>
  </si>
  <si>
    <t>Cib</t>
  </si>
  <si>
    <t>Ohms (1-20)</t>
  </si>
  <si>
    <t>pF (1-23)</t>
  </si>
  <si>
    <t>kOhms (1-24)</t>
  </si>
  <si>
    <t>kOhms (1-25)</t>
  </si>
  <si>
    <t>pF (1-26)</t>
  </si>
  <si>
    <t>Boost Design Specifications</t>
  </si>
  <si>
    <t xml:space="preserve">mm </t>
  </si>
  <si>
    <t>Turns (1-1)</t>
  </si>
  <si>
    <t>T (1-2)</t>
  </si>
  <si>
    <t>mm (1-3)</t>
  </si>
  <si>
    <t>mm^2 (1-4)</t>
  </si>
  <si>
    <t>mOhms (1-5)</t>
  </si>
  <si>
    <t>W (1-6)</t>
  </si>
  <si>
    <t>Rdc</t>
  </si>
  <si>
    <t>Rload-crit</t>
  </si>
  <si>
    <t>Min L with 20% margin</t>
  </si>
  <si>
    <t>Max Iout</t>
  </si>
  <si>
    <t>Min Co with 20% margin</t>
  </si>
  <si>
    <t>µF (1-7)</t>
  </si>
  <si>
    <t>Ω</t>
  </si>
  <si>
    <t>µH (1-6)</t>
  </si>
  <si>
    <t>Iin(min) = IL(min)</t>
  </si>
  <si>
    <t>Schottky Diode</t>
  </si>
  <si>
    <t xml:space="preserve">SSA34-E3/61T </t>
  </si>
  <si>
    <t>0.46V (@3A)</t>
  </si>
  <si>
    <t>Yes</t>
  </si>
  <si>
    <t>Vout (avg)</t>
  </si>
  <si>
    <t>Pout (avg)</t>
  </si>
  <si>
    <t>mV</t>
  </si>
  <si>
    <t>Steady State Vout (avg)</t>
  </si>
  <si>
    <t>pF</t>
  </si>
  <si>
    <t>Cf</t>
  </si>
  <si>
    <t>Evaluating Coupling &amp; Pass Capacitors</t>
  </si>
  <si>
    <t xml:space="preserve">C1/C3/C4 </t>
  </si>
  <si>
    <t>Placement Reasoning</t>
  </si>
  <si>
    <t>Placement Location</t>
  </si>
  <si>
    <t>Input side to the MOSFET</t>
  </si>
  <si>
    <t>UC3843 output//Rop1/op2</t>
  </si>
  <si>
    <t>C10</t>
  </si>
  <si>
    <t>RC/CT Circuit near Rrt</t>
  </si>
  <si>
    <t>C5/C6</t>
  </si>
  <si>
    <t xml:space="preserve">Extras on output side of MOSFET </t>
  </si>
  <si>
    <t>Calculation//Formulae</t>
  </si>
  <si>
    <t>Vref bypass capacitor</t>
  </si>
  <si>
    <t>= 0.1uF as per datasheet</t>
  </si>
  <si>
    <t>0.1uf//100nF</t>
  </si>
  <si>
    <t>C12/R21</t>
  </si>
  <si>
    <t>Low pass noise filter to MCU_PI sig</t>
  </si>
  <si>
    <t>Smooth input ripple</t>
  </si>
  <si>
    <t>Act as bypass capacitors</t>
  </si>
  <si>
    <t>- To be done</t>
  </si>
  <si>
    <t>R21 = 37k, C12 = 3.3nF</t>
  </si>
  <si>
    <t>0 - short</t>
  </si>
  <si>
    <t>C15/C16/C17</t>
  </si>
  <si>
    <t>Close by all major elect 'hubs'</t>
  </si>
  <si>
    <t>Respond to local high f noise</t>
  </si>
  <si>
    <t>100nF @ 15.9mOhm per C</t>
  </si>
  <si>
    <t>C = (Idelt)/(delV) = (0.05*10e-6)/0.5. &amp; Xc = 1/(2pifC)</t>
  </si>
  <si>
    <t>Ohms (1-21)</t>
  </si>
  <si>
    <t>Ohms (1-22)</t>
  </si>
  <si>
    <t>Jmax</t>
  </si>
  <si>
    <t>Parallel Wires (Np)</t>
  </si>
  <si>
    <t>Inductor turns (N)</t>
  </si>
  <si>
    <t>Hysteresis loss (Pv)</t>
  </si>
  <si>
    <t>Total loss (Ploss)</t>
  </si>
  <si>
    <t>Bac</t>
  </si>
  <si>
    <t>mT</t>
  </si>
  <si>
    <t>kW/m^3 (1-7)</t>
  </si>
  <si>
    <t>W (1-8)</t>
  </si>
  <si>
    <t>A/mm^2 (1-9)</t>
  </si>
  <si>
    <t>Total conductor area</t>
  </si>
  <si>
    <t xml:space="preserve">R15 and R13 is voltage divider which determines the voltage which the boost converter output must exceed for Vo to be pulled high and </t>
  </si>
  <si>
    <t>10*R13/R16 sets the hysteresis which is set to 0.01V</t>
  </si>
  <si>
    <t>R13 = 1kOhm</t>
  </si>
  <si>
    <t>R15 = 3.3kOhm</t>
  </si>
  <si>
    <t>R16 = 1MOhm</t>
  </si>
  <si>
    <t>R7 limits current through IB/IC.</t>
  </si>
  <si>
    <t>C13 = 10nF</t>
  </si>
  <si>
    <t>R10 = 15kOhm</t>
  </si>
  <si>
    <t xml:space="preserve">C13 and R10 forms a high-pass filter which basically filters out the DC shift of RT/CT. </t>
  </si>
  <si>
    <t>OVP</t>
  </si>
  <si>
    <t>Slope Compensation</t>
  </si>
  <si>
    <t>R11 = 1.5kOhm</t>
  </si>
  <si>
    <t>R10/R11 is a factor that modifies the RT/CT(ac) component to be 20% of the current sense voltage ripple for slope compensation.</t>
  </si>
  <si>
    <t>R23 = 500Ohm</t>
  </si>
  <si>
    <t xml:space="preserve">Limits current through IC. </t>
  </si>
  <si>
    <t>fp = 1/2piRC @ 10MHz corner</t>
  </si>
  <si>
    <t>R7 = 180kOhms</t>
  </si>
  <si>
    <t>Testing with breadboard: E12 values</t>
  </si>
  <si>
    <t>Rl values</t>
  </si>
  <si>
    <t>Rl_E12 values</t>
  </si>
  <si>
    <t>Testing Items for each:</t>
  </si>
  <si>
    <t>Order list: breadboard testing</t>
  </si>
  <si>
    <t>*</t>
  </si>
  <si>
    <t>Output V</t>
  </si>
  <si>
    <t>Breadboard</t>
  </si>
  <si>
    <t>Current through inductor</t>
  </si>
  <si>
    <t>5.6, 10, 22, 33, 47 ohm resistors</t>
  </si>
  <si>
    <t>Current through shunt branch</t>
  </si>
  <si>
    <t>47uH inductor</t>
  </si>
  <si>
    <t>Schotty diode</t>
  </si>
  <si>
    <t>^Note: Others were not measured</t>
  </si>
  <si>
    <t xml:space="preserve">due to time constraints, and lack of </t>
  </si>
  <si>
    <t>&gt; Input V given by DC power supply</t>
  </si>
  <si>
    <t>0.1ohm shunt resistors available.</t>
  </si>
  <si>
    <t>&gt;Switch operated using oscilloscope</t>
  </si>
  <si>
    <t>Rl = 5.6</t>
  </si>
  <si>
    <t>Real R: 5.58</t>
  </si>
  <si>
    <t>Rl = 10</t>
  </si>
  <si>
    <t>Real R: 10.07</t>
  </si>
  <si>
    <t>Rl = 22</t>
  </si>
  <si>
    <t>Real R: 22.08</t>
  </si>
  <si>
    <t>Rl = 33</t>
  </si>
  <si>
    <t>Real R: 32.89</t>
  </si>
  <si>
    <t>Rl = 47</t>
  </si>
  <si>
    <t>Real R: 47.13</t>
  </si>
  <si>
    <t>Input V</t>
  </si>
  <si>
    <t>Duty Cycle</t>
  </si>
  <si>
    <t>3V</t>
  </si>
  <si>
    <t>3.5V</t>
  </si>
  <si>
    <t>3.8V</t>
  </si>
  <si>
    <t>3.9V</t>
  </si>
  <si>
    <t>3.4V</t>
  </si>
  <si>
    <t>4V</t>
  </si>
  <si>
    <t>4.1V</t>
  </si>
  <si>
    <t>4.2V</t>
  </si>
  <si>
    <t>4.26V</t>
  </si>
  <si>
    <t>4.3V</t>
  </si>
  <si>
    <t>Testing on PCB in Open Loop (Ideal Conditions)</t>
  </si>
  <si>
    <t>Rl = 5</t>
  </si>
  <si>
    <t>Rl = 20</t>
  </si>
  <si>
    <t>Rl = 30</t>
  </si>
  <si>
    <t>Rl = 40</t>
  </si>
  <si>
    <t>Rl = 50</t>
  </si>
  <si>
    <t>Efficiency</t>
  </si>
  <si>
    <t>Pin</t>
  </si>
  <si>
    <t>&gt;Testing duty cycle that gives Vout = 5V (less test cases)</t>
  </si>
  <si>
    <t>At, 65% duty cycle it starts to limit</t>
  </si>
  <si>
    <t>*Overvoltage cannot occur at 5ohms since</t>
  </si>
  <si>
    <t>current is limited to 3A</t>
  </si>
  <si>
    <t>*Overvoltage limits voltage to 5.99V at 3.5V Vin</t>
  </si>
  <si>
    <t>At 65% duty cycle it starts to limit</t>
  </si>
  <si>
    <t>*Overvoltage limits voltage to 5.97V at 2.5V Vin</t>
  </si>
  <si>
    <t>1 - 0.35</t>
  </si>
  <si>
    <t>V ripple</t>
  </si>
  <si>
    <t>1 - 0.47</t>
  </si>
  <si>
    <t>1 - 0.6</t>
  </si>
  <si>
    <t>1 - 0.67</t>
  </si>
  <si>
    <t>Output Voltages as displayed on Oscilloscope - (At boundary conditions - 2.5/3.5V, 5/50ohm)</t>
  </si>
  <si>
    <t>Speed: 286.4ns</t>
  </si>
  <si>
    <t>Over Voltage Protection (OVP) testing</t>
  </si>
  <si>
    <t>Current feedback testing - (IFB is input, IFBF is output)</t>
  </si>
  <si>
    <t>IFB(mean) (mV)</t>
  </si>
  <si>
    <t>IFB(peak) (mV)</t>
  </si>
  <si>
    <t>IFBF(mean) (mV)</t>
  </si>
  <si>
    <t>IFBF(peak) (mV)</t>
  </si>
  <si>
    <t>Voltage divider check:</t>
  </si>
  <si>
    <t>Duty cycle</t>
  </si>
  <si>
    <t>VFB(mean) (V)</t>
  </si>
  <si>
    <t>VFBF(mean) (V)</t>
  </si>
  <si>
    <t>VFB(pk-pk amplitude) (V)</t>
  </si>
  <si>
    <t>VFBF(pk-pk amplitude) (V)</t>
  </si>
  <si>
    <t>Filename (output/IFBF)</t>
  </si>
  <si>
    <t>Filename (input/IFB)</t>
  </si>
  <si>
    <t>5_25_O</t>
  </si>
  <si>
    <t>5_25_I</t>
  </si>
  <si>
    <t>C1</t>
  </si>
  <si>
    <t>C2</t>
  </si>
  <si>
    <t>50_25_I2</t>
  </si>
  <si>
    <t>50_25_O</t>
  </si>
  <si>
    <t>5_35_I</t>
  </si>
  <si>
    <t>50_35_I</t>
  </si>
  <si>
    <t>50_35_O</t>
  </si>
  <si>
    <t>5_35_O</t>
  </si>
  <si>
    <t>VDIV_I</t>
  </si>
  <si>
    <t>VDIV_O</t>
  </si>
  <si>
    <t>Current sense input &amp; output values as displayed on Oscilloscope</t>
  </si>
  <si>
    <t>OverVoltage threshold is 6.1, which was found (+detailed in report) by incrementing in 0.1V intervals to the</t>
  </si>
  <si>
    <t>input of the OVP comparator</t>
  </si>
  <si>
    <t xml:space="preserve">From putting a 7v signal through the 5v pin on the pcb, then measuring Vout and capturing the time it takes on a rising </t>
  </si>
  <si>
    <t>edge to go high  (set to 6V)</t>
  </si>
  <si>
    <t>OVP testing results as displayed on Oscilloscope</t>
  </si>
  <si>
    <t>MCU_VFB</t>
  </si>
  <si>
    <t>2.5V Vin Results</t>
  </si>
  <si>
    <t>Rl</t>
  </si>
  <si>
    <t>3.5V Vin Results</t>
  </si>
  <si>
    <t>V ripple (mV)</t>
  </si>
  <si>
    <t>Trise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</si>
</sst>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E+00"/>
    <numFmt numFmtId="166" formatCode="0.000"/>
    <numFmt numFmtId="167" formatCode="0.00000"/>
    <numFmt numFmtId="168" formatCode="0.0000000"/>
    <numFmt numFmtId="169" formatCode="0.00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</fills>
  <borders count="6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double">
        <color rgb="FF3F3F3F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double">
        <color rgb="FF3F3F3F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double">
        <color rgb="FF3F3F3F"/>
      </right>
      <top/>
      <bottom/>
      <diagonal/>
    </border>
    <border>
      <left style="thin">
        <color auto="1"/>
      </left>
      <right style="double">
        <color rgb="FF3F3F3F"/>
      </right>
      <top style="thin">
        <color auto="1"/>
      </top>
      <bottom/>
      <diagonal/>
    </border>
    <border>
      <left style="double">
        <color rgb="FF3F3F3F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rgb="FF3F3F3F"/>
      </left>
      <right style="thin">
        <color auto="1"/>
      </right>
      <top style="double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double">
        <color rgb="FF3F3F3F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double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3F3F3F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thin">
        <color rgb="FF3F3F3F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/>
      <diagonal/>
    </border>
    <border>
      <left style="thin">
        <color auto="1"/>
      </left>
      <right style="thin">
        <color auto="1"/>
      </right>
      <top style="thin">
        <color rgb="FF3F3F3F"/>
      </top>
      <bottom/>
      <diagonal/>
    </border>
    <border>
      <left style="thin">
        <color auto="1"/>
      </left>
      <right style="double">
        <color rgb="FF3F3F3F"/>
      </right>
      <top style="thin">
        <color rgb="FF3F3F3F"/>
      </top>
      <bottom/>
      <diagonal/>
    </border>
    <border>
      <left style="double">
        <color rgb="FF3F3F3F"/>
      </left>
      <right style="thin">
        <color rgb="FF3F3F3F"/>
      </right>
      <top style="double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double">
        <color rgb="FF3F3F3F"/>
      </top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 style="double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double">
        <color rgb="FF3F3F3F"/>
      </left>
      <right style="thin">
        <color rgb="FF3F3F3F"/>
      </right>
      <top style="thin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double">
        <color rgb="FF3F3F3F"/>
      </bottom>
      <diagonal/>
    </border>
    <border>
      <left style="thin">
        <color rgb="FF3F3F3F"/>
      </left>
      <right style="double">
        <color rgb="FF3F3F3F"/>
      </right>
      <top style="thin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/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000000"/>
      </top>
      <bottom style="double">
        <color rgb="FF000000"/>
      </bottom>
      <diagonal/>
    </border>
    <border>
      <left style="double">
        <color rgb="FF3F3F3F"/>
      </left>
      <right style="thin">
        <color rgb="FF3F3F3F"/>
      </right>
      <top/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/>
      <bottom style="double">
        <color rgb="FF3F3F3F"/>
      </bottom>
      <diagonal/>
    </border>
    <border>
      <left style="thin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/>
      <bottom style="double">
        <color rgb="FF000000"/>
      </bottom>
      <diagonal/>
    </border>
    <border>
      <left style="thin">
        <color rgb="FF3F3F3F"/>
      </left>
      <right style="double">
        <color rgb="FF3F3F3F"/>
      </right>
      <top/>
      <bottom style="double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double">
        <color rgb="FF3F3F3F"/>
      </left>
      <right style="double">
        <color rgb="FF3F3F3F"/>
      </right>
      <top style="thin">
        <color indexed="64"/>
      </top>
      <bottom style="double">
        <color rgb="FF3F3F3F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double">
        <color rgb="FF3F3F3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</borders>
  <cellStyleXfs count="15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9" fontId="1" fillId="0" borderId="0" applyFont="0" applyFill="0" applyBorder="0" applyAlignment="0" applyProtection="0"/>
    <xf numFmtId="0" fontId="10" fillId="7" borderId="65" applyNumberFormat="0" applyAlignment="0" applyProtection="0"/>
    <xf numFmtId="0" fontId="1" fillId="8" borderId="66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</cellStyleXfs>
  <cellXfs count="170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1"/>
    <xf numFmtId="0" fontId="1" fillId="3" borderId="2" xfId="2" applyBorder="1"/>
    <xf numFmtId="2" fontId="0" fillId="4" borderId="3" xfId="0" applyNumberFormat="1" applyFill="1" applyBorder="1"/>
    <xf numFmtId="0" fontId="0" fillId="0" borderId="4" xfId="0" applyBorder="1"/>
    <xf numFmtId="0" fontId="1" fillId="3" borderId="5" xfId="2" applyBorder="1"/>
    <xf numFmtId="2" fontId="0" fillId="4" borderId="6" xfId="0" applyNumberFormat="1" applyFill="1" applyBorder="1"/>
    <xf numFmtId="0" fontId="0" fillId="0" borderId="7" xfId="0" applyBorder="1"/>
    <xf numFmtId="0" fontId="1" fillId="3" borderId="8" xfId="2" applyBorder="1"/>
    <xf numFmtId="2" fontId="0" fillId="4" borderId="9" xfId="0" applyNumberFormat="1" applyFill="1" applyBorder="1"/>
    <xf numFmtId="0" fontId="0" fillId="0" borderId="10" xfId="0" applyBorder="1"/>
    <xf numFmtId="0" fontId="5" fillId="0" borderId="0" xfId="0" applyFont="1"/>
    <xf numFmtId="49" fontId="0" fillId="0" borderId="4" xfId="0" applyNumberFormat="1" applyBorder="1"/>
    <xf numFmtId="0" fontId="1" fillId="3" borderId="11" xfId="2" applyBorder="1"/>
    <xf numFmtId="2" fontId="0" fillId="0" borderId="12" xfId="0" applyNumberFormat="1" applyBorder="1"/>
    <xf numFmtId="49" fontId="0" fillId="0" borderId="13" xfId="0" applyNumberFormat="1" applyBorder="1"/>
    <xf numFmtId="49" fontId="0" fillId="0" borderId="14" xfId="0" applyNumberFormat="1" applyBorder="1"/>
    <xf numFmtId="49" fontId="0" fillId="0" borderId="10" xfId="0" applyNumberFormat="1" applyBorder="1"/>
    <xf numFmtId="49" fontId="0" fillId="0" borderId="3" xfId="0" applyNumberFormat="1" applyBorder="1"/>
    <xf numFmtId="49" fontId="0" fillId="0" borderId="16" xfId="0" applyNumberFormat="1" applyBorder="1"/>
    <xf numFmtId="49" fontId="0" fillId="0" borderId="6" xfId="0" applyNumberFormat="1" applyBorder="1"/>
    <xf numFmtId="49" fontId="0" fillId="0" borderId="17" xfId="0" applyNumberFormat="1" applyBorder="1"/>
    <xf numFmtId="2" fontId="0" fillId="0" borderId="6" xfId="0" applyNumberFormat="1" applyBorder="1"/>
    <xf numFmtId="2" fontId="0" fillId="4" borderId="6" xfId="0" applyNumberFormat="1" applyFill="1" applyBorder="1" applyAlignment="1">
      <alignment horizontal="right"/>
    </xf>
    <xf numFmtId="2" fontId="0" fillId="0" borderId="6" xfId="0" applyNumberFormat="1" applyBorder="1" applyAlignment="1">
      <alignment horizontal="right"/>
    </xf>
    <xf numFmtId="0" fontId="1" fillId="3" borderId="18" xfId="2" applyBorder="1"/>
    <xf numFmtId="2" fontId="0" fillId="0" borderId="19" xfId="0" applyNumberFormat="1" applyBorder="1"/>
    <xf numFmtId="49" fontId="0" fillId="0" borderId="19" xfId="0" applyNumberFormat="1" applyBorder="1"/>
    <xf numFmtId="49" fontId="0" fillId="0" borderId="9" xfId="0" applyNumberFormat="1" applyBorder="1"/>
    <xf numFmtId="49" fontId="0" fillId="0" borderId="20" xfId="0" applyNumberFormat="1" applyBorder="1"/>
    <xf numFmtId="164" fontId="0" fillId="0" borderId="0" xfId="0" applyNumberFormat="1"/>
    <xf numFmtId="49" fontId="0" fillId="0" borderId="0" xfId="0" applyNumberFormat="1"/>
    <xf numFmtId="2" fontId="0" fillId="4" borderId="12" xfId="0" applyNumberFormat="1" applyFill="1" applyBorder="1"/>
    <xf numFmtId="49" fontId="0" fillId="0" borderId="21" xfId="0" applyNumberFormat="1" applyBorder="1"/>
    <xf numFmtId="2" fontId="6" fillId="4" borderId="12" xfId="0" applyNumberFormat="1" applyFont="1" applyFill="1" applyBorder="1"/>
    <xf numFmtId="0" fontId="0" fillId="3" borderId="2" xfId="2" applyFont="1" applyBorder="1"/>
    <xf numFmtId="0" fontId="0" fillId="3" borderId="5" xfId="2" applyFont="1" applyBorder="1"/>
    <xf numFmtId="2" fontId="0" fillId="4" borderId="19" xfId="0" applyNumberFormat="1" applyFill="1" applyBorder="1"/>
    <xf numFmtId="0" fontId="0" fillId="0" borderId="22" xfId="0" applyBorder="1"/>
    <xf numFmtId="2" fontId="0" fillId="4" borderId="15" xfId="0" applyNumberFormat="1" applyFill="1" applyBorder="1"/>
    <xf numFmtId="49" fontId="0" fillId="0" borderId="15" xfId="0" applyNumberFormat="1" applyBorder="1"/>
    <xf numFmtId="49" fontId="0" fillId="0" borderId="24" xfId="0" applyNumberFormat="1" applyBorder="1"/>
    <xf numFmtId="0" fontId="0" fillId="3" borderId="23" xfId="2" applyFont="1" applyBorder="1"/>
    <xf numFmtId="0" fontId="0" fillId="3" borderId="25" xfId="2" applyFont="1" applyBorder="1"/>
    <xf numFmtId="49" fontId="0" fillId="0" borderId="27" xfId="0" applyNumberFormat="1" applyBorder="1"/>
    <xf numFmtId="0" fontId="0" fillId="3" borderId="28" xfId="2" applyFont="1" applyBorder="1"/>
    <xf numFmtId="49" fontId="0" fillId="0" borderId="30" xfId="0" applyNumberFormat="1" applyBorder="1"/>
    <xf numFmtId="0" fontId="0" fillId="3" borderId="31" xfId="2" applyFont="1" applyBorder="1"/>
    <xf numFmtId="2" fontId="0" fillId="0" borderId="32" xfId="0" applyNumberFormat="1" applyBorder="1"/>
    <xf numFmtId="49" fontId="0" fillId="0" borderId="33" xfId="0" applyNumberFormat="1" applyBorder="1"/>
    <xf numFmtId="0" fontId="0" fillId="3" borderId="11" xfId="2" applyFont="1" applyBorder="1"/>
    <xf numFmtId="2" fontId="0" fillId="5" borderId="3" xfId="0" applyNumberFormat="1" applyFill="1" applyBorder="1"/>
    <xf numFmtId="2" fontId="0" fillId="5" borderId="15" xfId="0" applyNumberFormat="1" applyFill="1" applyBorder="1"/>
    <xf numFmtId="2" fontId="0" fillId="5" borderId="6" xfId="0" applyNumberFormat="1" applyFill="1" applyBorder="1"/>
    <xf numFmtId="0" fontId="0" fillId="3" borderId="35" xfId="2" applyFont="1" applyBorder="1"/>
    <xf numFmtId="2" fontId="0" fillId="0" borderId="36" xfId="0" applyNumberFormat="1" applyBorder="1"/>
    <xf numFmtId="49" fontId="0" fillId="0" borderId="37" xfId="0" applyNumberFormat="1" applyBorder="1"/>
    <xf numFmtId="0" fontId="1" fillId="3" borderId="38" xfId="2" applyBorder="1"/>
    <xf numFmtId="164" fontId="0" fillId="4" borderId="39" xfId="0" applyNumberFormat="1" applyFill="1" applyBorder="1" applyAlignment="1">
      <alignment horizontal="right"/>
    </xf>
    <xf numFmtId="49" fontId="0" fillId="0" borderId="40" xfId="0" applyNumberFormat="1" applyBorder="1"/>
    <xf numFmtId="0" fontId="1" fillId="3" borderId="41" xfId="2" applyBorder="1"/>
    <xf numFmtId="0" fontId="0" fillId="4" borderId="34" xfId="0" applyFill="1" applyBorder="1" applyAlignment="1">
      <alignment horizontal="right"/>
    </xf>
    <xf numFmtId="0" fontId="0" fillId="0" borderId="42" xfId="0" applyBorder="1"/>
    <xf numFmtId="2" fontId="0" fillId="0" borderId="34" xfId="0" applyNumberFormat="1" applyBorder="1"/>
    <xf numFmtId="165" fontId="0" fillId="0" borderId="34" xfId="0" applyNumberFormat="1" applyBorder="1"/>
    <xf numFmtId="0" fontId="1" fillId="3" borderId="43" xfId="2" applyBorder="1"/>
    <xf numFmtId="0" fontId="1" fillId="3" borderId="45" xfId="2" applyBorder="1"/>
    <xf numFmtId="2" fontId="0" fillId="4" borderId="46" xfId="0" applyNumberFormat="1" applyFill="1" applyBorder="1"/>
    <xf numFmtId="0" fontId="0" fillId="0" borderId="47" xfId="0" applyBorder="1"/>
    <xf numFmtId="0" fontId="0" fillId="4" borderId="39" xfId="0" applyFill="1" applyBorder="1"/>
    <xf numFmtId="0" fontId="0" fillId="0" borderId="40" xfId="0" applyBorder="1"/>
    <xf numFmtId="2" fontId="0" fillId="0" borderId="0" xfId="0" applyNumberFormat="1"/>
    <xf numFmtId="0" fontId="1" fillId="3" borderId="48" xfId="2" applyBorder="1"/>
    <xf numFmtId="0" fontId="0" fillId="0" borderId="49" xfId="0" applyBorder="1"/>
    <xf numFmtId="0" fontId="0" fillId="0" borderId="50" xfId="0" applyBorder="1"/>
    <xf numFmtId="166" fontId="0" fillId="0" borderId="49" xfId="0" applyNumberFormat="1" applyBorder="1"/>
    <xf numFmtId="167" fontId="0" fillId="0" borderId="0" xfId="0" applyNumberFormat="1"/>
    <xf numFmtId="0" fontId="0" fillId="4" borderId="49" xfId="0" applyFill="1" applyBorder="1" applyAlignment="1">
      <alignment horizontal="right"/>
    </xf>
    <xf numFmtId="0" fontId="0" fillId="4" borderId="49" xfId="0" applyFill="1" applyBorder="1"/>
    <xf numFmtId="0" fontId="0" fillId="3" borderId="48" xfId="2" applyFont="1" applyBorder="1"/>
    <xf numFmtId="0" fontId="0" fillId="3" borderId="51" xfId="2" applyFont="1" applyBorder="1"/>
    <xf numFmtId="0" fontId="1" fillId="3" borderId="52" xfId="2" applyBorder="1"/>
    <xf numFmtId="0" fontId="0" fillId="0" borderId="54" xfId="0" applyBorder="1"/>
    <xf numFmtId="0" fontId="0" fillId="3" borderId="8" xfId="2" applyFont="1" applyBorder="1"/>
    <xf numFmtId="0" fontId="0" fillId="0" borderId="55" xfId="0" applyBorder="1"/>
    <xf numFmtId="0" fontId="0" fillId="0" borderId="56" xfId="0" applyBorder="1"/>
    <xf numFmtId="0" fontId="0" fillId="0" borderId="34" xfId="0" applyBorder="1"/>
    <xf numFmtId="9" fontId="0" fillId="0" borderId="26" xfId="3" applyFont="1" applyBorder="1"/>
    <xf numFmtId="9" fontId="0" fillId="0" borderId="29" xfId="3" applyFont="1" applyBorder="1"/>
    <xf numFmtId="9" fontId="0" fillId="0" borderId="12" xfId="3" applyFont="1" applyBorder="1"/>
    <xf numFmtId="0" fontId="0" fillId="0" borderId="12" xfId="3" applyNumberFormat="1" applyFont="1" applyBorder="1"/>
    <xf numFmtId="0" fontId="0" fillId="3" borderId="18" xfId="2" applyFont="1" applyBorder="1"/>
    <xf numFmtId="1" fontId="0" fillId="4" borderId="9" xfId="0" applyNumberFormat="1" applyFill="1" applyBorder="1"/>
    <xf numFmtId="0" fontId="1" fillId="3" borderId="58" xfId="2" applyBorder="1"/>
    <xf numFmtId="2" fontId="0" fillId="6" borderId="57" xfId="0" applyNumberFormat="1" applyFill="1" applyBorder="1"/>
    <xf numFmtId="49" fontId="0" fillId="0" borderId="22" xfId="0" applyNumberFormat="1" applyBorder="1"/>
    <xf numFmtId="9" fontId="0" fillId="0" borderId="6" xfId="3" applyFont="1" applyBorder="1"/>
    <xf numFmtId="168" fontId="0" fillId="4" borderId="6" xfId="0" applyNumberFormat="1" applyFill="1" applyBorder="1" applyAlignment="1">
      <alignment horizontal="right"/>
    </xf>
    <xf numFmtId="166" fontId="0" fillId="0" borderId="6" xfId="0" applyNumberFormat="1" applyBorder="1"/>
    <xf numFmtId="166" fontId="0" fillId="0" borderId="19" xfId="0" applyNumberFormat="1" applyBorder="1"/>
    <xf numFmtId="166" fontId="0" fillId="0" borderId="9" xfId="0" applyNumberFormat="1" applyBorder="1"/>
    <xf numFmtId="2" fontId="0" fillId="0" borderId="57" xfId="0" applyNumberFormat="1" applyBorder="1"/>
    <xf numFmtId="2" fontId="0" fillId="0" borderId="19" xfId="0" applyNumberFormat="1" applyBorder="1" applyAlignment="1">
      <alignment horizontal="right"/>
    </xf>
    <xf numFmtId="166" fontId="0" fillId="0" borderId="6" xfId="0" applyNumberFormat="1" applyBorder="1" applyAlignment="1">
      <alignment horizontal="right"/>
    </xf>
    <xf numFmtId="169" fontId="0" fillId="0" borderId="0" xfId="0" applyNumberFormat="1"/>
    <xf numFmtId="164" fontId="0" fillId="0" borderId="9" xfId="0" applyNumberFormat="1" applyBorder="1"/>
    <xf numFmtId="1" fontId="0" fillId="0" borderId="12" xfId="0" applyNumberFormat="1" applyBorder="1"/>
    <xf numFmtId="1" fontId="0" fillId="0" borderId="9" xfId="0" applyNumberFormat="1" applyBorder="1"/>
    <xf numFmtId="0" fontId="0" fillId="0" borderId="9" xfId="0" applyBorder="1"/>
    <xf numFmtId="0" fontId="0" fillId="0" borderId="59" xfId="0" applyBorder="1"/>
    <xf numFmtId="49" fontId="0" fillId="0" borderId="59" xfId="0" applyNumberFormat="1" applyBorder="1"/>
    <xf numFmtId="0" fontId="2" fillId="2" borderId="60" xfId="1" applyBorder="1"/>
    <xf numFmtId="166" fontId="0" fillId="0" borderId="0" xfId="0" applyNumberFormat="1"/>
    <xf numFmtId="0" fontId="1" fillId="3" borderId="61" xfId="2" applyBorder="1"/>
    <xf numFmtId="166" fontId="0" fillId="0" borderId="59" xfId="0" applyNumberFormat="1" applyBorder="1"/>
    <xf numFmtId="2" fontId="0" fillId="6" borderId="6" xfId="0" applyNumberFormat="1" applyFill="1" applyBorder="1"/>
    <xf numFmtId="49" fontId="8" fillId="0" borderId="6" xfId="0" applyNumberFormat="1" applyFont="1" applyBorder="1"/>
    <xf numFmtId="165" fontId="0" fillId="0" borderId="0" xfId="0" applyNumberFormat="1"/>
    <xf numFmtId="169" fontId="0" fillId="0" borderId="49" xfId="0" applyNumberFormat="1" applyBorder="1"/>
    <xf numFmtId="0" fontId="0" fillId="0" borderId="44" xfId="0" applyBorder="1"/>
    <xf numFmtId="2" fontId="0" fillId="0" borderId="49" xfId="0" applyNumberFormat="1" applyBorder="1"/>
    <xf numFmtId="1" fontId="0" fillId="0" borderId="49" xfId="0" applyNumberFormat="1" applyBorder="1"/>
    <xf numFmtId="169" fontId="0" fillId="0" borderId="53" xfId="0" applyNumberFormat="1" applyBorder="1"/>
    <xf numFmtId="0" fontId="1" fillId="3" borderId="62" xfId="2" applyBorder="1"/>
    <xf numFmtId="169" fontId="0" fillId="0" borderId="63" xfId="0" applyNumberFormat="1" applyBorder="1"/>
    <xf numFmtId="0" fontId="0" fillId="0" borderId="64" xfId="0" applyBorder="1"/>
    <xf numFmtId="0" fontId="1" fillId="3" borderId="0" xfId="2" applyBorder="1"/>
    <xf numFmtId="0" fontId="9" fillId="0" borderId="0" xfId="0" applyFont="1"/>
    <xf numFmtId="0" fontId="0" fillId="3" borderId="0" xfId="2" applyFont="1" applyBorder="1"/>
    <xf numFmtId="167" fontId="0" fillId="0" borderId="34" xfId="0" applyNumberFormat="1" applyBorder="1"/>
    <xf numFmtId="0" fontId="1" fillId="9" borderId="0" xfId="6"/>
    <xf numFmtId="0" fontId="1" fillId="3" borderId="0" xfId="2"/>
    <xf numFmtId="0" fontId="1" fillId="13" borderId="0" xfId="10"/>
    <xf numFmtId="9" fontId="1" fillId="13" borderId="0" xfId="10" applyNumberFormat="1"/>
    <xf numFmtId="0" fontId="1" fillId="12" borderId="0" xfId="9"/>
    <xf numFmtId="0" fontId="1" fillId="10" borderId="0" xfId="7"/>
    <xf numFmtId="0" fontId="1" fillId="11" borderId="0" xfId="8"/>
    <xf numFmtId="0" fontId="1" fillId="8" borderId="66" xfId="5"/>
    <xf numFmtId="9" fontId="1" fillId="8" borderId="66" xfId="5" applyNumberFormat="1"/>
    <xf numFmtId="0" fontId="1" fillId="10" borderId="0" xfId="7" applyBorder="1"/>
    <xf numFmtId="0" fontId="1" fillId="11" borderId="0" xfId="8" applyBorder="1"/>
    <xf numFmtId="0" fontId="10" fillId="7" borderId="65" xfId="4"/>
    <xf numFmtId="0" fontId="0" fillId="8" borderId="66" xfId="5" applyFont="1"/>
    <xf numFmtId="0" fontId="0" fillId="8" borderId="67" xfId="5" applyFont="1" applyBorder="1"/>
    <xf numFmtId="0" fontId="11" fillId="14" borderId="0" xfId="11" applyBorder="1"/>
    <xf numFmtId="0" fontId="11" fillId="14" borderId="0" xfId="11"/>
    <xf numFmtId="0" fontId="1" fillId="17" borderId="0" xfId="14" applyBorder="1"/>
    <xf numFmtId="0" fontId="1" fillId="17" borderId="0" xfId="14"/>
    <xf numFmtId="0" fontId="1" fillId="16" borderId="0" xfId="13"/>
    <xf numFmtId="0" fontId="1" fillId="16" borderId="0" xfId="13" applyBorder="1" applyAlignment="1"/>
    <xf numFmtId="0" fontId="1" fillId="15" borderId="66" xfId="12" applyBorder="1"/>
    <xf numFmtId="0" fontId="0" fillId="15" borderId="66" xfId="12" applyFont="1" applyBorder="1"/>
    <xf numFmtId="0" fontId="0" fillId="15" borderId="66" xfId="12" applyNumberFormat="1" applyFont="1" applyBorder="1"/>
    <xf numFmtId="0" fontId="1" fillId="15" borderId="66" xfId="12" applyNumberFormat="1" applyBorder="1"/>
    <xf numFmtId="0" fontId="0" fillId="16" borderId="0" xfId="13" applyFont="1" applyBorder="1" applyAlignment="1">
      <alignment wrapText="1"/>
    </xf>
    <xf numFmtId="0" fontId="9" fillId="15" borderId="66" xfId="12" applyFont="1" applyBorder="1"/>
    <xf numFmtId="0" fontId="9" fillId="16" borderId="0" xfId="13" applyFont="1" applyAlignment="1">
      <alignment wrapText="1"/>
    </xf>
    <xf numFmtId="0" fontId="9" fillId="16" borderId="0" xfId="13" applyFont="1" applyBorder="1" applyAlignment="1">
      <alignment wrapText="1"/>
    </xf>
    <xf numFmtId="0" fontId="1" fillId="15" borderId="0" xfId="12"/>
    <xf numFmtId="0" fontId="0" fillId="0" borderId="0" xfId="0" applyAlignment="1">
      <alignment wrapText="1"/>
    </xf>
    <xf numFmtId="0" fontId="9" fillId="10" borderId="0" xfId="7" applyFont="1" applyBorder="1"/>
    <xf numFmtId="0" fontId="9" fillId="8" borderId="66" xfId="5" applyFont="1"/>
    <xf numFmtId="0" fontId="9" fillId="10" borderId="0" xfId="7" applyFont="1"/>
    <xf numFmtId="9" fontId="9" fillId="8" borderId="66" xfId="5" applyNumberFormat="1" applyFont="1"/>
    <xf numFmtId="0" fontId="0" fillId="11" borderId="0" xfId="8" applyFont="1" applyBorder="1"/>
    <xf numFmtId="0" fontId="0" fillId="10" borderId="0" xfId="7" applyFont="1" applyBorder="1"/>
    <xf numFmtId="0" fontId="0" fillId="8" borderId="67" xfId="5" applyFont="1" applyBorder="1" applyAlignment="1">
      <alignment horizontal="right"/>
    </xf>
    <xf numFmtId="0" fontId="0" fillId="8" borderId="66" xfId="5" applyFont="1" applyAlignment="1">
      <alignment horizontal="right"/>
    </xf>
  </cellXfs>
  <cellStyles count="15">
    <cellStyle name="20% - Accent1" xfId="2" builtinId="30"/>
    <cellStyle name="20% - Accent5" xfId="12" builtinId="46"/>
    <cellStyle name="20% - Accent6" xfId="10" builtinId="50"/>
    <cellStyle name="40% - Accent1" xfId="6" builtinId="31"/>
    <cellStyle name="40% - Accent2" xfId="7" builtinId="35"/>
    <cellStyle name="40% - Accent4" xfId="9" builtinId="43"/>
    <cellStyle name="40% - Accent5" xfId="13" builtinId="47"/>
    <cellStyle name="60% - Accent2" xfId="8" builtinId="36"/>
    <cellStyle name="60% - Accent5" xfId="14" builtinId="48"/>
    <cellStyle name="Calculation" xfId="4" builtinId="22"/>
    <cellStyle name="Check Cell" xfId="1" builtinId="23"/>
    <cellStyle name="Neutral" xfId="11" builtinId="28"/>
    <cellStyle name="Normal" xfId="0" builtinId="0"/>
    <cellStyle name="Note" xfId="5" builtinId="1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81</xdr:row>
      <xdr:rowOff>7620</xdr:rowOff>
    </xdr:from>
    <xdr:to>
      <xdr:col>7</xdr:col>
      <xdr:colOff>189547</xdr:colOff>
      <xdr:row>97</xdr:row>
      <xdr:rowOff>116205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663EDE-5E45-D283-182E-D29182547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16101060"/>
          <a:ext cx="3362325" cy="3171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13857</xdr:colOff>
      <xdr:row>31</xdr:row>
      <xdr:rowOff>2</xdr:rowOff>
    </xdr:from>
    <xdr:to>
      <xdr:col>21</xdr:col>
      <xdr:colOff>346364</xdr:colOff>
      <xdr:row>43</xdr:row>
      <xdr:rowOff>102704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7EAD04-260A-155D-294C-837BBD2CB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7857" y="5403275"/>
          <a:ext cx="3990107" cy="2264011"/>
        </a:xfrm>
        <a:prstGeom prst="rect">
          <a:avLst/>
        </a:prstGeom>
      </xdr:spPr>
    </xdr:pic>
    <xdr:clientData/>
  </xdr:twoCellAnchor>
  <xdr:twoCellAnchor editAs="oneCell">
    <xdr:from>
      <xdr:col>21</xdr:col>
      <xdr:colOff>472248</xdr:colOff>
      <xdr:row>31</xdr:row>
      <xdr:rowOff>100707</xdr:rowOff>
    </xdr:from>
    <xdr:to>
      <xdr:col>28</xdr:col>
      <xdr:colOff>259458</xdr:colOff>
      <xdr:row>44</xdr:row>
      <xdr:rowOff>59957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943837-512B-AE1D-34B4-B274ADB01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5022" y="5688707"/>
          <a:ext cx="4031468" cy="2302605"/>
        </a:xfrm>
        <a:prstGeom prst="rect">
          <a:avLst/>
        </a:prstGeom>
      </xdr:spPr>
    </xdr:pic>
    <xdr:clientData/>
  </xdr:twoCellAnchor>
  <xdr:twoCellAnchor editAs="oneCell">
    <xdr:from>
      <xdr:col>21</xdr:col>
      <xdr:colOff>367555</xdr:colOff>
      <xdr:row>43</xdr:row>
      <xdr:rowOff>62754</xdr:rowOff>
    </xdr:from>
    <xdr:to>
      <xdr:col>28</xdr:col>
      <xdr:colOff>332509</xdr:colOff>
      <xdr:row>56</xdr:row>
      <xdr:rowOff>103650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26C3D7-8ED7-B892-38C2-88CEB6142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69155" y="7627336"/>
          <a:ext cx="4232154" cy="2401364"/>
        </a:xfrm>
        <a:prstGeom prst="rect">
          <a:avLst/>
        </a:prstGeom>
      </xdr:spPr>
    </xdr:pic>
    <xdr:clientData/>
  </xdr:twoCellAnchor>
  <xdr:twoCellAnchor editAs="oneCell">
    <xdr:from>
      <xdr:col>14</xdr:col>
      <xdr:colOff>428677</xdr:colOff>
      <xdr:row>43</xdr:row>
      <xdr:rowOff>161363</xdr:rowOff>
    </xdr:from>
    <xdr:to>
      <xdr:col>21</xdr:col>
      <xdr:colOff>358588</xdr:colOff>
      <xdr:row>57</xdr:row>
      <xdr:rowOff>6421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67FB78-D5AF-7633-E768-577C29C1C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63077" y="7691716"/>
          <a:ext cx="4197111" cy="237109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60</xdr:row>
      <xdr:rowOff>55433</xdr:rowOff>
    </xdr:from>
    <xdr:to>
      <xdr:col>21</xdr:col>
      <xdr:colOff>461044</xdr:colOff>
      <xdr:row>66</xdr:row>
      <xdr:rowOff>322133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2AC9D6A-FF01-2638-2013-51024D021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44000" y="10681869"/>
          <a:ext cx="4118644" cy="226175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66</xdr:row>
      <xdr:rowOff>415650</xdr:rowOff>
    </xdr:from>
    <xdr:to>
      <xdr:col>21</xdr:col>
      <xdr:colOff>458551</xdr:colOff>
      <xdr:row>73</xdr:row>
      <xdr:rowOff>124704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0279119-940B-3080-557F-91F9B7126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44000" y="13037141"/>
          <a:ext cx="4116151" cy="227214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60</xdr:row>
      <xdr:rowOff>55433</xdr:rowOff>
    </xdr:from>
    <xdr:to>
      <xdr:col>28</xdr:col>
      <xdr:colOff>422084</xdr:colOff>
      <xdr:row>66</xdr:row>
      <xdr:rowOff>346378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F311C41-6F3D-F739-94B3-9028510B5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11200" y="10681869"/>
          <a:ext cx="4079684" cy="2286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66</xdr:row>
      <xdr:rowOff>443358</xdr:rowOff>
    </xdr:from>
    <xdr:to>
      <xdr:col>28</xdr:col>
      <xdr:colOff>443345</xdr:colOff>
      <xdr:row>74</xdr:row>
      <xdr:rowOff>4998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AE0149-09E0-4295-9A2E-053E48C56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411200" y="13064849"/>
          <a:ext cx="4100945" cy="2297913"/>
        </a:xfrm>
        <a:prstGeom prst="rect">
          <a:avLst/>
        </a:prstGeom>
      </xdr:spPr>
    </xdr:pic>
    <xdr:clientData/>
  </xdr:twoCellAnchor>
  <xdr:twoCellAnchor editAs="oneCell">
    <xdr:from>
      <xdr:col>29</xdr:col>
      <xdr:colOff>41564</xdr:colOff>
      <xdr:row>63</xdr:row>
      <xdr:rowOff>249381</xdr:rowOff>
    </xdr:from>
    <xdr:to>
      <xdr:col>36</xdr:col>
      <xdr:colOff>512619</xdr:colOff>
      <xdr:row>67</xdr:row>
      <xdr:rowOff>429636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FF3397F-D6DE-5A90-7A9B-430A6D8DF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719964" y="11416145"/>
          <a:ext cx="4738255" cy="2369273"/>
        </a:xfrm>
        <a:prstGeom prst="rect">
          <a:avLst/>
        </a:prstGeom>
      </xdr:spPr>
    </xdr:pic>
    <xdr:clientData/>
  </xdr:twoCellAnchor>
  <xdr:twoCellAnchor editAs="oneCell">
    <xdr:from>
      <xdr:col>15</xdr:col>
      <xdr:colOff>2</xdr:colOff>
      <xdr:row>78</xdr:row>
      <xdr:rowOff>167642</xdr:rowOff>
    </xdr:from>
    <xdr:to>
      <xdr:col>21</xdr:col>
      <xdr:colOff>526473</xdr:colOff>
      <xdr:row>92</xdr:row>
      <xdr:rowOff>27584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FE9A0F2-AC83-3E70-C6CB-52B04BEE3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144002" y="16443962"/>
          <a:ext cx="4184071" cy="2420262"/>
        </a:xfrm>
        <a:prstGeom prst="rect">
          <a:avLst/>
        </a:prstGeom>
      </xdr:spPr>
    </xdr:pic>
    <xdr:clientData/>
  </xdr:twoCellAnchor>
  <xdr:twoCellAnchor editAs="oneCell">
    <xdr:from>
      <xdr:col>15</xdr:col>
      <xdr:colOff>13854</xdr:colOff>
      <xdr:row>93</xdr:row>
      <xdr:rowOff>38793</xdr:rowOff>
    </xdr:from>
    <xdr:to>
      <xdr:col>21</xdr:col>
      <xdr:colOff>538119</xdr:colOff>
      <xdr:row>106</xdr:row>
      <xdr:rowOff>80357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B5EAF27-7FAF-4190-A59B-190FC83C9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157854" y="19058313"/>
          <a:ext cx="4181865" cy="2419004"/>
        </a:xfrm>
        <a:prstGeom prst="rect">
          <a:avLst/>
        </a:prstGeom>
      </xdr:spPr>
    </xdr:pic>
    <xdr:clientData/>
  </xdr:twoCellAnchor>
  <xdr:twoCellAnchor editAs="oneCell">
    <xdr:from>
      <xdr:col>22</xdr:col>
      <xdr:colOff>136238</xdr:colOff>
      <xdr:row>86</xdr:row>
      <xdr:rowOff>11611</xdr:rowOff>
    </xdr:from>
    <xdr:to>
      <xdr:col>28</xdr:col>
      <xdr:colOff>522761</xdr:colOff>
      <xdr:row>98</xdr:row>
      <xdr:rowOff>66039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1FD7901-490C-9F8C-EDB2-7F3626BAC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547438" y="17750971"/>
          <a:ext cx="4044123" cy="22489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21771</xdr:colOff>
      <xdr:row>12</xdr:row>
      <xdr:rowOff>19049</xdr:rowOff>
    </xdr:from>
    <xdr:to>
      <xdr:col>13</xdr:col>
      <xdr:colOff>424542</xdr:colOff>
      <xdr:row>36</xdr:row>
      <xdr:rowOff>176331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FFD07B-5FAE-0D56-B693-31F49E9B2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371" y="2239735"/>
          <a:ext cx="8098971" cy="4598653"/>
        </a:xfrm>
        <a:prstGeom prst="rect">
          <a:avLst/>
        </a:prstGeom>
      </xdr:spPr>
    </xdr:pic>
    <xdr:clientData/>
  </xdr:twoCellAnchor>
  <xdr:twoCellAnchor editAs="oneCell">
    <xdr:from>
      <xdr:col>13</xdr:col>
      <xdr:colOff>609599</xdr:colOff>
      <xdr:row>12</xdr:row>
      <xdr:rowOff>0</xdr:rowOff>
    </xdr:from>
    <xdr:to>
      <xdr:col>27</xdr:col>
      <xdr:colOff>200110</xdr:colOff>
      <xdr:row>36</xdr:row>
      <xdr:rowOff>121920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F36C05-1931-F7E8-9376-25A5C4BBB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3019" y="2194560"/>
          <a:ext cx="8124911" cy="4511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8CAE-7D6E-414C-9BF7-B54583CFEE9E}">
  <dimension ref="A1:N129"/>
  <sheetViews>
    <sheetView topLeftCell="A36" zoomScale="111" zoomScaleNormal="130" workbookViewId="0">
      <selection activeCell="B129" sqref="B129"/>
    </sheetView>
  </sheetViews>
  <sheetFormatPr defaultColWidth="12" defaultRowHeight="14.4"/>
  <cols>
    <col min="1" max="1" width="20.44140625" customWidth="1"/>
    <col min="2" max="2" width="13.5546875" customWidth="1"/>
    <col min="3" max="3" width="13.33203125" customWidth="1"/>
    <col min="4" max="7" width="12.88671875" customWidth="1"/>
    <col min="8" max="8" width="22" customWidth="1"/>
    <col min="9" max="11" width="12.88671875" customWidth="1"/>
    <col min="12" max="12" width="17.44140625" customWidth="1"/>
    <col min="13" max="13" width="18.88671875" customWidth="1"/>
  </cols>
  <sheetData>
    <row r="1" spans="1:3" ht="21">
      <c r="A1" s="1" t="s">
        <v>58</v>
      </c>
    </row>
    <row r="3" spans="1:3" ht="18">
      <c r="A3" s="2" t="s">
        <v>137</v>
      </c>
    </row>
    <row r="4" spans="1:3" ht="15" thickBot="1"/>
    <row r="5" spans="1:3" ht="15.6" thickTop="1" thickBot="1">
      <c r="A5" s="3" t="s">
        <v>0</v>
      </c>
      <c r="B5" s="3" t="s">
        <v>1</v>
      </c>
      <c r="C5" s="3" t="s">
        <v>2</v>
      </c>
    </row>
    <row r="6" spans="1:3" ht="15" thickTop="1">
      <c r="A6" s="37" t="s">
        <v>36</v>
      </c>
      <c r="B6" s="5">
        <v>3.5</v>
      </c>
      <c r="C6" s="6" t="s">
        <v>3</v>
      </c>
    </row>
    <row r="7" spans="1:3">
      <c r="A7" s="38" t="s">
        <v>37</v>
      </c>
      <c r="B7" s="8">
        <v>2.5</v>
      </c>
      <c r="C7" s="9" t="s">
        <v>3</v>
      </c>
    </row>
    <row r="8" spans="1:3">
      <c r="A8" s="38" t="s">
        <v>38</v>
      </c>
      <c r="B8" s="8">
        <v>5</v>
      </c>
      <c r="C8" s="9" t="s">
        <v>3</v>
      </c>
    </row>
    <row r="9" spans="1:3">
      <c r="A9" s="38" t="s">
        <v>56</v>
      </c>
      <c r="B9" s="8">
        <v>5</v>
      </c>
      <c r="C9" s="9" t="s">
        <v>4</v>
      </c>
    </row>
    <row r="10" spans="1:3">
      <c r="A10" s="38" t="s">
        <v>57</v>
      </c>
      <c r="B10" s="39">
        <v>0.5</v>
      </c>
      <c r="C10" s="40" t="s">
        <v>4</v>
      </c>
    </row>
    <row r="11" spans="1:3" ht="15" thickBot="1">
      <c r="A11" s="10" t="s">
        <v>5</v>
      </c>
      <c r="B11" s="11">
        <v>100</v>
      </c>
      <c r="C11" s="12" t="s">
        <v>6</v>
      </c>
    </row>
    <row r="12" spans="1:3" ht="16.2" thickTop="1">
      <c r="A12" s="13"/>
    </row>
    <row r="14" spans="1:3" ht="18">
      <c r="A14" s="2" t="s">
        <v>55</v>
      </c>
    </row>
    <row r="15" spans="1:3" ht="15" thickBot="1"/>
    <row r="16" spans="1:3" ht="15.6" thickTop="1" thickBot="1">
      <c r="A16" s="3" t="s">
        <v>0</v>
      </c>
      <c r="B16" s="3" t="s">
        <v>1</v>
      </c>
      <c r="C16" s="3" t="s">
        <v>7</v>
      </c>
    </row>
    <row r="17" spans="1:3" ht="15" thickTop="1">
      <c r="A17" s="45" t="s">
        <v>41</v>
      </c>
      <c r="B17" s="89">
        <f>1-(B7/B8)</f>
        <v>0.5</v>
      </c>
      <c r="C17" s="46" t="s">
        <v>102</v>
      </c>
    </row>
    <row r="18" spans="1:3">
      <c r="A18" s="47" t="s">
        <v>40</v>
      </c>
      <c r="B18" s="90">
        <f>1-(B6/B9)</f>
        <v>0.30000000000000004</v>
      </c>
      <c r="C18" s="48" t="s">
        <v>103</v>
      </c>
    </row>
    <row r="19" spans="1:3">
      <c r="A19" s="56" t="s">
        <v>59</v>
      </c>
      <c r="B19" s="57">
        <f>B9/B7</f>
        <v>2</v>
      </c>
      <c r="C19" s="58" t="s">
        <v>104</v>
      </c>
    </row>
    <row r="20" spans="1:3">
      <c r="A20" s="49" t="s">
        <v>60</v>
      </c>
      <c r="B20" s="50">
        <f>B10/B6</f>
        <v>0.14285714285714285</v>
      </c>
      <c r="C20" s="51" t="s">
        <v>105</v>
      </c>
    </row>
    <row r="21" spans="1:3">
      <c r="A21" s="52" t="s">
        <v>43</v>
      </c>
      <c r="B21" s="91">
        <f>1/3</f>
        <v>0.33333333333333331</v>
      </c>
      <c r="C21" s="17" t="s">
        <v>106</v>
      </c>
    </row>
    <row r="22" spans="1:3">
      <c r="A22" s="52" t="s">
        <v>146</v>
      </c>
      <c r="B22" s="92">
        <f>B8^2/B10</f>
        <v>50</v>
      </c>
      <c r="C22" s="17" t="s">
        <v>151</v>
      </c>
    </row>
    <row r="23" spans="1:3">
      <c r="A23" s="52" t="s">
        <v>44</v>
      </c>
      <c r="B23" s="16">
        <f>10^6*B22*B21*(1-B21)^2/(2*B11*10^3)</f>
        <v>37.037037037037045</v>
      </c>
      <c r="C23" s="18" t="s">
        <v>152</v>
      </c>
    </row>
    <row r="24" spans="1:3">
      <c r="A24" s="93" t="s">
        <v>147</v>
      </c>
      <c r="B24" s="28">
        <f>B23*1.2</f>
        <v>44.44444444444445</v>
      </c>
      <c r="C24" s="35" t="s">
        <v>8</v>
      </c>
    </row>
    <row r="25" spans="1:3" ht="15" thickBot="1">
      <c r="A25" s="85" t="s">
        <v>101</v>
      </c>
      <c r="B25" s="94">
        <v>47</v>
      </c>
      <c r="C25" s="19" t="s">
        <v>8</v>
      </c>
    </row>
    <row r="26" spans="1:3" ht="15" thickTop="1"/>
    <row r="28" spans="1:3" ht="18">
      <c r="A28" s="2" t="s">
        <v>9</v>
      </c>
    </row>
    <row r="29" spans="1:3" ht="15" thickBot="1"/>
    <row r="30" spans="1:3" ht="15.6" thickTop="1" thickBot="1">
      <c r="A30" s="3" t="s">
        <v>0</v>
      </c>
      <c r="B30" s="3" t="s">
        <v>1</v>
      </c>
      <c r="C30" s="3" t="s">
        <v>7</v>
      </c>
    </row>
    <row r="31" spans="1:3" ht="15" thickTop="1">
      <c r="A31" s="4" t="s">
        <v>10</v>
      </c>
      <c r="B31" s="5">
        <v>0.05</v>
      </c>
      <c r="C31" s="14" t="s">
        <v>3</v>
      </c>
    </row>
    <row r="32" spans="1:3">
      <c r="A32" s="95" t="s">
        <v>148</v>
      </c>
      <c r="B32" s="96">
        <f>B9/B8</f>
        <v>1</v>
      </c>
      <c r="C32" s="35" t="s">
        <v>42</v>
      </c>
    </row>
    <row r="33" spans="1:11">
      <c r="A33" s="15" t="s">
        <v>11</v>
      </c>
      <c r="B33" s="16">
        <f>10^6*B32*B17/(B11*10^3*B31)</f>
        <v>100</v>
      </c>
      <c r="C33" s="17" t="s">
        <v>150</v>
      </c>
    </row>
    <row r="34" spans="1:11">
      <c r="A34" s="27" t="s">
        <v>149</v>
      </c>
      <c r="B34" s="28">
        <f>B33*1.2</f>
        <v>120</v>
      </c>
      <c r="C34" s="97" t="s">
        <v>107</v>
      </c>
    </row>
    <row r="35" spans="1:11" ht="15" thickBot="1">
      <c r="A35" s="10" t="s">
        <v>12</v>
      </c>
      <c r="B35" s="94">
        <v>560</v>
      </c>
      <c r="C35" s="19" t="s">
        <v>107</v>
      </c>
    </row>
    <row r="36" spans="1:11" ht="15" thickTop="1"/>
    <row r="38" spans="1:11" ht="18">
      <c r="A38" s="2" t="s">
        <v>13</v>
      </c>
    </row>
    <row r="39" spans="1:11" ht="15" thickBot="1"/>
    <row r="40" spans="1:11" ht="15.6" thickTop="1" thickBot="1">
      <c r="A40" s="3" t="s">
        <v>0</v>
      </c>
      <c r="B40" s="3" t="s">
        <v>1</v>
      </c>
      <c r="C40" s="3" t="s">
        <v>7</v>
      </c>
      <c r="D40" s="3" t="s">
        <v>1</v>
      </c>
      <c r="E40" s="3" t="s">
        <v>7</v>
      </c>
      <c r="F40" s="3" t="s">
        <v>1</v>
      </c>
      <c r="G40" s="3" t="s">
        <v>7</v>
      </c>
      <c r="H40" s="3" t="s">
        <v>1</v>
      </c>
      <c r="I40" s="3" t="s">
        <v>7</v>
      </c>
      <c r="J40" s="3" t="s">
        <v>1</v>
      </c>
      <c r="K40" s="3" t="s">
        <v>7</v>
      </c>
    </row>
    <row r="41" spans="1:11" ht="15" thickTop="1">
      <c r="A41" s="4" t="s">
        <v>14</v>
      </c>
      <c r="B41" s="5">
        <v>5</v>
      </c>
      <c r="C41" s="20" t="s">
        <v>3</v>
      </c>
      <c r="D41" s="53">
        <v>5</v>
      </c>
      <c r="E41" s="20" t="s">
        <v>3</v>
      </c>
      <c r="F41" s="5">
        <v>5</v>
      </c>
      <c r="G41" s="20" t="s">
        <v>3</v>
      </c>
      <c r="H41" s="5">
        <v>5</v>
      </c>
      <c r="I41" s="20" t="s">
        <v>3</v>
      </c>
      <c r="J41" s="5">
        <v>5</v>
      </c>
      <c r="K41" s="21" t="s">
        <v>3</v>
      </c>
    </row>
    <row r="42" spans="1:11">
      <c r="A42" s="44" t="s">
        <v>39</v>
      </c>
      <c r="B42" s="41">
        <v>2.5</v>
      </c>
      <c r="C42" s="42" t="s">
        <v>3</v>
      </c>
      <c r="D42" s="54">
        <v>3.5</v>
      </c>
      <c r="E42" s="42" t="s">
        <v>3</v>
      </c>
      <c r="F42" s="41">
        <v>2.5</v>
      </c>
      <c r="G42" s="42" t="s">
        <v>3</v>
      </c>
      <c r="H42" s="41">
        <v>3.5</v>
      </c>
      <c r="I42" s="42" t="s">
        <v>3</v>
      </c>
      <c r="J42" s="41">
        <v>3</v>
      </c>
      <c r="K42" s="43" t="s">
        <v>3</v>
      </c>
    </row>
    <row r="43" spans="1:11">
      <c r="A43" s="7" t="s">
        <v>15</v>
      </c>
      <c r="B43" s="8">
        <f>B10</f>
        <v>0.5</v>
      </c>
      <c r="C43" s="22" t="s">
        <v>4</v>
      </c>
      <c r="D43" s="55">
        <v>0.5</v>
      </c>
      <c r="E43" s="22" t="s">
        <v>4</v>
      </c>
      <c r="F43" s="8">
        <v>5</v>
      </c>
      <c r="G43" s="22" t="s">
        <v>4</v>
      </c>
      <c r="H43" s="8">
        <v>5</v>
      </c>
      <c r="I43" s="22" t="s">
        <v>4</v>
      </c>
      <c r="J43" s="8">
        <v>2.75</v>
      </c>
      <c r="K43" s="23" t="s">
        <v>4</v>
      </c>
    </row>
    <row r="44" spans="1:11">
      <c r="A44" s="7" t="s">
        <v>16</v>
      </c>
      <c r="B44" s="24">
        <f>B41^2/B43</f>
        <v>50</v>
      </c>
      <c r="C44" s="22" t="s">
        <v>108</v>
      </c>
      <c r="D44" s="24">
        <f>D41^2/D43</f>
        <v>50</v>
      </c>
      <c r="E44" s="22" t="s">
        <v>108</v>
      </c>
      <c r="F44" s="24">
        <f>F41^2/F43</f>
        <v>5</v>
      </c>
      <c r="G44" s="22" t="s">
        <v>108</v>
      </c>
      <c r="H44" s="24">
        <f>H41^2/H43</f>
        <v>5</v>
      </c>
      <c r="I44" s="22" t="s">
        <v>108</v>
      </c>
      <c r="J44" s="24">
        <f>J41^2/J43</f>
        <v>9.0909090909090917</v>
      </c>
      <c r="K44" s="22" t="s">
        <v>108</v>
      </c>
    </row>
    <row r="45" spans="1:11">
      <c r="A45" s="7" t="s">
        <v>17</v>
      </c>
      <c r="B45" s="98">
        <f>1-(B42/B41)</f>
        <v>0.5</v>
      </c>
      <c r="C45" s="22" t="s">
        <v>109</v>
      </c>
      <c r="D45" s="98">
        <f>1-(D42/D41)</f>
        <v>0.30000000000000004</v>
      </c>
      <c r="E45" s="22" t="s">
        <v>109</v>
      </c>
      <c r="F45" s="98">
        <f>1-(F42/F41)</f>
        <v>0.5</v>
      </c>
      <c r="G45" s="22" t="s">
        <v>109</v>
      </c>
      <c r="H45" s="98">
        <f>1-(H42/H41)</f>
        <v>0.30000000000000004</v>
      </c>
      <c r="I45" s="22" t="s">
        <v>109</v>
      </c>
      <c r="J45" s="98">
        <f>1-(J42/J41)</f>
        <v>0.4</v>
      </c>
      <c r="K45" s="22" t="s">
        <v>109</v>
      </c>
    </row>
    <row r="46" spans="1:11">
      <c r="A46" s="38" t="s">
        <v>46</v>
      </c>
      <c r="B46" s="100">
        <f>B43/B42</f>
        <v>0.2</v>
      </c>
      <c r="C46" s="100" t="s">
        <v>110</v>
      </c>
      <c r="D46" s="100">
        <f>D43/D42</f>
        <v>0.14285714285714285</v>
      </c>
      <c r="E46" s="100" t="s">
        <v>110</v>
      </c>
      <c r="F46" s="100">
        <f>F43/F42</f>
        <v>2</v>
      </c>
      <c r="G46" s="100" t="s">
        <v>110</v>
      </c>
      <c r="H46" s="100">
        <f>H43/H42</f>
        <v>1.4285714285714286</v>
      </c>
      <c r="I46" s="100" t="s">
        <v>110</v>
      </c>
      <c r="J46" s="100">
        <f>J43/J42</f>
        <v>0.91666666666666663</v>
      </c>
      <c r="K46" s="22" t="s">
        <v>110</v>
      </c>
    </row>
    <row r="47" spans="1:11">
      <c r="A47" s="38" t="s">
        <v>45</v>
      </c>
      <c r="B47" s="100">
        <f>B42*B45/($B$25*10^-6*$B$11*10^3)</f>
        <v>0.26595744680851069</v>
      </c>
      <c r="C47" s="100" t="s">
        <v>111</v>
      </c>
      <c r="D47" s="100">
        <f>D42*D45/($B$25*10^-6*$B$11*10^3)</f>
        <v>0.22340425531914904</v>
      </c>
      <c r="E47" s="100" t="s">
        <v>111</v>
      </c>
      <c r="F47" s="100">
        <f>F42*F45/($B$25*10^-6*$B$11*10^3)</f>
        <v>0.26595744680851069</v>
      </c>
      <c r="G47" s="100" t="s">
        <v>111</v>
      </c>
      <c r="H47" s="100">
        <f>H42*H45/($B$25*10^-6*$B$11*10^3)</f>
        <v>0.22340425531914904</v>
      </c>
      <c r="I47" s="100" t="s">
        <v>111</v>
      </c>
      <c r="J47" s="100">
        <f>J42*J45/($B$25*10^-6*$B$11*10^3)</f>
        <v>0.2553191489361703</v>
      </c>
      <c r="K47" s="22" t="s">
        <v>111</v>
      </c>
    </row>
    <row r="48" spans="1:11">
      <c r="A48" s="7" t="s">
        <v>18</v>
      </c>
      <c r="B48" s="99" t="str">
        <f>IF(B46&gt;=B47/2,"Yes","No")</f>
        <v>Yes</v>
      </c>
      <c r="C48" s="22"/>
      <c r="D48" s="25" t="str">
        <f>IF(D46&gt;=D47/2,"Yes","No")</f>
        <v>Yes</v>
      </c>
      <c r="E48" s="22"/>
      <c r="F48" s="25" t="str">
        <f>IF(F46&gt;=F47/2,"Yes","No")</f>
        <v>Yes</v>
      </c>
      <c r="G48" s="22"/>
      <c r="H48" s="25" t="str">
        <f>IF(H46&gt;=H47/2,"Yes","No")</f>
        <v>Yes</v>
      </c>
      <c r="I48" s="22"/>
      <c r="J48" s="25" t="str">
        <f>IF(J46&gt;=J47/2,"Yes","No")</f>
        <v>Yes</v>
      </c>
      <c r="K48" s="23"/>
    </row>
    <row r="49" spans="1:14">
      <c r="A49" s="7" t="s">
        <v>48</v>
      </c>
      <c r="B49" s="100">
        <f>B46+(B47/2)</f>
        <v>0.33297872340425538</v>
      </c>
      <c r="C49" s="22" t="s">
        <v>112</v>
      </c>
      <c r="D49" s="100">
        <f>D46+(D47/2)</f>
        <v>0.25455927051671734</v>
      </c>
      <c r="E49" s="22" t="s">
        <v>112</v>
      </c>
      <c r="F49" s="100">
        <f>F46+(F47/2)</f>
        <v>2.1329787234042552</v>
      </c>
      <c r="G49" s="22" t="s">
        <v>112</v>
      </c>
      <c r="H49" s="100">
        <f>H46+(H47/2)</f>
        <v>1.540273556231003</v>
      </c>
      <c r="I49" s="22" t="s">
        <v>112</v>
      </c>
      <c r="J49" s="100">
        <f>J46+(J47/2)</f>
        <v>1.0443262411347518</v>
      </c>
      <c r="K49" s="22" t="s">
        <v>112</v>
      </c>
    </row>
    <row r="50" spans="1:14">
      <c r="A50" s="7" t="s">
        <v>153</v>
      </c>
      <c r="B50" s="100">
        <f>B46-(B47/2)</f>
        <v>6.7021276595744667E-2</v>
      </c>
      <c r="C50" s="22" t="s">
        <v>42</v>
      </c>
      <c r="D50" s="100">
        <f>D46-(D47/2)</f>
        <v>3.1155015197568331E-2</v>
      </c>
      <c r="E50" s="22" t="s">
        <v>42</v>
      </c>
      <c r="F50" s="100">
        <f>F46-(F47/2)</f>
        <v>1.8670212765957446</v>
      </c>
      <c r="G50" s="22" t="s">
        <v>42</v>
      </c>
      <c r="H50" s="100">
        <f>H46-(H47/2)</f>
        <v>1.3168693009118542</v>
      </c>
      <c r="I50" s="22" t="s">
        <v>42</v>
      </c>
      <c r="J50" s="100">
        <f>J46-(J47/2)</f>
        <v>0.78900709219858145</v>
      </c>
      <c r="K50" s="22" t="s">
        <v>42</v>
      </c>
    </row>
    <row r="51" spans="1:14">
      <c r="A51" s="7" t="s">
        <v>47</v>
      </c>
      <c r="B51" s="100">
        <f>SQRT(B46^2 + (B47^2/12))</f>
        <v>0.21422989277738178</v>
      </c>
      <c r="C51" s="22" t="s">
        <v>113</v>
      </c>
      <c r="D51" s="100">
        <f>SQRT(D46^2 + (D47^2/12))</f>
        <v>0.15673954523305453</v>
      </c>
      <c r="E51" s="22" t="s">
        <v>113</v>
      </c>
      <c r="F51" s="100">
        <f>SQRT(F46^2 + (F47^2/12))</f>
        <v>2.0014730692565936</v>
      </c>
      <c r="G51" s="22" t="s">
        <v>113</v>
      </c>
      <c r="H51" s="100">
        <f>SQRT(H46^2 + (H47^2/12))</f>
        <v>1.4300263802829551</v>
      </c>
      <c r="I51" s="22" t="s">
        <v>113</v>
      </c>
      <c r="J51" s="100">
        <f>SQRT(J46^2 + (J47^2/12))</f>
        <v>0.91962497796415288</v>
      </c>
      <c r="K51" s="22" t="s">
        <v>113</v>
      </c>
    </row>
    <row r="52" spans="1:14">
      <c r="A52" s="27" t="s">
        <v>49</v>
      </c>
      <c r="B52" s="101">
        <f>B41/B44</f>
        <v>0.1</v>
      </c>
      <c r="C52" s="22" t="s">
        <v>114</v>
      </c>
      <c r="D52" s="101">
        <f>D41/D44</f>
        <v>0.1</v>
      </c>
      <c r="E52" s="22" t="s">
        <v>114</v>
      </c>
      <c r="F52" s="101">
        <f>F41/F44</f>
        <v>1</v>
      </c>
      <c r="G52" s="22" t="s">
        <v>114</v>
      </c>
      <c r="H52" s="101">
        <f>H41/H44</f>
        <v>1</v>
      </c>
      <c r="I52" s="22" t="s">
        <v>114</v>
      </c>
      <c r="J52" s="101">
        <f>J41/J44</f>
        <v>0.54999999999999993</v>
      </c>
      <c r="K52" s="22" t="s">
        <v>114</v>
      </c>
    </row>
    <row r="53" spans="1:14">
      <c r="A53" s="27" t="s">
        <v>51</v>
      </c>
      <c r="B53" s="101">
        <f>B51*SQRT(B45)</f>
        <v>0.15148340991575365</v>
      </c>
      <c r="C53" s="22" t="s">
        <v>115</v>
      </c>
      <c r="D53" s="101">
        <f>D51*SQRT(D45)</f>
        <v>8.5849784577245306E-2</v>
      </c>
      <c r="E53" s="22" t="s">
        <v>115</v>
      </c>
      <c r="F53" s="101">
        <f>F51*SQRT(F45)</f>
        <v>1.4152551796335899</v>
      </c>
      <c r="G53" s="22" t="s">
        <v>115</v>
      </c>
      <c r="H53" s="101">
        <f>H51*SQRT(H45)</f>
        <v>0.7832577063084355</v>
      </c>
      <c r="I53" s="22" t="s">
        <v>115</v>
      </c>
      <c r="J53" s="101">
        <f>J51*SQRT(J45)</f>
        <v>0.58162190470977582</v>
      </c>
      <c r="K53" s="22" t="s">
        <v>115</v>
      </c>
    </row>
    <row r="54" spans="1:14">
      <c r="A54" s="27" t="s">
        <v>50</v>
      </c>
      <c r="B54" s="101">
        <f>SQRT(B46^2*B45*(1-B45) + (B47^2/12)*(1-B45))</f>
        <v>0.11378586678363989</v>
      </c>
      <c r="C54" s="22" t="s">
        <v>116</v>
      </c>
      <c r="D54" s="101">
        <f t="shared" ref="D54:J54" si="0">SQRT(D46^2*D45*(1-D45) + (D47^2/12)*(1-D45))</f>
        <v>8.4835720825047062E-2</v>
      </c>
      <c r="E54" s="22" t="s">
        <v>116</v>
      </c>
      <c r="F54" s="101">
        <f t="shared" si="0"/>
        <v>1.0014725275711283</v>
      </c>
      <c r="G54" s="22" t="s">
        <v>116</v>
      </c>
      <c r="H54" s="101">
        <f t="shared" si="0"/>
        <v>0.65687351431886776</v>
      </c>
      <c r="I54" s="22" t="s">
        <v>116</v>
      </c>
      <c r="J54" s="101">
        <f t="shared" si="0"/>
        <v>0.45268759653578</v>
      </c>
      <c r="K54" s="22" t="s">
        <v>116</v>
      </c>
    </row>
    <row r="55" spans="1:14">
      <c r="A55" s="7" t="s">
        <v>52</v>
      </c>
      <c r="B55" s="28">
        <v>5</v>
      </c>
      <c r="C55" s="22" t="s">
        <v>117</v>
      </c>
      <c r="D55" s="28">
        <v>5</v>
      </c>
      <c r="E55" s="22" t="s">
        <v>117</v>
      </c>
      <c r="F55" s="28">
        <v>5</v>
      </c>
      <c r="G55" s="22" t="s">
        <v>117</v>
      </c>
      <c r="H55" s="28">
        <v>5</v>
      </c>
      <c r="I55" s="22" t="s">
        <v>117</v>
      </c>
      <c r="J55" s="28">
        <v>5</v>
      </c>
      <c r="K55" s="22" t="s">
        <v>117</v>
      </c>
    </row>
    <row r="56" spans="1:14">
      <c r="A56" s="27" t="s">
        <v>53</v>
      </c>
      <c r="B56" s="104">
        <v>5</v>
      </c>
      <c r="C56" s="22" t="s">
        <v>118</v>
      </c>
      <c r="D56" s="104">
        <v>5</v>
      </c>
      <c r="E56" s="22" t="s">
        <v>118</v>
      </c>
      <c r="F56" s="104">
        <v>5</v>
      </c>
      <c r="G56" s="22" t="s">
        <v>118</v>
      </c>
      <c r="H56" s="104">
        <v>5</v>
      </c>
      <c r="I56" s="22" t="s">
        <v>118</v>
      </c>
      <c r="J56" s="104">
        <v>5</v>
      </c>
      <c r="K56" s="22" t="s">
        <v>118</v>
      </c>
      <c r="L56" s="103" t="s">
        <v>154</v>
      </c>
      <c r="M56" t="s">
        <v>155</v>
      </c>
      <c r="N56" t="s">
        <v>156</v>
      </c>
    </row>
    <row r="57" spans="1:14" ht="15" thickBot="1">
      <c r="A57" s="10" t="s">
        <v>54</v>
      </c>
      <c r="B57" s="102">
        <f>10^3*B52*B45/($B$35*10^-6*$B$11*10^3)</f>
        <v>0.89285714285714302</v>
      </c>
      <c r="C57" s="30" t="s">
        <v>119</v>
      </c>
      <c r="D57" s="102">
        <f>10^3*D52*D45/($B$35*10^-6*$B$11*10^3)</f>
        <v>0.53571428571428581</v>
      </c>
      <c r="E57" s="30" t="s">
        <v>119</v>
      </c>
      <c r="F57" s="102">
        <f>10^3*F52*F45/($B$35*10^-6*$B$11*10^3)</f>
        <v>8.9285714285714288</v>
      </c>
      <c r="G57" s="30" t="s">
        <v>119</v>
      </c>
      <c r="H57" s="102">
        <f>10^3*H52*H45/($B$35*10^-6*$B$11*10^3)</f>
        <v>5.3571428571428585</v>
      </c>
      <c r="I57" s="30" t="s">
        <v>119</v>
      </c>
      <c r="J57" s="102">
        <f>10^3*J52*J45/($B$35*10^-6*$B$11*10^3)</f>
        <v>3.9285714285714284</v>
      </c>
      <c r="K57" s="30" t="s">
        <v>119</v>
      </c>
    </row>
    <row r="58" spans="1:14" ht="15" thickTop="1">
      <c r="B58" s="32"/>
      <c r="C58" s="33"/>
    </row>
    <row r="59" spans="1:14">
      <c r="B59" s="32"/>
      <c r="C59" s="33"/>
    </row>
    <row r="60" spans="1:14" ht="18">
      <c r="A60" s="2" t="s">
        <v>19</v>
      </c>
    </row>
    <row r="62" spans="1:14" ht="15" thickBot="1">
      <c r="A62" s="113" t="s">
        <v>0</v>
      </c>
      <c r="B62" s="113" t="s">
        <v>1</v>
      </c>
      <c r="C62" s="113" t="s">
        <v>7</v>
      </c>
      <c r="D62" s="113" t="s">
        <v>1</v>
      </c>
      <c r="E62" s="113" t="s">
        <v>7</v>
      </c>
      <c r="F62" s="113" t="s">
        <v>1</v>
      </c>
      <c r="G62" s="113"/>
      <c r="H62" s="113" t="s">
        <v>1</v>
      </c>
      <c r="I62" s="113" t="s">
        <v>7</v>
      </c>
      <c r="J62" s="113" t="s">
        <v>1</v>
      </c>
      <c r="K62" s="113" t="s">
        <v>7</v>
      </c>
    </row>
    <row r="63" spans="1:14" ht="15" thickTop="1">
      <c r="A63" s="7" t="s">
        <v>16</v>
      </c>
      <c r="B63" s="8">
        <f>B44</f>
        <v>50</v>
      </c>
      <c r="C63" s="22" t="s">
        <v>20</v>
      </c>
      <c r="D63" s="8">
        <f>D44</f>
        <v>50</v>
      </c>
      <c r="E63" s="22" t="s">
        <v>20</v>
      </c>
      <c r="F63" s="8">
        <f>F44</f>
        <v>5</v>
      </c>
      <c r="G63" s="22" t="s">
        <v>20</v>
      </c>
      <c r="H63" s="8">
        <f>H44</f>
        <v>5</v>
      </c>
      <c r="I63" s="22" t="s">
        <v>20</v>
      </c>
      <c r="J63" s="8">
        <f>J44</f>
        <v>9.0909090909090917</v>
      </c>
      <c r="K63" s="23" t="s">
        <v>20</v>
      </c>
    </row>
    <row r="64" spans="1:14">
      <c r="A64" s="7" t="s">
        <v>17</v>
      </c>
      <c r="B64" s="8">
        <f>B45</f>
        <v>0.5</v>
      </c>
      <c r="C64" s="22"/>
      <c r="D64" s="8">
        <f>D45</f>
        <v>0.30000000000000004</v>
      </c>
      <c r="E64" s="22"/>
      <c r="F64" s="8">
        <f>F45</f>
        <v>0.5</v>
      </c>
      <c r="G64" s="22"/>
      <c r="H64" s="8">
        <f>H45</f>
        <v>0.30000000000000004</v>
      </c>
      <c r="I64" s="22"/>
      <c r="J64" s="8">
        <f>J45</f>
        <v>0.4</v>
      </c>
      <c r="K64" s="23"/>
    </row>
    <row r="65" spans="1:12">
      <c r="A65" s="38" t="s">
        <v>158</v>
      </c>
      <c r="B65" s="100">
        <v>4.9983700000000004</v>
      </c>
      <c r="C65" s="22" t="s">
        <v>3</v>
      </c>
      <c r="D65" s="100">
        <v>4.9908000000000001</v>
      </c>
      <c r="E65" s="22" t="s">
        <v>3</v>
      </c>
      <c r="F65" s="105">
        <v>4.9982800000000003</v>
      </c>
      <c r="G65" s="22" t="s">
        <v>3</v>
      </c>
      <c r="H65" s="100">
        <v>4.9980099999999998</v>
      </c>
      <c r="I65" s="22" t="s">
        <v>3</v>
      </c>
      <c r="J65" s="100">
        <v>4.9981</v>
      </c>
      <c r="K65" s="23" t="s">
        <v>3</v>
      </c>
    </row>
    <row r="66" spans="1:12">
      <c r="A66" s="38" t="s">
        <v>159</v>
      </c>
      <c r="B66" s="100">
        <v>0.49967400000000001</v>
      </c>
      <c r="C66" s="22" t="s">
        <v>4</v>
      </c>
      <c r="D66" s="100">
        <v>0.49961699999999998</v>
      </c>
      <c r="E66" s="22" t="s">
        <v>4</v>
      </c>
      <c r="F66" s="100">
        <v>4.9968300000000001</v>
      </c>
      <c r="G66" s="22" t="s">
        <v>4</v>
      </c>
      <c r="H66" s="100">
        <v>4.9961099999999998</v>
      </c>
      <c r="I66" s="22" t="s">
        <v>4</v>
      </c>
      <c r="J66" s="100">
        <v>2.7482099999999998</v>
      </c>
      <c r="K66" s="23" t="s">
        <v>4</v>
      </c>
    </row>
    <row r="67" spans="1:12">
      <c r="A67" s="7" t="s">
        <v>18</v>
      </c>
      <c r="B67" s="26" t="s">
        <v>157</v>
      </c>
      <c r="C67" s="22"/>
      <c r="D67" s="105" t="s">
        <v>157</v>
      </c>
      <c r="E67" s="22"/>
      <c r="F67" s="105" t="s">
        <v>157</v>
      </c>
      <c r="G67" s="22"/>
      <c r="H67" s="105" t="s">
        <v>157</v>
      </c>
      <c r="I67" s="22"/>
      <c r="J67" s="105" t="s">
        <v>157</v>
      </c>
      <c r="K67" s="23"/>
    </row>
    <row r="68" spans="1:12">
      <c r="A68" s="38" t="s">
        <v>45</v>
      </c>
      <c r="B68" s="105">
        <f>0.332881-0.0669235</f>
        <v>0.26595749999999996</v>
      </c>
      <c r="C68" s="22" t="s">
        <v>21</v>
      </c>
      <c r="D68" s="105">
        <f>0.254488-0.0310839</f>
        <v>0.22340409999999999</v>
      </c>
      <c r="E68" s="22" t="s">
        <v>21</v>
      </c>
      <c r="F68" s="100">
        <f>2.13197-1.86601</f>
        <v>0.26595999999999997</v>
      </c>
      <c r="G68" s="22" t="s">
        <v>21</v>
      </c>
      <c r="H68" s="105">
        <f>1.53955-1.31615</f>
        <v>0.22340000000000004</v>
      </c>
      <c r="I68" s="22" t="s">
        <v>21</v>
      </c>
      <c r="J68" s="105">
        <f>1.04393-0.788614</f>
        <v>0.25531599999999999</v>
      </c>
      <c r="K68" s="22" t="s">
        <v>21</v>
      </c>
    </row>
    <row r="69" spans="1:12">
      <c r="A69" s="7" t="s">
        <v>48</v>
      </c>
      <c r="B69" s="100">
        <v>0.33288099999999998</v>
      </c>
      <c r="C69" s="22" t="s">
        <v>21</v>
      </c>
      <c r="D69" s="100">
        <v>0.25448799999999999</v>
      </c>
      <c r="E69" s="22" t="s">
        <v>21</v>
      </c>
      <c r="F69" s="100">
        <v>2.1319699999999999</v>
      </c>
      <c r="G69" s="22" t="s">
        <v>21</v>
      </c>
      <c r="H69" s="100">
        <v>1.53955</v>
      </c>
      <c r="I69" s="22" t="s">
        <v>21</v>
      </c>
      <c r="J69" s="100">
        <v>1.04393</v>
      </c>
      <c r="K69" s="22" t="s">
        <v>21</v>
      </c>
    </row>
    <row r="70" spans="1:12">
      <c r="A70" s="7" t="s">
        <v>47</v>
      </c>
      <c r="B70" s="100">
        <v>0.214139</v>
      </c>
      <c r="C70" s="22" t="s">
        <v>21</v>
      </c>
      <c r="D70" s="100">
        <v>0.15667500000000001</v>
      </c>
      <c r="E70" s="22" t="s">
        <v>21</v>
      </c>
      <c r="F70" s="100">
        <v>2.0004599999999999</v>
      </c>
      <c r="G70" s="22" t="s">
        <v>21</v>
      </c>
      <c r="H70" s="100">
        <f>1.42931</f>
        <v>1.4293100000000001</v>
      </c>
      <c r="I70" s="22" t="s">
        <v>21</v>
      </c>
      <c r="J70" s="100">
        <v>0.91923299999999997</v>
      </c>
      <c r="K70" s="22" t="s">
        <v>21</v>
      </c>
    </row>
    <row r="71" spans="1:12">
      <c r="A71" s="27" t="s">
        <v>49</v>
      </c>
      <c r="B71" s="114">
        <v>9.9967399999999998E-2</v>
      </c>
      <c r="C71" s="22" t="s">
        <v>21</v>
      </c>
      <c r="D71" s="101">
        <v>9.9942699999999995E-2</v>
      </c>
      <c r="E71" s="22" t="s">
        <v>21</v>
      </c>
      <c r="F71" s="100">
        <v>0.99965599999999999</v>
      </c>
      <c r="G71" s="22" t="s">
        <v>21</v>
      </c>
      <c r="H71" s="101">
        <v>0.99960099999999996</v>
      </c>
      <c r="I71" s="22" t="s">
        <v>21</v>
      </c>
      <c r="J71" s="101">
        <v>0.54984599999999995</v>
      </c>
      <c r="K71" s="22" t="s">
        <v>21</v>
      </c>
    </row>
    <row r="72" spans="1:12">
      <c r="A72" s="27" t="s">
        <v>51</v>
      </c>
      <c r="B72" s="101">
        <v>0.151419</v>
      </c>
      <c r="C72" s="22" t="s">
        <v>21</v>
      </c>
      <c r="D72" s="101">
        <v>8.5814299999999996E-2</v>
      </c>
      <c r="E72" s="22" t="s">
        <v>21</v>
      </c>
      <c r="F72" s="114">
        <v>1.4145399999999999</v>
      </c>
      <c r="G72" s="22" t="s">
        <v>21</v>
      </c>
      <c r="H72" s="101">
        <v>0.78286299999999998</v>
      </c>
      <c r="I72" s="22" t="s">
        <v>21</v>
      </c>
      <c r="J72" s="101">
        <v>0.58137399999999995</v>
      </c>
      <c r="K72" s="22" t="s">
        <v>21</v>
      </c>
    </row>
    <row r="73" spans="1:12">
      <c r="A73" s="27" t="s">
        <v>50</v>
      </c>
      <c r="B73" s="101">
        <v>0.113757</v>
      </c>
      <c r="C73" s="22" t="s">
        <v>21</v>
      </c>
      <c r="D73" s="101">
        <v>8.4824099999999999E-2</v>
      </c>
      <c r="E73" s="22" t="s">
        <v>21</v>
      </c>
      <c r="F73" s="101">
        <v>1.0011399999999999</v>
      </c>
      <c r="G73" s="22" t="s">
        <v>21</v>
      </c>
      <c r="H73" s="101">
        <v>0.65672399999999997</v>
      </c>
      <c r="I73" s="22" t="s">
        <v>21</v>
      </c>
      <c r="J73" s="101">
        <v>0.452598</v>
      </c>
      <c r="K73" s="22" t="s">
        <v>21</v>
      </c>
      <c r="L73" s="106"/>
    </row>
    <row r="74" spans="1:12">
      <c r="A74" s="7" t="s">
        <v>52</v>
      </c>
      <c r="B74" s="101">
        <v>5.00204</v>
      </c>
      <c r="C74" s="22" t="s">
        <v>3</v>
      </c>
      <c r="D74" s="101">
        <v>5.0002899999999997</v>
      </c>
      <c r="E74" s="22" t="s">
        <v>3</v>
      </c>
      <c r="F74" s="101">
        <v>5.0350299999999999</v>
      </c>
      <c r="G74" s="22" t="s">
        <v>3</v>
      </c>
      <c r="H74" s="101">
        <v>5.02006</v>
      </c>
      <c r="I74" s="22" t="s">
        <v>3</v>
      </c>
      <c r="J74" s="101">
        <v>5.0142699999999998</v>
      </c>
      <c r="K74" s="22" t="s">
        <v>3</v>
      </c>
    </row>
    <row r="75" spans="1:12">
      <c r="A75" s="27" t="s">
        <v>53</v>
      </c>
      <c r="B75" s="101">
        <v>5.00204</v>
      </c>
      <c r="C75" s="29" t="s">
        <v>3</v>
      </c>
      <c r="D75" s="101">
        <v>5.0002899999999997</v>
      </c>
      <c r="E75" s="29" t="s">
        <v>3</v>
      </c>
      <c r="F75" s="101">
        <v>5.0350299999999999</v>
      </c>
      <c r="G75" s="29" t="s">
        <v>3</v>
      </c>
      <c r="H75" s="101">
        <v>5.02006</v>
      </c>
      <c r="I75" s="29" t="s">
        <v>3</v>
      </c>
      <c r="J75" s="101">
        <v>5.0142699999999998</v>
      </c>
      <c r="K75" s="29" t="s">
        <v>3</v>
      </c>
    </row>
    <row r="76" spans="1:12" ht="15" thickBot="1">
      <c r="A76" s="115" t="s">
        <v>54</v>
      </c>
      <c r="B76" s="116">
        <v>0.9</v>
      </c>
      <c r="C76" s="112" t="s">
        <v>160</v>
      </c>
      <c r="D76" s="116">
        <v>0.66</v>
      </c>
      <c r="E76" s="112" t="s">
        <v>160</v>
      </c>
      <c r="F76" s="116">
        <v>8.2100000000000009</v>
      </c>
      <c r="G76" s="112" t="s">
        <v>160</v>
      </c>
      <c r="H76" s="116">
        <v>5.22</v>
      </c>
      <c r="I76" s="112" t="s">
        <v>160</v>
      </c>
      <c r="J76" s="116">
        <f>(5.01427-4.98192)*10^3</f>
        <v>32.350000000000101</v>
      </c>
      <c r="K76" s="112" t="s">
        <v>160</v>
      </c>
    </row>
    <row r="77" spans="1:12" ht="15" thickTop="1"/>
    <row r="79" spans="1:12" ht="18">
      <c r="A79" s="2" t="s">
        <v>22</v>
      </c>
    </row>
    <row r="80" spans="1:12" ht="15" thickBot="1"/>
    <row r="81" spans="1:3" ht="15.6" thickTop="1" thickBot="1">
      <c r="A81" s="3" t="s">
        <v>0</v>
      </c>
      <c r="B81" s="3" t="s">
        <v>1</v>
      </c>
      <c r="C81" s="3" t="s">
        <v>7</v>
      </c>
    </row>
    <row r="82" spans="1:3" ht="15" thickTop="1">
      <c r="A82" s="4" t="s">
        <v>122</v>
      </c>
      <c r="B82" s="5">
        <v>1</v>
      </c>
      <c r="C82" s="14" t="s">
        <v>3</v>
      </c>
    </row>
    <row r="83" spans="1:3">
      <c r="A83" s="15" t="s">
        <v>123</v>
      </c>
      <c r="B83" s="34">
        <v>4</v>
      </c>
      <c r="C83" s="17" t="s">
        <v>3</v>
      </c>
    </row>
    <row r="84" spans="1:3">
      <c r="A84" s="15" t="s">
        <v>23</v>
      </c>
      <c r="B84" s="34">
        <v>2.5</v>
      </c>
      <c r="C84" s="35" t="s">
        <v>3</v>
      </c>
    </row>
    <row r="85" spans="1:3" ht="15.6">
      <c r="A85" s="52" t="s">
        <v>128</v>
      </c>
      <c r="B85" s="36">
        <v>22</v>
      </c>
      <c r="C85" s="18" t="s">
        <v>24</v>
      </c>
    </row>
    <row r="86" spans="1:3">
      <c r="A86" s="52" t="s">
        <v>127</v>
      </c>
      <c r="B86" s="34">
        <v>1</v>
      </c>
      <c r="C86" s="18" t="s">
        <v>25</v>
      </c>
    </row>
    <row r="87" spans="1:3">
      <c r="A87" s="52" t="s">
        <v>126</v>
      </c>
      <c r="B87" s="16">
        <v>18</v>
      </c>
      <c r="C87" s="18" t="s">
        <v>26</v>
      </c>
    </row>
    <row r="88" spans="1:3">
      <c r="A88" s="52" t="s">
        <v>125</v>
      </c>
      <c r="B88" s="16">
        <v>0.1</v>
      </c>
      <c r="C88" s="18" t="s">
        <v>132</v>
      </c>
    </row>
    <row r="89" spans="1:3">
      <c r="A89" s="52" t="s">
        <v>129</v>
      </c>
      <c r="B89" s="16">
        <v>39</v>
      </c>
      <c r="C89" s="18" t="s">
        <v>190</v>
      </c>
    </row>
    <row r="90" spans="1:3">
      <c r="A90" s="52" t="s">
        <v>130</v>
      </c>
      <c r="B90" s="16">
        <v>150</v>
      </c>
      <c r="C90" s="18" t="s">
        <v>191</v>
      </c>
    </row>
    <row r="91" spans="1:3">
      <c r="A91" s="52" t="s">
        <v>131</v>
      </c>
      <c r="B91" s="16">
        <v>100</v>
      </c>
      <c r="C91" s="18" t="s">
        <v>133</v>
      </c>
    </row>
    <row r="92" spans="1:3">
      <c r="A92" s="52" t="s">
        <v>27</v>
      </c>
      <c r="B92" s="16">
        <v>100</v>
      </c>
      <c r="C92" s="18" t="s">
        <v>134</v>
      </c>
    </row>
    <row r="93" spans="1:3">
      <c r="A93" s="52" t="s">
        <v>28</v>
      </c>
      <c r="B93" s="16">
        <v>100</v>
      </c>
      <c r="C93" s="18" t="s">
        <v>135</v>
      </c>
    </row>
    <row r="94" spans="1:3">
      <c r="A94" s="52" t="s">
        <v>124</v>
      </c>
      <c r="B94" s="16">
        <v>3300</v>
      </c>
      <c r="C94" s="18" t="s">
        <v>136</v>
      </c>
    </row>
    <row r="95" spans="1:3">
      <c r="A95" s="15" t="s">
        <v>120</v>
      </c>
      <c r="B95" s="34">
        <v>4.7</v>
      </c>
      <c r="C95" s="18" t="s">
        <v>29</v>
      </c>
    </row>
    <row r="96" spans="1:3">
      <c r="A96" s="15" t="s">
        <v>121</v>
      </c>
      <c r="B96" s="34">
        <v>10</v>
      </c>
      <c r="C96" s="18" t="s">
        <v>29</v>
      </c>
    </row>
    <row r="97" spans="1:11">
      <c r="A97" s="52" t="s">
        <v>163</v>
      </c>
      <c r="B97" s="34">
        <v>150</v>
      </c>
      <c r="C97" s="18" t="s">
        <v>162</v>
      </c>
    </row>
    <row r="98" spans="1:11">
      <c r="A98" s="15" t="s">
        <v>30</v>
      </c>
      <c r="B98" s="108">
        <v>1</v>
      </c>
      <c r="C98" s="18"/>
    </row>
    <row r="99" spans="1:11" ht="15" thickBot="1">
      <c r="A99" s="10" t="s">
        <v>31</v>
      </c>
      <c r="B99" s="109">
        <v>300</v>
      </c>
      <c r="C99" s="19"/>
    </row>
    <row r="100" spans="1:11" ht="15" thickTop="1"/>
    <row r="102" spans="1:11" ht="18">
      <c r="A102" s="2" t="s">
        <v>32</v>
      </c>
    </row>
    <row r="103" spans="1:11" ht="15" thickBot="1"/>
    <row r="104" spans="1:11" ht="15.6" thickTop="1" thickBot="1">
      <c r="A104" s="3" t="s">
        <v>0</v>
      </c>
      <c r="B104" s="3" t="s">
        <v>1</v>
      </c>
      <c r="C104" s="3" t="s">
        <v>7</v>
      </c>
      <c r="D104" s="3" t="s">
        <v>1</v>
      </c>
      <c r="E104" s="3" t="s">
        <v>7</v>
      </c>
      <c r="F104" s="3"/>
      <c r="G104" s="3"/>
      <c r="H104" s="3" t="s">
        <v>1</v>
      </c>
      <c r="I104" s="3" t="s">
        <v>7</v>
      </c>
      <c r="J104" s="3" t="s">
        <v>1</v>
      </c>
      <c r="K104" s="3" t="s">
        <v>7</v>
      </c>
    </row>
    <row r="105" spans="1:11" ht="15" thickTop="1">
      <c r="A105" s="7" t="s">
        <v>16</v>
      </c>
      <c r="B105" s="8">
        <f>B44</f>
        <v>50</v>
      </c>
      <c r="C105" s="22" t="s">
        <v>20</v>
      </c>
      <c r="D105" s="8">
        <f>D44</f>
        <v>50</v>
      </c>
      <c r="E105" s="22" t="s">
        <v>20</v>
      </c>
      <c r="F105" s="8">
        <f>F44</f>
        <v>5</v>
      </c>
      <c r="G105" s="22" t="s">
        <v>20</v>
      </c>
      <c r="H105" s="8">
        <f>H44</f>
        <v>5</v>
      </c>
      <c r="I105" s="22" t="s">
        <v>20</v>
      </c>
      <c r="J105" s="8">
        <v>10</v>
      </c>
      <c r="K105" s="23" t="s">
        <v>20</v>
      </c>
    </row>
    <row r="106" spans="1:11">
      <c r="A106" s="7" t="s">
        <v>33</v>
      </c>
      <c r="B106" s="8">
        <v>2.5</v>
      </c>
      <c r="C106" s="22" t="s">
        <v>3</v>
      </c>
      <c r="D106" s="8">
        <v>3.5</v>
      </c>
      <c r="E106" s="22" t="s">
        <v>3</v>
      </c>
      <c r="F106" s="8">
        <v>2.5</v>
      </c>
      <c r="G106" s="22" t="s">
        <v>3</v>
      </c>
      <c r="H106" s="8">
        <v>3.5</v>
      </c>
      <c r="I106" s="22" t="s">
        <v>3</v>
      </c>
      <c r="J106" s="8">
        <v>3</v>
      </c>
      <c r="K106" s="23" t="s">
        <v>3</v>
      </c>
    </row>
    <row r="107" spans="1:11">
      <c r="A107" s="38" t="s">
        <v>161</v>
      </c>
      <c r="B107" s="100">
        <v>5.0006599999999999</v>
      </c>
      <c r="C107" s="22" t="s">
        <v>3</v>
      </c>
      <c r="D107" s="100">
        <v>4.9999500000000001</v>
      </c>
      <c r="E107" s="22" t="s">
        <v>3</v>
      </c>
      <c r="F107" s="100">
        <v>4.9983899999999997</v>
      </c>
      <c r="G107" s="22" t="s">
        <v>3</v>
      </c>
      <c r="H107" s="100">
        <v>4.99932</v>
      </c>
      <c r="I107" s="22" t="s">
        <v>3</v>
      </c>
      <c r="J107" s="100">
        <v>4.9985900000000001</v>
      </c>
      <c r="K107" s="23" t="s">
        <v>3</v>
      </c>
    </row>
    <row r="108" spans="1:11" ht="15" thickBot="1">
      <c r="A108" s="10" t="s">
        <v>34</v>
      </c>
      <c r="B108" s="107">
        <v>7.3</v>
      </c>
      <c r="C108" s="30" t="s">
        <v>35</v>
      </c>
      <c r="D108" s="107">
        <v>5.5</v>
      </c>
      <c r="E108" s="30" t="s">
        <v>35</v>
      </c>
      <c r="F108" s="110">
        <v>8.9</v>
      </c>
      <c r="G108" s="30" t="s">
        <v>35</v>
      </c>
      <c r="H108" s="107">
        <v>6</v>
      </c>
      <c r="I108" s="30" t="s">
        <v>35</v>
      </c>
      <c r="J108" s="111">
        <v>4.8</v>
      </c>
      <c r="K108" s="31" t="s">
        <v>35</v>
      </c>
    </row>
    <row r="109" spans="1:11" ht="15" thickTop="1"/>
    <row r="111" spans="1:11" ht="18">
      <c r="A111" s="2" t="s">
        <v>164</v>
      </c>
    </row>
    <row r="112" spans="1:11" ht="15" thickBot="1"/>
    <row r="113" spans="1:8" ht="15.6" thickTop="1" thickBot="1">
      <c r="A113" s="3" t="s">
        <v>0</v>
      </c>
      <c r="B113" s="3" t="s">
        <v>167</v>
      </c>
      <c r="C113" s="3"/>
      <c r="D113" s="3" t="s">
        <v>166</v>
      </c>
      <c r="E113" s="3"/>
      <c r="F113" s="3" t="s">
        <v>174</v>
      </c>
      <c r="G113" s="3"/>
      <c r="H113" s="3" t="s">
        <v>1</v>
      </c>
    </row>
    <row r="114" spans="1:8" ht="15" thickTop="1">
      <c r="A114" s="38" t="s">
        <v>165</v>
      </c>
      <c r="B114" s="117" t="s">
        <v>168</v>
      </c>
      <c r="C114" s="22"/>
      <c r="D114" s="22" t="s">
        <v>180</v>
      </c>
      <c r="E114" s="22"/>
      <c r="F114" s="22" t="s">
        <v>182</v>
      </c>
      <c r="G114" s="22"/>
      <c r="H114" s="22" t="s">
        <v>184</v>
      </c>
    </row>
    <row r="115" spans="1:8">
      <c r="A115" s="38" t="s">
        <v>172</v>
      </c>
      <c r="B115" t="s">
        <v>173</v>
      </c>
      <c r="C115" s="22"/>
      <c r="D115" t="s">
        <v>181</v>
      </c>
      <c r="E115" s="22"/>
      <c r="F115" s="22" t="s">
        <v>182</v>
      </c>
      <c r="G115" s="22"/>
      <c r="H115" s="22" t="s">
        <v>184</v>
      </c>
    </row>
    <row r="116" spans="1:8">
      <c r="A116" s="38" t="s">
        <v>178</v>
      </c>
      <c r="B116" s="117" t="s">
        <v>169</v>
      </c>
      <c r="C116" s="22"/>
      <c r="D116" s="118" t="s">
        <v>179</v>
      </c>
      <c r="E116" s="22"/>
      <c r="F116" s="22" t="s">
        <v>218</v>
      </c>
      <c r="G116" s="22"/>
      <c r="H116" s="22" t="s">
        <v>183</v>
      </c>
    </row>
    <row r="117" spans="1:8" ht="15" thickBot="1">
      <c r="A117" s="85" t="s">
        <v>170</v>
      </c>
      <c r="B117" s="100" t="s">
        <v>171</v>
      </c>
      <c r="C117" s="30"/>
      <c r="D117" s="30" t="s">
        <v>175</v>
      </c>
      <c r="E117" s="30"/>
      <c r="F117" s="30" t="s">
        <v>176</v>
      </c>
      <c r="G117" s="30"/>
      <c r="H117" s="30" t="s">
        <v>177</v>
      </c>
    </row>
    <row r="118" spans="1:8" ht="15.6" thickTop="1" thickBot="1">
      <c r="A118" s="85" t="s">
        <v>185</v>
      </c>
      <c r="B118" s="100" t="s">
        <v>186</v>
      </c>
      <c r="C118" s="30"/>
      <c r="D118" s="30" t="s">
        <v>187</v>
      </c>
      <c r="E118" s="30"/>
      <c r="F118" s="30" t="s">
        <v>189</v>
      </c>
      <c r="G118" s="30"/>
      <c r="H118" s="30" t="s">
        <v>188</v>
      </c>
    </row>
    <row r="119" spans="1:8" ht="15" thickTop="1"/>
    <row r="120" spans="1:8">
      <c r="A120" s="129" t="s">
        <v>212</v>
      </c>
    </row>
    <row r="121" spans="1:8">
      <c r="A121" s="130" t="s">
        <v>206</v>
      </c>
      <c r="B121" t="s">
        <v>203</v>
      </c>
    </row>
    <row r="122" spans="1:8">
      <c r="A122" s="130" t="s">
        <v>205</v>
      </c>
    </row>
    <row r="123" spans="1:8">
      <c r="A123" s="130" t="s">
        <v>207</v>
      </c>
      <c r="B123" t="s">
        <v>204</v>
      </c>
    </row>
    <row r="124" spans="1:8">
      <c r="A124" s="130" t="s">
        <v>219</v>
      </c>
      <c r="B124" t="s">
        <v>208</v>
      </c>
    </row>
    <row r="125" spans="1:8">
      <c r="A125" s="129" t="s">
        <v>213</v>
      </c>
    </row>
    <row r="126" spans="1:8">
      <c r="A126" s="130" t="s">
        <v>209</v>
      </c>
      <c r="B126" t="s">
        <v>211</v>
      </c>
    </row>
    <row r="127" spans="1:8">
      <c r="A127" s="130" t="s">
        <v>210</v>
      </c>
    </row>
    <row r="128" spans="1:8">
      <c r="A128" s="130" t="s">
        <v>214</v>
      </c>
      <c r="B128" t="s">
        <v>215</v>
      </c>
    </row>
    <row r="129" spans="1:2">
      <c r="A129" s="130" t="s">
        <v>216</v>
      </c>
      <c r="B129" t="s">
        <v>217</v>
      </c>
    </row>
  </sheetData>
  <phoneticPr fontId="7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A05D-7210-44AC-859D-2846F0884F7B}">
  <dimension ref="A1:G56"/>
  <sheetViews>
    <sheetView topLeftCell="A24" zoomScale="121" workbookViewId="0">
      <selection activeCell="C48" sqref="C48"/>
    </sheetView>
  </sheetViews>
  <sheetFormatPr defaultColWidth="12" defaultRowHeight="14.4"/>
  <cols>
    <col min="1" max="1" width="24.44140625" customWidth="1"/>
    <col min="2" max="9" width="12.88671875" customWidth="1"/>
  </cols>
  <sheetData>
    <row r="1" spans="1:5" ht="21">
      <c r="A1" s="1" t="s">
        <v>90</v>
      </c>
    </row>
    <row r="3" spans="1:5" ht="18">
      <c r="A3" s="2" t="s">
        <v>61</v>
      </c>
    </row>
    <row r="4" spans="1:5" ht="15" thickBot="1"/>
    <row r="5" spans="1:5" ht="15.6" thickTop="1" thickBot="1">
      <c r="A5" s="3" t="s">
        <v>0</v>
      </c>
      <c r="B5" s="3" t="s">
        <v>1</v>
      </c>
      <c r="C5" s="3" t="s">
        <v>2</v>
      </c>
      <c r="E5" s="73"/>
    </row>
    <row r="6" spans="1:5" ht="15" thickTop="1">
      <c r="A6" s="37" t="s">
        <v>101</v>
      </c>
      <c r="B6" s="5">
        <f>SS_Analysis!B25</f>
        <v>47</v>
      </c>
      <c r="C6" s="18" t="s">
        <v>8</v>
      </c>
    </row>
    <row r="7" spans="1:5">
      <c r="A7" s="38" t="s">
        <v>92</v>
      </c>
      <c r="B7" s="8">
        <f>SS_Analysis!F46</f>
        <v>2</v>
      </c>
      <c r="C7" s="9" t="s">
        <v>42</v>
      </c>
    </row>
    <row r="8" spans="1:5">
      <c r="A8" s="38" t="s">
        <v>93</v>
      </c>
      <c r="B8" s="8">
        <f>SS_Analysis!F49</f>
        <v>2.1329787234042552</v>
      </c>
      <c r="C8" s="9" t="s">
        <v>42</v>
      </c>
    </row>
    <row r="9" spans="1:5">
      <c r="A9" s="38" t="s">
        <v>91</v>
      </c>
      <c r="B9" s="8">
        <f>SS_Analysis!F51</f>
        <v>2.0014730692565936</v>
      </c>
      <c r="C9" s="9" t="s">
        <v>42</v>
      </c>
    </row>
    <row r="10" spans="1:5">
      <c r="A10" s="7" t="s">
        <v>62</v>
      </c>
      <c r="B10" s="8">
        <v>0.25</v>
      </c>
      <c r="C10" s="9" t="s">
        <v>63</v>
      </c>
    </row>
    <row r="11" spans="1:5" ht="15" thickBot="1">
      <c r="A11" s="10" t="s">
        <v>5</v>
      </c>
      <c r="B11" s="11">
        <f>SS_Analysis!B11</f>
        <v>100</v>
      </c>
      <c r="C11" s="12" t="s">
        <v>6</v>
      </c>
    </row>
    <row r="12" spans="1:5" ht="16.2" thickTop="1">
      <c r="A12" s="13"/>
    </row>
    <row r="14" spans="1:5" ht="18">
      <c r="A14" s="2" t="s">
        <v>64</v>
      </c>
    </row>
    <row r="15" spans="1:5" ht="18.600000000000001" thickBot="1">
      <c r="A15" s="2"/>
    </row>
    <row r="16" spans="1:5" ht="15.6" thickTop="1" thickBot="1">
      <c r="A16" s="3" t="s">
        <v>0</v>
      </c>
      <c r="B16" s="3" t="s">
        <v>1</v>
      </c>
      <c r="C16" s="3" t="s">
        <v>2</v>
      </c>
    </row>
    <row r="17" spans="1:3" ht="15" thickTop="1">
      <c r="A17" s="59" t="s">
        <v>65</v>
      </c>
      <c r="B17" s="60" t="s">
        <v>66</v>
      </c>
      <c r="C17" s="61"/>
    </row>
    <row r="18" spans="1:3">
      <c r="A18" s="62" t="s">
        <v>67</v>
      </c>
      <c r="B18" s="63" t="s">
        <v>68</v>
      </c>
      <c r="C18" s="64"/>
    </row>
    <row r="19" spans="1:3">
      <c r="A19" s="62" t="s">
        <v>69</v>
      </c>
      <c r="B19" s="65">
        <v>31</v>
      </c>
      <c r="C19" s="64" t="s">
        <v>70</v>
      </c>
    </row>
    <row r="20" spans="1:3">
      <c r="A20" s="62" t="s">
        <v>71</v>
      </c>
      <c r="B20" s="65">
        <v>47</v>
      </c>
      <c r="C20" s="64" t="s">
        <v>72</v>
      </c>
    </row>
    <row r="21" spans="1:3">
      <c r="A21" s="62" t="s">
        <v>73</v>
      </c>
      <c r="B21" s="65">
        <v>1460</v>
      </c>
      <c r="C21" s="64" t="s">
        <v>74</v>
      </c>
    </row>
    <row r="22" spans="1:3">
      <c r="A22" s="62" t="s">
        <v>75</v>
      </c>
      <c r="B22" s="65">
        <v>28.1</v>
      </c>
      <c r="C22" s="64" t="s">
        <v>70</v>
      </c>
    </row>
    <row r="23" spans="1:3">
      <c r="A23" s="62" t="s">
        <v>76</v>
      </c>
      <c r="B23" s="65">
        <v>40.200000000000003</v>
      </c>
      <c r="C23" s="64" t="s">
        <v>72</v>
      </c>
    </row>
    <row r="24" spans="1:3">
      <c r="A24" s="62" t="s">
        <v>77</v>
      </c>
      <c r="B24" s="66">
        <f>1.724*10^-8</f>
        <v>1.7240000000000001E-8</v>
      </c>
      <c r="C24" s="64" t="s">
        <v>78</v>
      </c>
    </row>
    <row r="25" spans="1:3">
      <c r="A25" s="62" t="s">
        <v>79</v>
      </c>
      <c r="B25" s="119">
        <f>4*PI()*10^-7</f>
        <v>1.2566370614359173E-6</v>
      </c>
      <c r="C25" s="64" t="s">
        <v>80</v>
      </c>
    </row>
    <row r="26" spans="1:3">
      <c r="A26" s="67" t="s">
        <v>81</v>
      </c>
      <c r="B26" s="121">
        <v>1510</v>
      </c>
    </row>
    <row r="27" spans="1:3" ht="15" thickBot="1">
      <c r="A27" s="68" t="s">
        <v>82</v>
      </c>
      <c r="B27" s="69">
        <v>0.65</v>
      </c>
      <c r="C27" s="70"/>
    </row>
    <row r="28" spans="1:3" ht="15" thickTop="1"/>
    <row r="30" spans="1:3" ht="18">
      <c r="A30" s="2" t="s">
        <v>83</v>
      </c>
    </row>
    <row r="31" spans="1:3" ht="15" thickBot="1"/>
    <row r="32" spans="1:3" ht="15.6" thickTop="1" thickBot="1">
      <c r="A32" s="3" t="s">
        <v>0</v>
      </c>
      <c r="B32" s="3" t="s">
        <v>1</v>
      </c>
      <c r="C32" s="3" t="s">
        <v>7</v>
      </c>
    </row>
    <row r="33" spans="1:7" ht="15" thickTop="1">
      <c r="A33" s="59" t="s">
        <v>84</v>
      </c>
      <c r="B33" s="71">
        <v>0.1</v>
      </c>
      <c r="C33" s="72" t="s">
        <v>138</v>
      </c>
      <c r="G33" s="73"/>
    </row>
    <row r="34" spans="1:7">
      <c r="A34" s="74" t="s">
        <v>194</v>
      </c>
      <c r="B34" s="123">
        <f>ROUND(SQRT((2*B6*10^-6*B33*10^-3)/(B25*B19*10^-6)),0)</f>
        <v>16</v>
      </c>
      <c r="C34" s="76" t="s">
        <v>139</v>
      </c>
      <c r="G34" s="73"/>
    </row>
    <row r="35" spans="1:7">
      <c r="A35" s="74" t="s">
        <v>85</v>
      </c>
      <c r="B35" s="77">
        <f>B34*B8*B25/(2*B33*10^-3)</f>
        <v>0.2144304092067246</v>
      </c>
      <c r="C35" s="76" t="s">
        <v>140</v>
      </c>
      <c r="F35" s="78"/>
      <c r="G35" s="73"/>
    </row>
    <row r="36" spans="1:7" ht="15.6">
      <c r="A36" s="74" t="s">
        <v>86</v>
      </c>
      <c r="B36" s="79" t="str">
        <f>IF(B35&lt;=B10,"Yes","No")</f>
        <v>Yes</v>
      </c>
      <c r="C36" s="76"/>
      <c r="E36" s="13"/>
      <c r="F36" s="13"/>
      <c r="G36" s="13"/>
    </row>
    <row r="37" spans="1:7">
      <c r="A37" s="74" t="s">
        <v>87</v>
      </c>
      <c r="B37" s="122">
        <f>10^3*SQRT(B24/(PI()*B25*B11*10^3))</f>
        <v>0.20897231909955821</v>
      </c>
      <c r="C37" s="76" t="s">
        <v>141</v>
      </c>
    </row>
    <row r="38" spans="1:7">
      <c r="A38" s="81" t="s">
        <v>95</v>
      </c>
      <c r="B38" s="80">
        <v>0.5</v>
      </c>
      <c r="C38" s="76" t="s">
        <v>72</v>
      </c>
    </row>
    <row r="39" spans="1:7">
      <c r="A39" s="81" t="s">
        <v>94</v>
      </c>
      <c r="B39" s="120">
        <f>PI()*B38^2/4</f>
        <v>0.19634954084936207</v>
      </c>
      <c r="C39" s="76" t="s">
        <v>142</v>
      </c>
    </row>
    <row r="40" spans="1:7">
      <c r="A40" s="81" t="s">
        <v>193</v>
      </c>
      <c r="B40" s="80">
        <v>5</v>
      </c>
      <c r="C40" s="76"/>
    </row>
    <row r="41" spans="1:7">
      <c r="A41" s="81" t="s">
        <v>96</v>
      </c>
      <c r="B41" s="122">
        <f>10^3*B24*B34*B23*10^-3/(B40*B39*10^-6)</f>
        <v>11.294926335995074</v>
      </c>
      <c r="C41" s="76" t="s">
        <v>143</v>
      </c>
    </row>
    <row r="42" spans="1:7" ht="15" thickBot="1">
      <c r="A42" s="83" t="s">
        <v>88</v>
      </c>
      <c r="B42" s="124">
        <f>B9^2*B41*10^-3</f>
        <v>4.5246282688178256E-2</v>
      </c>
      <c r="C42" s="84" t="s">
        <v>144</v>
      </c>
    </row>
    <row r="43" spans="1:7" ht="15" thickTop="1">
      <c r="A43" s="125" t="s">
        <v>197</v>
      </c>
      <c r="B43" s="126">
        <f>B35*10^3*SS_Analysis!F47/(2*B8)</f>
        <v>13.368479376977847</v>
      </c>
      <c r="C43" s="127" t="s">
        <v>198</v>
      </c>
    </row>
    <row r="44" spans="1:7">
      <c r="A44" s="125" t="s">
        <v>195</v>
      </c>
      <c r="B44" s="126">
        <f>1.71*10^-5*B11^1.12*B43^2.29</f>
        <v>1.1264811121722047</v>
      </c>
      <c r="C44" s="127" t="s">
        <v>199</v>
      </c>
    </row>
    <row r="45" spans="1:7">
      <c r="A45" s="125" t="s">
        <v>196</v>
      </c>
      <c r="B45" s="126">
        <f>(B44*10^3*B21*10^-9) + B42</f>
        <v>4.6890945111949675E-2</v>
      </c>
      <c r="C45" s="127" t="s">
        <v>200</v>
      </c>
    </row>
    <row r="46" spans="1:7">
      <c r="A46" s="74" t="s">
        <v>192</v>
      </c>
      <c r="B46" s="77">
        <f>B9/(B40*B39)</f>
        <v>2.0386837275999632</v>
      </c>
      <c r="C46" s="76" t="s">
        <v>201</v>
      </c>
    </row>
    <row r="47" spans="1:7">
      <c r="A47" s="128" t="s">
        <v>202</v>
      </c>
      <c r="B47" s="114">
        <f>B34*B40*B39/B27</f>
        <v>24.166097335306102</v>
      </c>
      <c r="C47" s="127" t="s">
        <v>70</v>
      </c>
    </row>
    <row r="49" spans="1:3" ht="18">
      <c r="A49" s="2" t="s">
        <v>97</v>
      </c>
    </row>
    <row r="50" spans="1:3" ht="15" thickBot="1"/>
    <row r="51" spans="1:3" ht="15.6" thickTop="1" thickBot="1">
      <c r="A51" s="3" t="s">
        <v>0</v>
      </c>
      <c r="B51" s="3" t="s">
        <v>1</v>
      </c>
      <c r="C51" s="3" t="s">
        <v>7</v>
      </c>
    </row>
    <row r="52" spans="1:3" ht="15" thickTop="1">
      <c r="A52" s="81" t="s">
        <v>98</v>
      </c>
      <c r="B52" s="75">
        <v>48.296999999999997</v>
      </c>
      <c r="C52" s="76" t="s">
        <v>89</v>
      </c>
    </row>
    <row r="53" spans="1:3">
      <c r="A53" s="74" t="s">
        <v>85</v>
      </c>
      <c r="B53" s="131">
        <f>(B52*B8)/(B34*B19)</f>
        <v>0.20769450283115989</v>
      </c>
      <c r="C53" s="64" t="s">
        <v>63</v>
      </c>
    </row>
    <row r="54" spans="1:3">
      <c r="A54" s="81" t="s">
        <v>145</v>
      </c>
      <c r="B54" s="88">
        <v>50</v>
      </c>
      <c r="C54" s="64" t="s">
        <v>100</v>
      </c>
    </row>
    <row r="55" spans="1:3" ht="15" thickBot="1">
      <c r="A55" s="82" t="s">
        <v>99</v>
      </c>
      <c r="B55" s="86">
        <v>273</v>
      </c>
      <c r="C55" s="87" t="s">
        <v>100</v>
      </c>
    </row>
    <row r="56" spans="1:3" ht="15" thickTop="1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37C4-8F32-417F-A8E4-D80C296F90D3}">
  <dimension ref="A2:AD84"/>
  <sheetViews>
    <sheetView zoomScale="55" zoomScaleNormal="55" workbookViewId="0">
      <selection activeCell="B32" sqref="B32:H39"/>
    </sheetView>
  </sheetViews>
  <sheetFormatPr defaultRowHeight="14.4"/>
  <sheetData>
    <row r="2" spans="2:25">
      <c r="B2" s="136" t="s">
        <v>220</v>
      </c>
      <c r="C2" s="136"/>
      <c r="D2" s="136"/>
      <c r="E2" s="136"/>
    </row>
    <row r="3" spans="2:25">
      <c r="B3" t="s">
        <v>221</v>
      </c>
      <c r="D3" t="s">
        <v>222</v>
      </c>
      <c r="G3" t="s">
        <v>223</v>
      </c>
      <c r="K3" t="s">
        <v>224</v>
      </c>
    </row>
    <row r="4" spans="2:25">
      <c r="B4">
        <v>5</v>
      </c>
      <c r="C4" t="s">
        <v>225</v>
      </c>
      <c r="D4" s="129">
        <v>5.6</v>
      </c>
      <c r="E4" t="s">
        <v>225</v>
      </c>
      <c r="G4" s="129" t="s">
        <v>226</v>
      </c>
      <c r="K4" t="s">
        <v>227</v>
      </c>
    </row>
    <row r="5" spans="2:25">
      <c r="B5">
        <v>10</v>
      </c>
      <c r="C5" t="s">
        <v>225</v>
      </c>
      <c r="D5" s="129">
        <v>10</v>
      </c>
      <c r="E5" t="s">
        <v>225</v>
      </c>
      <c r="G5" t="s">
        <v>228</v>
      </c>
      <c r="K5" t="s">
        <v>229</v>
      </c>
    </row>
    <row r="6" spans="2:25">
      <c r="B6">
        <v>15</v>
      </c>
      <c r="C6" t="s">
        <v>225</v>
      </c>
      <c r="D6">
        <v>15</v>
      </c>
      <c r="G6" t="s">
        <v>230</v>
      </c>
      <c r="K6" t="s">
        <v>231</v>
      </c>
    </row>
    <row r="7" spans="2:25">
      <c r="B7">
        <v>20</v>
      </c>
      <c r="D7" s="129">
        <v>22</v>
      </c>
      <c r="E7" t="s">
        <v>225</v>
      </c>
      <c r="K7" t="s">
        <v>232</v>
      </c>
    </row>
    <row r="8" spans="2:25">
      <c r="B8">
        <v>25</v>
      </c>
      <c r="C8" t="s">
        <v>225</v>
      </c>
      <c r="D8">
        <v>27</v>
      </c>
      <c r="G8" t="s">
        <v>233</v>
      </c>
    </row>
    <row r="9" spans="2:25">
      <c r="B9">
        <v>30</v>
      </c>
      <c r="C9" t="s">
        <v>225</v>
      </c>
      <c r="D9">
        <v>33</v>
      </c>
      <c r="G9" t="s">
        <v>234</v>
      </c>
      <c r="K9" t="s">
        <v>235</v>
      </c>
    </row>
    <row r="10" spans="2:25">
      <c r="B10">
        <v>35</v>
      </c>
      <c r="D10" s="129">
        <v>33</v>
      </c>
      <c r="E10" t="s">
        <v>225</v>
      </c>
      <c r="G10" t="s">
        <v>236</v>
      </c>
      <c r="K10" t="s">
        <v>237</v>
      </c>
    </row>
    <row r="11" spans="2:25">
      <c r="B11">
        <v>40</v>
      </c>
      <c r="C11" t="s">
        <v>225</v>
      </c>
      <c r="D11">
        <v>39</v>
      </c>
    </row>
    <row r="12" spans="2:25">
      <c r="B12">
        <v>45</v>
      </c>
      <c r="C12" t="s">
        <v>225</v>
      </c>
      <c r="D12">
        <v>47</v>
      </c>
    </row>
    <row r="13" spans="2:25">
      <c r="B13">
        <v>50</v>
      </c>
      <c r="C13" t="s">
        <v>225</v>
      </c>
      <c r="D13" s="129">
        <v>47</v>
      </c>
      <c r="E13" t="s">
        <v>225</v>
      </c>
    </row>
    <row r="15" spans="2:25">
      <c r="B15" s="132" t="s">
        <v>238</v>
      </c>
      <c r="C15" s="132" t="s">
        <v>239</v>
      </c>
      <c r="D15" s="132"/>
      <c r="E15" s="132"/>
      <c r="G15" s="132" t="s">
        <v>240</v>
      </c>
      <c r="H15" s="132" t="s">
        <v>241</v>
      </c>
      <c r="I15" s="132"/>
      <c r="J15" s="132"/>
      <c r="L15" s="132" t="s">
        <v>242</v>
      </c>
      <c r="M15" s="132" t="s">
        <v>243</v>
      </c>
      <c r="N15" s="132"/>
      <c r="O15" s="132"/>
      <c r="Q15" s="132" t="s">
        <v>244</v>
      </c>
      <c r="R15" s="132" t="s">
        <v>245</v>
      </c>
      <c r="S15" s="132"/>
      <c r="T15" s="132"/>
      <c r="V15" s="132" t="s">
        <v>246</v>
      </c>
      <c r="W15" s="132" t="s">
        <v>247</v>
      </c>
      <c r="X15" s="132"/>
      <c r="Y15" s="132"/>
    </row>
    <row r="16" spans="2:25">
      <c r="B16" s="133" t="s">
        <v>248</v>
      </c>
      <c r="C16" s="134">
        <v>2.5</v>
      </c>
      <c r="D16" s="134">
        <v>3</v>
      </c>
      <c r="E16" s="134">
        <v>3.5</v>
      </c>
      <c r="G16" s="133" t="s">
        <v>248</v>
      </c>
      <c r="H16" s="134">
        <v>2.5</v>
      </c>
      <c r="I16" s="134">
        <v>3</v>
      </c>
      <c r="J16" s="134">
        <v>3.5</v>
      </c>
      <c r="L16" s="133" t="s">
        <v>248</v>
      </c>
      <c r="M16" s="134">
        <v>2.5</v>
      </c>
      <c r="N16" s="134">
        <v>3</v>
      </c>
      <c r="O16" s="134">
        <v>3.5</v>
      </c>
      <c r="Q16" s="133" t="s">
        <v>248</v>
      </c>
      <c r="R16" s="134">
        <v>2.5</v>
      </c>
      <c r="S16" s="134">
        <v>3</v>
      </c>
      <c r="T16" s="134">
        <v>3.5</v>
      </c>
      <c r="V16" s="133" t="s">
        <v>248</v>
      </c>
      <c r="W16" s="134">
        <v>2.5</v>
      </c>
      <c r="X16" s="134">
        <v>3</v>
      </c>
      <c r="Y16" s="134">
        <v>3.5</v>
      </c>
    </row>
    <row r="17" spans="2:30">
      <c r="B17" s="133" t="s">
        <v>249</v>
      </c>
      <c r="C17" s="135">
        <v>0.5</v>
      </c>
      <c r="D17" s="135">
        <v>0.4</v>
      </c>
      <c r="E17" s="135">
        <v>0.3</v>
      </c>
      <c r="G17" s="133" t="s">
        <v>249</v>
      </c>
      <c r="H17" s="135">
        <v>0.5</v>
      </c>
      <c r="I17" s="135">
        <v>0.4</v>
      </c>
      <c r="J17" s="135">
        <v>0.3</v>
      </c>
      <c r="L17" s="133" t="s">
        <v>249</v>
      </c>
      <c r="M17" s="135">
        <v>0.5</v>
      </c>
      <c r="N17" s="135">
        <v>0.4</v>
      </c>
      <c r="O17" s="135">
        <v>0.3</v>
      </c>
      <c r="Q17" s="133" t="s">
        <v>249</v>
      </c>
      <c r="R17" s="135">
        <v>0.5</v>
      </c>
      <c r="S17" s="135">
        <v>0.4</v>
      </c>
      <c r="T17" s="135">
        <v>0.3</v>
      </c>
      <c r="V17" s="133" t="s">
        <v>249</v>
      </c>
      <c r="W17" s="135">
        <v>0.5</v>
      </c>
      <c r="X17" s="135">
        <v>0.4</v>
      </c>
      <c r="Y17" s="135">
        <v>0.3</v>
      </c>
    </row>
    <row r="18" spans="2:30">
      <c r="B18" s="133" t="s">
        <v>226</v>
      </c>
      <c r="C18" s="134" t="s">
        <v>250</v>
      </c>
      <c r="D18" s="134">
        <v>3.3</v>
      </c>
      <c r="E18" s="134">
        <v>3.55</v>
      </c>
      <c r="G18" s="133" t="s">
        <v>226</v>
      </c>
      <c r="H18" s="134" t="s">
        <v>251</v>
      </c>
      <c r="I18" s="134" t="s">
        <v>252</v>
      </c>
      <c r="J18" s="134" t="s">
        <v>253</v>
      </c>
      <c r="L18" s="133" t="s">
        <v>226</v>
      </c>
      <c r="M18" s="134" t="s">
        <v>254</v>
      </c>
      <c r="N18" s="134" t="s">
        <v>253</v>
      </c>
      <c r="O18" s="134" t="s">
        <v>255</v>
      </c>
      <c r="Q18" s="133" t="s">
        <v>226</v>
      </c>
      <c r="R18" s="134" t="s">
        <v>255</v>
      </c>
      <c r="S18" s="134" t="s">
        <v>256</v>
      </c>
      <c r="T18" s="134" t="s">
        <v>257</v>
      </c>
      <c r="V18" s="133" t="s">
        <v>226</v>
      </c>
      <c r="W18" s="134" t="s">
        <v>257</v>
      </c>
      <c r="X18" s="134" t="s">
        <v>258</v>
      </c>
      <c r="Y18" s="134" t="s">
        <v>259</v>
      </c>
    </row>
    <row r="22" spans="2:30">
      <c r="B22" s="138" t="s">
        <v>260</v>
      </c>
      <c r="C22" s="138"/>
      <c r="D22" s="138"/>
      <c r="E22" s="138"/>
      <c r="F22" s="138"/>
      <c r="G22" s="138"/>
    </row>
    <row r="24" spans="2:30">
      <c r="B24" s="138" t="s">
        <v>261</v>
      </c>
      <c r="C24" s="138"/>
      <c r="D24" s="138"/>
      <c r="E24" s="138"/>
      <c r="G24" s="138" t="s">
        <v>240</v>
      </c>
      <c r="H24" s="138"/>
      <c r="I24" s="138"/>
      <c r="J24" s="138"/>
      <c r="L24" s="138" t="s">
        <v>262</v>
      </c>
      <c r="M24" s="138"/>
      <c r="N24" s="138"/>
      <c r="O24" s="138"/>
      <c r="Q24" s="138" t="s">
        <v>263</v>
      </c>
      <c r="R24" s="138"/>
      <c r="S24" s="138"/>
      <c r="T24" s="138"/>
      <c r="V24" s="138" t="s">
        <v>264</v>
      </c>
      <c r="W24" s="138"/>
      <c r="X24" s="138"/>
      <c r="Y24" s="138"/>
      <c r="AA24" s="138" t="s">
        <v>265</v>
      </c>
      <c r="AB24" s="138"/>
      <c r="AC24" s="138"/>
      <c r="AD24" s="138"/>
    </row>
    <row r="25" spans="2:30">
      <c r="B25" s="137" t="s">
        <v>248</v>
      </c>
      <c r="C25" s="139">
        <v>2.5</v>
      </c>
      <c r="D25" s="139">
        <v>3</v>
      </c>
      <c r="E25" s="139">
        <v>3.5</v>
      </c>
      <c r="G25" s="137" t="s">
        <v>248</v>
      </c>
      <c r="H25" s="139">
        <v>2.5</v>
      </c>
      <c r="I25" s="139">
        <v>3</v>
      </c>
      <c r="J25" s="139">
        <v>3.5</v>
      </c>
      <c r="L25" s="137" t="s">
        <v>248</v>
      </c>
      <c r="M25" s="139">
        <v>2.5</v>
      </c>
      <c r="N25" s="139">
        <v>3</v>
      </c>
      <c r="O25" s="139">
        <v>3.5</v>
      </c>
      <c r="Q25" s="137" t="s">
        <v>248</v>
      </c>
      <c r="R25" s="139">
        <v>2.5</v>
      </c>
      <c r="S25" s="139">
        <v>3</v>
      </c>
      <c r="T25" s="139">
        <v>3.5</v>
      </c>
      <c r="V25" s="137" t="s">
        <v>248</v>
      </c>
      <c r="W25" s="139">
        <v>2.5</v>
      </c>
      <c r="X25" s="139">
        <v>3</v>
      </c>
      <c r="Y25" s="139">
        <v>3.5</v>
      </c>
      <c r="AA25" s="137" t="s">
        <v>248</v>
      </c>
      <c r="AB25" s="139">
        <v>2.5</v>
      </c>
      <c r="AC25" s="139">
        <v>3</v>
      </c>
      <c r="AD25" s="139">
        <v>3.5</v>
      </c>
    </row>
    <row r="26" spans="2:30">
      <c r="B26" s="137" t="s">
        <v>249</v>
      </c>
      <c r="C26" s="140">
        <v>0.5</v>
      </c>
      <c r="D26" s="140">
        <v>0.4</v>
      </c>
      <c r="E26" s="140">
        <v>0.3</v>
      </c>
      <c r="G26" s="137" t="s">
        <v>249</v>
      </c>
      <c r="H26" s="140">
        <v>0.5</v>
      </c>
      <c r="I26" s="140">
        <v>0.4</v>
      </c>
      <c r="J26" s="140">
        <v>0.3</v>
      </c>
      <c r="L26" s="137" t="s">
        <v>249</v>
      </c>
      <c r="M26" s="140">
        <v>0.5</v>
      </c>
      <c r="N26" s="140">
        <v>0.4</v>
      </c>
      <c r="O26" s="140">
        <v>0.3</v>
      </c>
      <c r="Q26" s="137" t="s">
        <v>249</v>
      </c>
      <c r="R26" s="140">
        <v>0.5</v>
      </c>
      <c r="S26" s="140">
        <v>0.4</v>
      </c>
      <c r="T26" s="140">
        <v>0.3</v>
      </c>
      <c r="V26" s="137" t="s">
        <v>249</v>
      </c>
      <c r="W26" s="140">
        <v>0.5</v>
      </c>
      <c r="X26" s="140">
        <v>0.4</v>
      </c>
      <c r="Y26" s="140">
        <v>0.3</v>
      </c>
      <c r="AA26" s="137" t="s">
        <v>249</v>
      </c>
      <c r="AB26" s="140">
        <v>0.5</v>
      </c>
      <c r="AC26" s="140">
        <v>0.4</v>
      </c>
      <c r="AD26" s="140">
        <v>0.3</v>
      </c>
    </row>
    <row r="27" spans="2:30">
      <c r="B27" s="137" t="s">
        <v>226</v>
      </c>
      <c r="C27" s="139">
        <v>3.73</v>
      </c>
      <c r="D27" s="139">
        <v>3.95</v>
      </c>
      <c r="E27" s="139">
        <v>4.1100000000000003</v>
      </c>
      <c r="G27" s="137" t="s">
        <v>226</v>
      </c>
      <c r="H27" s="139">
        <v>4.09</v>
      </c>
      <c r="I27" s="139">
        <v>4.22</v>
      </c>
      <c r="J27" s="139">
        <v>4.3</v>
      </c>
      <c r="L27" s="137" t="s">
        <v>226</v>
      </c>
      <c r="M27" s="139">
        <v>4.28</v>
      </c>
      <c r="N27" s="139">
        <v>4.38</v>
      </c>
      <c r="O27" s="139">
        <v>4.45</v>
      </c>
      <c r="Q27" s="137" t="s">
        <v>226</v>
      </c>
      <c r="R27" s="139">
        <v>4.38</v>
      </c>
      <c r="S27" s="139">
        <v>4.45</v>
      </c>
      <c r="T27" s="139">
        <v>4.51</v>
      </c>
      <c r="V27" s="137" t="s">
        <v>226</v>
      </c>
      <c r="W27" s="139">
        <v>4.42</v>
      </c>
      <c r="X27" s="139">
        <v>4.49</v>
      </c>
      <c r="Y27" s="139">
        <v>4.53</v>
      </c>
      <c r="AA27" s="137" t="s">
        <v>226</v>
      </c>
      <c r="AB27" s="139">
        <v>4.47</v>
      </c>
      <c r="AC27" s="139">
        <v>4.5</v>
      </c>
      <c r="AD27" s="139">
        <v>4.55</v>
      </c>
    </row>
    <row r="28" spans="2:30">
      <c r="B28" s="141" t="s">
        <v>314</v>
      </c>
      <c r="C28" s="144">
        <f>C27/2</f>
        <v>1.865</v>
      </c>
      <c r="D28" s="144">
        <f>D27/2</f>
        <v>1.9750000000000001</v>
      </c>
      <c r="E28" s="144">
        <f>E27/2</f>
        <v>2.0550000000000002</v>
      </c>
      <c r="G28" s="141" t="s">
        <v>314</v>
      </c>
      <c r="H28" s="144">
        <f t="shared" ref="H28:O28" si="0">H27/2</f>
        <v>2.0449999999999999</v>
      </c>
      <c r="I28" s="144">
        <f t="shared" si="0"/>
        <v>2.11</v>
      </c>
      <c r="J28" s="144">
        <f t="shared" si="0"/>
        <v>2.15</v>
      </c>
      <c r="L28" s="141" t="s">
        <v>314</v>
      </c>
      <c r="M28" s="144">
        <f t="shared" si="0"/>
        <v>2.14</v>
      </c>
      <c r="N28" s="144">
        <f t="shared" si="0"/>
        <v>2.19</v>
      </c>
      <c r="O28" s="144">
        <f t="shared" si="0"/>
        <v>2.2250000000000001</v>
      </c>
      <c r="Q28" s="141" t="s">
        <v>314</v>
      </c>
      <c r="R28" s="144">
        <f t="shared" ref="R28" si="1">R27/2</f>
        <v>2.19</v>
      </c>
      <c r="S28" s="144">
        <f t="shared" ref="S28" si="2">S27/2</f>
        <v>2.2250000000000001</v>
      </c>
      <c r="T28" s="144">
        <f t="shared" ref="T28" si="3">T27/2</f>
        <v>2.2549999999999999</v>
      </c>
      <c r="V28" s="141" t="s">
        <v>314</v>
      </c>
      <c r="W28" s="144">
        <f t="shared" ref="W28" si="4">W27/2</f>
        <v>2.21</v>
      </c>
      <c r="X28" s="144">
        <f t="shared" ref="X28" si="5">X27/2</f>
        <v>2.2450000000000001</v>
      </c>
      <c r="Y28" s="144">
        <f t="shared" ref="Y28" si="6">Y27/2</f>
        <v>2.2650000000000001</v>
      </c>
      <c r="AA28" s="141" t="s">
        <v>314</v>
      </c>
      <c r="AB28" s="144">
        <f t="shared" ref="AB28" si="7">AB27/2</f>
        <v>2.2349999999999999</v>
      </c>
      <c r="AC28" s="144">
        <f t="shared" ref="AC28" si="8">AC27/2</f>
        <v>2.25</v>
      </c>
      <c r="AD28" s="144">
        <f t="shared" ref="AD28" si="9">AD27/2</f>
        <v>2.2749999999999999</v>
      </c>
    </row>
    <row r="30" spans="2:30">
      <c r="B30" s="142" t="s">
        <v>268</v>
      </c>
      <c r="C30" s="138"/>
      <c r="D30" s="138"/>
      <c r="E30" s="138"/>
      <c r="F30" s="138"/>
      <c r="G30" s="138"/>
      <c r="P30" s="138" t="s">
        <v>280</v>
      </c>
      <c r="Q30" s="138"/>
      <c r="R30" s="138"/>
      <c r="S30" s="138"/>
      <c r="T30" s="138"/>
      <c r="U30" s="138"/>
      <c r="V30" s="138"/>
      <c r="W30" s="138"/>
      <c r="X30" s="138"/>
      <c r="Y30" s="138"/>
    </row>
    <row r="32" spans="2:30">
      <c r="B32" s="142" t="s">
        <v>261</v>
      </c>
      <c r="C32" s="138"/>
      <c r="D32" s="138"/>
      <c r="F32" s="138" t="s">
        <v>265</v>
      </c>
      <c r="G32" s="138"/>
      <c r="H32" s="138"/>
      <c r="J32" t="s">
        <v>272</v>
      </c>
    </row>
    <row r="33" spans="2:10">
      <c r="B33" s="137" t="s">
        <v>248</v>
      </c>
      <c r="C33" s="143">
        <v>2.5</v>
      </c>
      <c r="D33" s="143">
        <v>3.5</v>
      </c>
      <c r="F33" s="137" t="s">
        <v>248</v>
      </c>
      <c r="G33" s="143">
        <v>2.5</v>
      </c>
      <c r="H33" s="143">
        <v>3.5</v>
      </c>
      <c r="J33" t="s">
        <v>269</v>
      </c>
    </row>
    <row r="34" spans="2:10">
      <c r="B34" s="162" t="s">
        <v>249</v>
      </c>
      <c r="C34" s="163" t="s">
        <v>275</v>
      </c>
      <c r="D34" s="163" t="s">
        <v>278</v>
      </c>
      <c r="F34" s="164" t="s">
        <v>249</v>
      </c>
      <c r="G34" s="163" t="s">
        <v>277</v>
      </c>
      <c r="H34" s="163" t="s">
        <v>279</v>
      </c>
      <c r="J34" t="s">
        <v>274</v>
      </c>
    </row>
    <row r="35" spans="2:10">
      <c r="B35" s="137" t="s">
        <v>226</v>
      </c>
      <c r="C35" s="144">
        <v>5.04</v>
      </c>
      <c r="D35" s="144">
        <v>5.05</v>
      </c>
      <c r="F35" s="137" t="s">
        <v>226</v>
      </c>
      <c r="G35" s="144">
        <v>4.97</v>
      </c>
      <c r="H35" s="144">
        <v>4.9800000000000004</v>
      </c>
      <c r="J35" t="s">
        <v>273</v>
      </c>
    </row>
    <row r="36" spans="2:10">
      <c r="B36" s="162" t="s">
        <v>266</v>
      </c>
      <c r="C36" s="165">
        <f>(C38/C37)</f>
        <v>0.68319999999999992</v>
      </c>
      <c r="D36" s="165">
        <f>D38/D37</f>
        <v>0.78988326848249024</v>
      </c>
      <c r="F36" s="162" t="s">
        <v>266</v>
      </c>
      <c r="G36" s="165">
        <f>G38/G37</f>
        <v>0.86</v>
      </c>
      <c r="H36" s="165">
        <f>H38/H37</f>
        <v>0.86</v>
      </c>
    </row>
    <row r="37" spans="2:10">
      <c r="B37" s="141" t="s">
        <v>267</v>
      </c>
      <c r="C37" s="144">
        <v>6.25</v>
      </c>
      <c r="D37" s="144">
        <v>5.14</v>
      </c>
      <c r="F37" s="141" t="s">
        <v>267</v>
      </c>
      <c r="G37" s="144">
        <v>0.5</v>
      </c>
      <c r="H37" s="144">
        <v>0.5</v>
      </c>
      <c r="J37" t="s">
        <v>270</v>
      </c>
    </row>
    <row r="38" spans="2:10">
      <c r="B38" s="141" t="s">
        <v>15</v>
      </c>
      <c r="C38" s="144">
        <v>4.2699999999999996</v>
      </c>
      <c r="D38" s="144">
        <v>4.0599999999999996</v>
      </c>
      <c r="F38" s="141" t="s">
        <v>15</v>
      </c>
      <c r="G38" s="144">
        <v>0.43</v>
      </c>
      <c r="H38" s="144">
        <v>0.43</v>
      </c>
      <c r="J38" t="s">
        <v>271</v>
      </c>
    </row>
    <row r="39" spans="2:10">
      <c r="B39" s="141" t="s">
        <v>276</v>
      </c>
      <c r="C39" s="145">
        <v>3.9</v>
      </c>
      <c r="D39" s="145">
        <v>4.04</v>
      </c>
      <c r="F39" s="141" t="s">
        <v>276</v>
      </c>
      <c r="G39" s="145">
        <v>2.88</v>
      </c>
      <c r="H39" s="145">
        <v>2.56</v>
      </c>
    </row>
    <row r="54" spans="1:22">
      <c r="A54" t="s">
        <v>299</v>
      </c>
    </row>
    <row r="56" spans="1:22">
      <c r="A56" t="s">
        <v>298</v>
      </c>
    </row>
    <row r="59" spans="1:22">
      <c r="B59" s="149" t="s">
        <v>283</v>
      </c>
      <c r="C59" s="149"/>
      <c r="D59" s="149"/>
      <c r="E59" s="149"/>
      <c r="F59" s="149"/>
      <c r="J59" s="149" t="s">
        <v>288</v>
      </c>
      <c r="K59" s="149"/>
      <c r="P59" s="149" t="s">
        <v>308</v>
      </c>
      <c r="Q59" s="149"/>
      <c r="R59" s="149"/>
      <c r="S59" s="149"/>
      <c r="T59" s="149"/>
      <c r="U59" s="149"/>
      <c r="V59" s="149"/>
    </row>
    <row r="61" spans="1:22">
      <c r="B61" s="148" t="s">
        <v>261</v>
      </c>
      <c r="C61" s="149"/>
      <c r="D61" s="149"/>
      <c r="F61" s="148" t="s">
        <v>265</v>
      </c>
      <c r="G61" s="149"/>
      <c r="H61" s="149"/>
      <c r="J61" s="149" t="s">
        <v>261</v>
      </c>
      <c r="K61" s="149"/>
    </row>
    <row r="62" spans="1:22">
      <c r="B62" s="150" t="s">
        <v>248</v>
      </c>
      <c r="C62" s="143">
        <v>2.5</v>
      </c>
      <c r="D62" s="143">
        <v>3.5</v>
      </c>
      <c r="F62" s="150" t="s">
        <v>248</v>
      </c>
      <c r="G62" s="143">
        <v>2.5</v>
      </c>
      <c r="H62" s="143">
        <v>3.5</v>
      </c>
      <c r="J62" s="150" t="s">
        <v>248</v>
      </c>
      <c r="K62" s="160">
        <v>2.5</v>
      </c>
    </row>
    <row r="63" spans="1:22">
      <c r="B63" s="151" t="s">
        <v>249</v>
      </c>
      <c r="C63" s="152">
        <v>0.5</v>
      </c>
      <c r="D63" s="152">
        <v>0.3</v>
      </c>
      <c r="F63" s="151" t="s">
        <v>249</v>
      </c>
      <c r="G63" s="152">
        <v>0.5</v>
      </c>
      <c r="H63" s="152">
        <v>0.3</v>
      </c>
      <c r="J63" s="150" t="s">
        <v>289</v>
      </c>
      <c r="K63" s="160">
        <v>0.5</v>
      </c>
    </row>
    <row r="64" spans="1:22" ht="28.8">
      <c r="B64" s="158" t="s">
        <v>284</v>
      </c>
      <c r="C64" s="157">
        <v>73</v>
      </c>
      <c r="D64" s="157">
        <v>35.700000000000003</v>
      </c>
      <c r="F64" s="158" t="s">
        <v>284</v>
      </c>
      <c r="G64" s="157">
        <v>8.8000000000000007</v>
      </c>
      <c r="H64" s="157">
        <v>3.9</v>
      </c>
      <c r="J64" s="158" t="s">
        <v>290</v>
      </c>
      <c r="K64" s="157">
        <v>1.85</v>
      </c>
    </row>
    <row r="65" spans="2:20" ht="57.6">
      <c r="B65" s="156" t="s">
        <v>285</v>
      </c>
      <c r="C65" s="154">
        <v>612</v>
      </c>
      <c r="D65" s="154">
        <v>592.9</v>
      </c>
      <c r="F65" s="156" t="s">
        <v>285</v>
      </c>
      <c r="G65" s="154">
        <v>250</v>
      </c>
      <c r="H65" s="155">
        <v>231.3</v>
      </c>
      <c r="J65" s="156" t="s">
        <v>292</v>
      </c>
      <c r="K65" s="154">
        <v>0.42</v>
      </c>
    </row>
    <row r="66" spans="2:20" ht="28.8">
      <c r="B66" s="159" t="s">
        <v>286</v>
      </c>
      <c r="C66" s="157">
        <v>277.89999999999998</v>
      </c>
      <c r="D66" s="157">
        <v>131.4</v>
      </c>
      <c r="F66" s="159" t="s">
        <v>286</v>
      </c>
      <c r="G66" s="157">
        <v>39.6</v>
      </c>
      <c r="H66" s="157">
        <v>19.8</v>
      </c>
      <c r="J66" s="159" t="s">
        <v>291</v>
      </c>
      <c r="K66" s="157">
        <v>3.66</v>
      </c>
    </row>
    <row r="67" spans="2:20" ht="57.6">
      <c r="B67" s="156" t="s">
        <v>287</v>
      </c>
      <c r="C67" s="153">
        <v>749.7</v>
      </c>
      <c r="D67" s="152">
        <v>558.6</v>
      </c>
      <c r="F67" s="156" t="s">
        <v>287</v>
      </c>
      <c r="G67" s="153">
        <v>211.7</v>
      </c>
      <c r="H67" s="152">
        <v>181.8</v>
      </c>
      <c r="J67" s="156" t="s">
        <v>293</v>
      </c>
      <c r="K67" s="153">
        <v>2.99</v>
      </c>
    </row>
    <row r="68" spans="2:20" ht="43.2">
      <c r="B68" s="161" t="s">
        <v>295</v>
      </c>
      <c r="C68" s="161" t="s">
        <v>297</v>
      </c>
      <c r="D68" s="161" t="s">
        <v>302</v>
      </c>
      <c r="E68" s="161"/>
      <c r="F68" s="161"/>
      <c r="G68" s="161" t="s">
        <v>300</v>
      </c>
      <c r="H68" s="161" t="s">
        <v>303</v>
      </c>
      <c r="I68" s="161"/>
      <c r="J68" s="161"/>
      <c r="K68" s="161" t="s">
        <v>306</v>
      </c>
    </row>
    <row r="69" spans="2:20" ht="43.2">
      <c r="B69" s="161" t="s">
        <v>294</v>
      </c>
      <c r="C69" s="161" t="s">
        <v>296</v>
      </c>
      <c r="D69" s="161" t="s">
        <v>305</v>
      </c>
      <c r="E69" s="161"/>
      <c r="F69" s="161"/>
      <c r="G69" s="161" t="s">
        <v>301</v>
      </c>
      <c r="H69" s="161" t="s">
        <v>304</v>
      </c>
      <c r="I69" s="161"/>
      <c r="J69" s="161"/>
      <c r="K69" s="161" t="s">
        <v>307</v>
      </c>
    </row>
    <row r="77" spans="2:20">
      <c r="B77" s="146" t="s">
        <v>282</v>
      </c>
      <c r="C77" s="147"/>
      <c r="D77" s="147"/>
      <c r="E77" s="147"/>
      <c r="P77" s="147" t="s">
        <v>313</v>
      </c>
      <c r="Q77" s="147"/>
      <c r="R77" s="147"/>
      <c r="S77" s="147"/>
      <c r="T77" s="147"/>
    </row>
    <row r="79" spans="2:20">
      <c r="B79" s="146" t="s">
        <v>281</v>
      </c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</row>
    <row r="80" spans="2:20">
      <c r="B80" s="147" t="s">
        <v>311</v>
      </c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</row>
    <row r="81" spans="2:14">
      <c r="B81" s="146" t="s">
        <v>312</v>
      </c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</row>
    <row r="82" spans="2:14"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</row>
    <row r="83" spans="2:14">
      <c r="B83" s="146" t="s">
        <v>309</v>
      </c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</row>
    <row r="84" spans="2:14">
      <c r="B84" s="147" t="s">
        <v>310</v>
      </c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DD6BC-0BCA-4BA9-9C7E-A308795ECB28}">
  <dimension ref="B4:R11"/>
  <sheetViews>
    <sheetView tabSelected="1" zoomScale="55" zoomScaleNormal="55" workbookViewId="0">
      <selection activeCell="AF21" sqref="AF21"/>
    </sheetView>
  </sheetViews>
  <sheetFormatPr defaultRowHeight="14.4"/>
  <cols>
    <col min="2" max="2" width="11.33203125" customWidth="1"/>
    <col min="7" max="7" width="12.109375" customWidth="1"/>
  </cols>
  <sheetData>
    <row r="4" spans="2:18">
      <c r="B4" s="142" t="s">
        <v>315</v>
      </c>
      <c r="C4" s="138"/>
      <c r="O4" s="166" t="s">
        <v>317</v>
      </c>
      <c r="P4" s="138"/>
    </row>
    <row r="5" spans="2:18">
      <c r="B5" s="167" t="s">
        <v>316</v>
      </c>
      <c r="C5" s="137">
        <v>5</v>
      </c>
      <c r="D5" s="137">
        <v>10</v>
      </c>
      <c r="E5" s="137">
        <v>50</v>
      </c>
      <c r="O5" s="167" t="s">
        <v>316</v>
      </c>
      <c r="P5" s="137">
        <v>5</v>
      </c>
      <c r="Q5" s="137">
        <v>10</v>
      </c>
      <c r="R5" s="137">
        <v>50</v>
      </c>
    </row>
    <row r="6" spans="2:18">
      <c r="B6" s="137" t="s">
        <v>226</v>
      </c>
      <c r="C6" s="144">
        <v>4.7949999999999999</v>
      </c>
      <c r="D6" s="144">
        <v>5.1630000000000003</v>
      </c>
      <c r="E6" s="144">
        <v>5.194</v>
      </c>
      <c r="O6" s="137" t="s">
        <v>226</v>
      </c>
      <c r="P6" s="144">
        <v>5.1630000000000003</v>
      </c>
      <c r="Q6" s="144">
        <v>5.1609999999999996</v>
      </c>
      <c r="R6" s="144">
        <v>5.19</v>
      </c>
    </row>
    <row r="7" spans="2:18">
      <c r="B7" s="162" t="s">
        <v>266</v>
      </c>
      <c r="C7" s="165">
        <f>C9/C8</f>
        <v>0.63833075734157652</v>
      </c>
      <c r="D7" s="165">
        <f>D9/D8</f>
        <v>0.78412698412698423</v>
      </c>
      <c r="E7" s="165">
        <f>E9/E8</f>
        <v>0.89473684210526327</v>
      </c>
      <c r="O7" s="162" t="s">
        <v>266</v>
      </c>
      <c r="P7" s="165">
        <f>P9/P8</f>
        <v>0.76984126984126977</v>
      </c>
      <c r="Q7" s="165">
        <f>Q9/Q8</f>
        <v>0.8512110726643598</v>
      </c>
      <c r="R7" s="165">
        <f>R9/R8</f>
        <v>0.90909090909090906</v>
      </c>
    </row>
    <row r="8" spans="2:18">
      <c r="B8" s="141" t="s">
        <v>267</v>
      </c>
      <c r="C8" s="144">
        <v>6.47</v>
      </c>
      <c r="D8" s="144">
        <v>3.15</v>
      </c>
      <c r="E8" s="144">
        <v>0.56999999999999995</v>
      </c>
      <c r="O8" s="141" t="s">
        <v>267</v>
      </c>
      <c r="P8" s="144">
        <v>6.3</v>
      </c>
      <c r="Q8" s="144">
        <v>2.89</v>
      </c>
      <c r="R8" s="144">
        <v>0.55000000000000004</v>
      </c>
    </row>
    <row r="9" spans="2:18">
      <c r="B9" s="141" t="s">
        <v>15</v>
      </c>
      <c r="C9" s="144">
        <v>4.13</v>
      </c>
      <c r="D9" s="144">
        <v>2.4700000000000002</v>
      </c>
      <c r="E9" s="144">
        <v>0.51</v>
      </c>
      <c r="O9" s="141" t="s">
        <v>15</v>
      </c>
      <c r="P9" s="144">
        <v>4.8499999999999996</v>
      </c>
      <c r="Q9" s="144">
        <v>2.46</v>
      </c>
      <c r="R9" s="144">
        <v>0.5</v>
      </c>
    </row>
    <row r="10" spans="2:18">
      <c r="B10" s="167" t="s">
        <v>318</v>
      </c>
      <c r="C10" s="168">
        <v>240</v>
      </c>
      <c r="D10" s="168">
        <v>119</v>
      </c>
      <c r="E10" s="168">
        <v>51</v>
      </c>
      <c r="O10" s="167" t="s">
        <v>318</v>
      </c>
      <c r="P10" s="168">
        <v>141</v>
      </c>
      <c r="Q10" s="168">
        <v>89</v>
      </c>
      <c r="R10" s="168">
        <v>56</v>
      </c>
    </row>
    <row r="11" spans="2:18">
      <c r="B11" s="167" t="s">
        <v>319</v>
      </c>
      <c r="C11" s="169">
        <v>118.5</v>
      </c>
      <c r="D11" s="169">
        <v>28.4</v>
      </c>
      <c r="E11" s="169">
        <v>20.8</v>
      </c>
      <c r="O11" s="167" t="s">
        <v>319</v>
      </c>
      <c r="P11" s="169">
        <v>30.1</v>
      </c>
      <c r="Q11" s="169">
        <v>14.9</v>
      </c>
      <c r="R11" s="169">
        <v>15.5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SS_Analysis</vt:lpstr>
      <vt:lpstr>Inductor_Design</vt:lpstr>
      <vt:lpstr>Testing_Openloop</vt:lpstr>
      <vt:lpstr>Testing_Closedloop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Duleepa Thrimawithana</dc:creator>
  <cp:lastModifiedBy>Tyler Clayton</cp:lastModifiedBy>
  <cp:lastPrinted>2026-10-01T22:47:06Z</cp:lastPrinted>
  <dcterms:created xsi:type="dcterms:W3CDTF">2025-12-20T08:56:10Z</dcterms:created>
  <dcterms:modified xsi:type="dcterms:W3CDTF">2026-10-16T22:45:56Z</dcterms:modified>
</cp:coreProperties>
</file>