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yush singh\Desktop\New folder (2)\"/>
    </mc:Choice>
  </mc:AlternateContent>
  <xr:revisionPtr revIDLastSave="0" documentId="13_ncr:1_{D5C58949-37AA-4199-B2CD-5569AFE157D6}" xr6:coauthVersionLast="47" xr6:coauthVersionMax="47" xr10:uidLastSave="{00000000-0000-0000-0000-000000000000}"/>
  <bookViews>
    <workbookView xWindow="-120" yWindow="-120" windowWidth="20730" windowHeight="11160" xr2:uid="{AC6C53F5-AC2A-423D-B779-45EC237BFDF2}"/>
  </bookViews>
  <sheets>
    <sheet name="DCF" sheetId="14" r:id="rId1"/>
    <sheet name="WACC" sheetId="8" r:id="rId2"/>
    <sheet name="IS" sheetId="17" r:id="rId3"/>
    <sheet name="BS" sheetId="5" r:id="rId4"/>
    <sheet name="CFS" sheetId="6" r:id="rId5"/>
    <sheet name="CAPX" sheetId="18" r:id="rId6"/>
    <sheet name="Linear regression" sheetId="19" r:id="rId7"/>
  </sheets>
  <externalReferences>
    <externalReference r:id="rId8"/>
  </externalReferences>
  <definedNames>
    <definedName name="ExternalData_1" localSheetId="3" hidden="1">BS!$A$1:$F$36</definedName>
    <definedName name="ExternalData_1" localSheetId="4" hidden="1">CFS!$A$1:$F$10</definedName>
    <definedName name="ExternalData_1" localSheetId="2" hidden="1">IS!$A$1:$F$17</definedName>
    <definedName name="tgr">'[1]Operating Model'!$L$11</definedName>
    <definedName name="wacc">'[1]Operating Model'!$L$10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2" i="14" l="1"/>
  <c r="N61" i="14"/>
  <c r="K54" i="14"/>
  <c r="L54" i="14"/>
  <c r="M54" i="14"/>
  <c r="N54" i="14"/>
  <c r="J54" i="14"/>
  <c r="J50" i="14"/>
  <c r="L50" i="14"/>
  <c r="M50" i="14"/>
  <c r="N50" i="14"/>
  <c r="K50" i="14"/>
  <c r="J51" i="14"/>
  <c r="I51" i="14"/>
  <c r="N60" i="14"/>
  <c r="N59" i="14"/>
  <c r="K53" i="14"/>
  <c r="L53" i="14"/>
  <c r="M53" i="14"/>
  <c r="N53" i="14"/>
  <c r="J53" i="14"/>
  <c r="I30" i="14"/>
  <c r="K48" i="14"/>
  <c r="L48" i="14"/>
  <c r="M48" i="14"/>
  <c r="N48" i="14"/>
  <c r="J48" i="14"/>
  <c r="I27" i="14"/>
  <c r="K47" i="14"/>
  <c r="L47" i="14"/>
  <c r="M47" i="14"/>
  <c r="N47" i="14"/>
  <c r="J47" i="14"/>
  <c r="K45" i="14"/>
  <c r="L45" i="14"/>
  <c r="M45" i="14"/>
  <c r="N45" i="14"/>
  <c r="J45" i="14"/>
  <c r="I24" i="14"/>
  <c r="K44" i="14"/>
  <c r="L44" i="14"/>
  <c r="M44" i="14"/>
  <c r="N44" i="14"/>
  <c r="J44" i="14"/>
  <c r="F51" i="14"/>
  <c r="G51" i="14"/>
  <c r="H51" i="14"/>
  <c r="F50" i="14"/>
  <c r="G50" i="14"/>
  <c r="H50" i="14"/>
  <c r="I50" i="14"/>
  <c r="F48" i="14"/>
  <c r="G48" i="14"/>
  <c r="H48" i="14"/>
  <c r="I48" i="14"/>
  <c r="F47" i="14"/>
  <c r="G47" i="14"/>
  <c r="H47" i="14"/>
  <c r="I47" i="14"/>
  <c r="F45" i="14"/>
  <c r="G45" i="14"/>
  <c r="H45" i="14"/>
  <c r="I45" i="14"/>
  <c r="F44" i="14"/>
  <c r="G44" i="14"/>
  <c r="H44" i="14"/>
  <c r="I44" i="14"/>
  <c r="E51" i="14"/>
  <c r="E50" i="14"/>
  <c r="E48" i="14"/>
  <c r="E47" i="14"/>
  <c r="E45" i="14"/>
  <c r="E44" i="14"/>
  <c r="K42" i="14"/>
  <c r="L42" i="14"/>
  <c r="M42" i="14"/>
  <c r="N42" i="14"/>
  <c r="J42" i="14"/>
  <c r="F40" i="14"/>
  <c r="G40" i="14"/>
  <c r="H40" i="14"/>
  <c r="I40" i="14"/>
  <c r="J40" i="14"/>
  <c r="K40" i="14"/>
  <c r="L40" i="14"/>
  <c r="M40" i="14"/>
  <c r="N40" i="14"/>
  <c r="F39" i="14"/>
  <c r="G39" i="14"/>
  <c r="H39" i="14"/>
  <c r="I39" i="14"/>
  <c r="J39" i="14"/>
  <c r="K39" i="14"/>
  <c r="L39" i="14"/>
  <c r="M39" i="14"/>
  <c r="N39" i="14"/>
  <c r="F37" i="14"/>
  <c r="G37" i="14"/>
  <c r="H37" i="14"/>
  <c r="I37" i="14"/>
  <c r="J37" i="14"/>
  <c r="K37" i="14"/>
  <c r="L37" i="14"/>
  <c r="M37" i="14"/>
  <c r="N37" i="14"/>
  <c r="I36" i="14"/>
  <c r="J36" i="14"/>
  <c r="K36" i="14"/>
  <c r="L36" i="14"/>
  <c r="M36" i="14"/>
  <c r="N36" i="14"/>
  <c r="F36" i="14"/>
  <c r="G36" i="14"/>
  <c r="H36" i="14"/>
  <c r="F34" i="14"/>
  <c r="G34" i="14"/>
  <c r="H34" i="14"/>
  <c r="I34" i="14"/>
  <c r="J34" i="14"/>
  <c r="K34" i="14"/>
  <c r="L34" i="14"/>
  <c r="M34" i="14"/>
  <c r="N34" i="14"/>
  <c r="F33" i="14"/>
  <c r="G33" i="14"/>
  <c r="H33" i="14"/>
  <c r="I33" i="14"/>
  <c r="J33" i="14"/>
  <c r="K33" i="14"/>
  <c r="L33" i="14"/>
  <c r="M33" i="14"/>
  <c r="N33" i="14"/>
  <c r="E40" i="14"/>
  <c r="E39" i="14"/>
  <c r="E37" i="14"/>
  <c r="E36" i="14"/>
  <c r="E34" i="14"/>
  <c r="E33" i="14"/>
  <c r="J20" i="14"/>
  <c r="K20" i="14"/>
  <c r="L20" i="14"/>
  <c r="M20" i="14"/>
  <c r="N20" i="14"/>
  <c r="K19" i="14"/>
  <c r="L19" i="14"/>
  <c r="M19" i="14"/>
  <c r="N19" i="14"/>
  <c r="J19" i="14"/>
  <c r="J17" i="14"/>
  <c r="K17" i="14"/>
  <c r="L17" i="14"/>
  <c r="M17" i="14"/>
  <c r="N17" i="14"/>
  <c r="K16" i="14"/>
  <c r="L16" i="14"/>
  <c r="M16" i="14"/>
  <c r="N16" i="14"/>
  <c r="J16" i="14"/>
  <c r="J14" i="14"/>
  <c r="K14" i="14"/>
  <c r="L14" i="14"/>
  <c r="M14" i="14"/>
  <c r="N14" i="14"/>
  <c r="K13" i="14"/>
  <c r="L13" i="14"/>
  <c r="M13" i="14"/>
  <c r="N13" i="14"/>
  <c r="J13" i="14"/>
  <c r="H5" i="19"/>
  <c r="I5" i="19"/>
  <c r="J5" i="19"/>
  <c r="K5" i="19"/>
  <c r="G5" i="19"/>
  <c r="D9" i="19"/>
  <c r="B9" i="19"/>
  <c r="D5" i="19"/>
  <c r="E5" i="19"/>
  <c r="F5" i="19"/>
  <c r="C5" i="19"/>
  <c r="D9" i="14"/>
  <c r="D20" i="8"/>
  <c r="D22" i="8"/>
  <c r="N56" i="14" l="1"/>
  <c r="N57" i="14" s="1"/>
  <c r="N58" i="14"/>
  <c r="N63" i="14" s="1"/>
  <c r="G4" i="14" s="1"/>
  <c r="K5" i="14" s="1"/>
  <c r="F30" i="14" l="1"/>
  <c r="G30" i="14"/>
  <c r="H30" i="14"/>
  <c r="E30" i="14"/>
  <c r="F27" i="14"/>
  <c r="G27" i="14"/>
  <c r="H27" i="14"/>
  <c r="E27" i="14"/>
  <c r="F24" i="14"/>
  <c r="G24" i="14"/>
  <c r="H24" i="14"/>
  <c r="E24" i="14"/>
  <c r="F20" i="14"/>
  <c r="G20" i="14"/>
  <c r="H20" i="14"/>
  <c r="I20" i="14"/>
  <c r="E20" i="14"/>
  <c r="F17" i="14"/>
  <c r="G17" i="14"/>
  <c r="H17" i="14"/>
  <c r="I17" i="14"/>
  <c r="E17" i="14"/>
  <c r="G14" i="14"/>
  <c r="H14" i="14"/>
  <c r="I14" i="14"/>
  <c r="F14" i="14"/>
  <c r="G26" i="14" l="1"/>
  <c r="H26" i="14"/>
  <c r="I26" i="14"/>
  <c r="G29" i="14"/>
  <c r="H29" i="14"/>
  <c r="I29" i="14"/>
  <c r="F29" i="14"/>
  <c r="F17" i="18"/>
  <c r="G17" i="18"/>
  <c r="H17" i="18"/>
  <c r="E17" i="18"/>
  <c r="E16" i="18"/>
  <c r="F16" i="18"/>
  <c r="G16" i="18"/>
  <c r="H16" i="18"/>
  <c r="D16" i="18"/>
  <c r="E13" i="18"/>
  <c r="F13" i="18"/>
  <c r="G13" i="18"/>
  <c r="H13" i="18"/>
  <c r="D13" i="18"/>
  <c r="E14" i="18"/>
  <c r="F14" i="18"/>
  <c r="G14" i="18"/>
  <c r="H14" i="18"/>
  <c r="D14" i="18"/>
  <c r="F26" i="14"/>
  <c r="D6" i="18"/>
  <c r="E6" i="18"/>
  <c r="F6" i="18"/>
  <c r="C6" i="18"/>
  <c r="C5" i="18"/>
  <c r="D5" i="18"/>
  <c r="E5" i="18"/>
  <c r="F5" i="18"/>
  <c r="B5" i="18"/>
  <c r="F23" i="14"/>
  <c r="G23" i="14"/>
  <c r="H23" i="14"/>
  <c r="I23" i="14"/>
  <c r="E23" i="14"/>
  <c r="F19" i="14"/>
  <c r="G19" i="14"/>
  <c r="H19" i="14"/>
  <c r="I19" i="14"/>
  <c r="E19" i="14"/>
  <c r="F16" i="14"/>
  <c r="G16" i="14"/>
  <c r="H16" i="14"/>
  <c r="I16" i="14"/>
  <c r="E16" i="14"/>
  <c r="F13" i="14"/>
  <c r="G13" i="14"/>
  <c r="H13" i="14"/>
  <c r="I13" i="14"/>
  <c r="E13" i="14"/>
  <c r="F22" i="14" l="1"/>
  <c r="G22" i="14"/>
  <c r="H22" i="14"/>
  <c r="I22" i="14"/>
  <c r="J22" i="14"/>
  <c r="K22" i="14"/>
  <c r="L22" i="14"/>
  <c r="M22" i="14"/>
  <c r="N22" i="14"/>
  <c r="E22" i="14"/>
  <c r="G12" i="14"/>
  <c r="H12" i="14"/>
  <c r="I12" i="14" s="1"/>
  <c r="J12" i="14" s="1"/>
  <c r="K12" i="14" s="1"/>
  <c r="L12" i="14" s="1"/>
  <c r="M12" i="14" s="1"/>
  <c r="N12" i="14" s="1"/>
  <c r="F12" i="14"/>
  <c r="G32" i="14" l="1"/>
  <c r="E32" i="14"/>
  <c r="F32" i="14"/>
  <c r="K11" i="14"/>
  <c r="L11" i="14" s="1"/>
  <c r="M11" i="14" s="1"/>
  <c r="N11" i="14" s="1"/>
  <c r="H32" i="14" l="1"/>
  <c r="I32" i="14" l="1"/>
  <c r="J32" i="14" l="1"/>
  <c r="K32" i="14" l="1"/>
  <c r="L32" i="14" l="1"/>
  <c r="M32" i="14" l="1"/>
  <c r="N3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4BD941-4333-4F10-B065-9CC385607AA2}" keepAlive="1" name="Query - Sheet15" description="Connection to the 'Sheet15' query in the workbook." type="5" refreshedVersion="8" background="1" saveData="1">
    <dbPr connection="Provider=Microsoft.Mashup.OleDb.1;Data Source=$Workbook$;Location=Sheet15;Extended Properties=&quot;&quot;" command="SELECT * FROM [Sheet15]"/>
  </connection>
  <connection id="2" xr16:uid="{EB212E18-5269-44AD-9EE3-9B8EDF50BF2C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A7E4946A-61D0-4501-ACD9-7BE0E8230C31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<sst xmlns="http://schemas.openxmlformats.org/spreadsheetml/2006/main" count="150" uniqueCount="119">
  <si>
    <t>Mar '24</t>
  </si>
  <si>
    <t>Mar '22</t>
  </si>
  <si>
    <t>Mar '21</t>
  </si>
  <si>
    <t>Mar '20</t>
  </si>
  <si>
    <t>Mar '19</t>
  </si>
  <si>
    <t>Mar '18</t>
  </si>
  <si>
    <t>Mar '17</t>
  </si>
  <si>
    <t>Total Rev. Ann.</t>
  </si>
  <si>
    <t>Operating Exp. Ann.</t>
  </si>
  <si>
    <t>Operating Profit Ann.</t>
  </si>
  <si>
    <t>OPM Ann. %</t>
  </si>
  <si>
    <t>Total Exp. Ann.</t>
  </si>
  <si>
    <t>EBIDT Ann.</t>
  </si>
  <si>
    <t>EBIDT Ann. margin %</t>
  </si>
  <si>
    <t>Interest Ann.</t>
  </si>
  <si>
    <t>Depr.</t>
  </si>
  <si>
    <t>PBT Ann.</t>
  </si>
  <si>
    <t>Tax Ann.</t>
  </si>
  <si>
    <t>PAT Before ExtraOrdinary Items Ann.</t>
  </si>
  <si>
    <t>Net Profit Ann.</t>
  </si>
  <si>
    <t>NPM Ann. %</t>
  </si>
  <si>
    <t>EPS Adj. latest Ann.</t>
  </si>
  <si>
    <t>Column1</t>
  </si>
  <si>
    <t>Total ShareHolders Funds Ann.</t>
  </si>
  <si>
    <t>Equity Share Capital Ann.</t>
  </si>
  <si>
    <t>Total Share Capital Ann.</t>
  </si>
  <si>
    <t>Reserves Plus Surplus Ann.</t>
  </si>
  <si>
    <t>Total Reserves Plus Surplus Ann.</t>
  </si>
  <si>
    <t>Minority Interest Liability Ann.</t>
  </si>
  <si>
    <t>Total Non Current Liabilities Ann.</t>
  </si>
  <si>
    <t>Deferred Tax Liabilities Ann.</t>
  </si>
  <si>
    <t>Other LongTerm Liabilities Ann.</t>
  </si>
  <si>
    <t>Total Current Liabilities Ann.</t>
  </si>
  <si>
    <t>Trade Payables Ann.</t>
  </si>
  <si>
    <t>Other Current Liabilities Ann.</t>
  </si>
  <si>
    <t>ST Provisions Ann.</t>
  </si>
  <si>
    <t>Total Capital Plus Liabilities Ann.</t>
  </si>
  <si>
    <t>Fixed Assets Ann.</t>
  </si>
  <si>
    <t>Tangible Assets Ann.</t>
  </si>
  <si>
    <t>Intangible Assets Ann.</t>
  </si>
  <si>
    <t>Capital Work In Progress Ann.</t>
  </si>
  <si>
    <t>Total Non Current Assets Ann.</t>
  </si>
  <si>
    <t>Non Current Investments Ann.</t>
  </si>
  <si>
    <t>Deferred Tax Assets Ann.</t>
  </si>
  <si>
    <t>LT Loans Plus Advances Ann.</t>
  </si>
  <si>
    <t>Other Non Current Assets Ann.</t>
  </si>
  <si>
    <t>Total Current Assets Ann.</t>
  </si>
  <si>
    <t>Current Investments Ann.</t>
  </si>
  <si>
    <t>Trade Receivables Ann.</t>
  </si>
  <si>
    <t>Cash Plus Cash Equivalents Ann.</t>
  </si>
  <si>
    <t>ST Loans Plus Advances Ann.</t>
  </si>
  <si>
    <t>Other Current Assets Ann.</t>
  </si>
  <si>
    <t>Total Assets Ann.</t>
  </si>
  <si>
    <t>Contingent Liabilities plus Commitments Ann.</t>
  </si>
  <si>
    <t>Bonus Equity Share Capital Ann.</t>
  </si>
  <si>
    <t>Non Current Investments Unquoted Book Value Ann.</t>
  </si>
  <si>
    <t>Current Investments Unquoted Book Value Ann.</t>
  </si>
  <si>
    <t>Cash from Operating Act. Ann.</t>
  </si>
  <si>
    <t>Cash from Investing Act. Ann.</t>
  </si>
  <si>
    <t>Cash from Financing Act. Ann.</t>
  </si>
  <si>
    <t>Net Cash Flow Ann.</t>
  </si>
  <si>
    <t>Cash Plus Cash Eqv. Begin Of Year Ann.</t>
  </si>
  <si>
    <t>Cash Plus Cash Eqv. End Of Year Ann.</t>
  </si>
  <si>
    <t>Ticker</t>
  </si>
  <si>
    <t>Implied Share Price</t>
  </si>
  <si>
    <t>Date</t>
  </si>
  <si>
    <t>Today's Share Price</t>
  </si>
  <si>
    <t>Upside (Downside)</t>
  </si>
  <si>
    <t>Assumptions</t>
  </si>
  <si>
    <t>Valuation Assumptions</t>
  </si>
  <si>
    <t>WACC</t>
  </si>
  <si>
    <t>TGR</t>
  </si>
  <si>
    <t>Income Statement</t>
  </si>
  <si>
    <t>Revenue</t>
  </si>
  <si>
    <t>% growth</t>
  </si>
  <si>
    <t>EBIT</t>
  </si>
  <si>
    <t>% of sales</t>
  </si>
  <si>
    <t>Taxes</t>
  </si>
  <si>
    <t>% of EBIT</t>
  </si>
  <si>
    <t>Cash Flow Items</t>
  </si>
  <si>
    <t>D&amp;A</t>
  </si>
  <si>
    <t>CapEx</t>
  </si>
  <si>
    <t>Change in NWC</t>
  </si>
  <si>
    <t>DCF</t>
  </si>
  <si>
    <t>% margin</t>
  </si>
  <si>
    <t>EBIAT</t>
  </si>
  <si>
    <t>Unlevered FCF</t>
  </si>
  <si>
    <t>Present Value of FCF</t>
  </si>
  <si>
    <t>Terminal Value</t>
  </si>
  <si>
    <t>Present Value of Terminal Value</t>
  </si>
  <si>
    <t>Enterprise Value</t>
  </si>
  <si>
    <t>+ Cash</t>
  </si>
  <si>
    <t>- Debt</t>
  </si>
  <si>
    <t>Equity Value</t>
  </si>
  <si>
    <t>Shares</t>
  </si>
  <si>
    <t>Share Price</t>
  </si>
  <si>
    <t>WACC =  (% Equity x Cost of Equity) + (% Debt x Cost of Debt x (1 -Tax rate))</t>
  </si>
  <si>
    <t>Cost of Equity = Risk Free Rate + (Beta x (Expected Market Return - Risk Free Rate))</t>
  </si>
  <si>
    <t>Debt</t>
  </si>
  <si>
    <t>% Debt</t>
  </si>
  <si>
    <t>Cost of Debt</t>
  </si>
  <si>
    <t>Tax Rate</t>
  </si>
  <si>
    <t>% Equity</t>
  </si>
  <si>
    <t>Cost of Equity</t>
  </si>
  <si>
    <t>Risk Free Rate</t>
  </si>
  <si>
    <t>Beta</t>
  </si>
  <si>
    <t>Market Risk Premium</t>
  </si>
  <si>
    <t>Debt + Equity</t>
  </si>
  <si>
    <t>TATAMOTORS</t>
  </si>
  <si>
    <t>Mar '192</t>
  </si>
  <si>
    <t>NWC</t>
  </si>
  <si>
    <t>TOTAL CURRENT LIABILLITIES</t>
  </si>
  <si>
    <t>TOTAL CRUUENT ASSETS</t>
  </si>
  <si>
    <t>Tata Motors DCF</t>
  </si>
  <si>
    <t xml:space="preserve">Revenue Forecast from Linear Regression Method </t>
  </si>
  <si>
    <t>A (index)</t>
  </si>
  <si>
    <t>B( revenue)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</si>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</sst>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_([$$-409]* #,##0.00_);_([$$-409]* \(#,##0.00\);_([$$-409]* &quot;-&quot;??_);_(@_)"/>
    <numFmt numFmtId="166" formatCode="0.0%;\(0.0%\)"/>
    <numFmt numFmtId="167" formatCode="0.0%"/>
    <numFmt numFmtId="180" formatCode="[$₹-439]#,##0"/>
    <numFmt numFmtId="181" formatCode="[$₹-446]\ #,##0.00"/>
    <numFmt numFmtId="182" formatCode="[$₹-439]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0" fontId="5" fillId="0" borderId="2" xfId="0" applyFont="1" applyBorder="1"/>
    <xf numFmtId="0" fontId="0" fillId="0" borderId="2" xfId="0" applyBorder="1"/>
    <xf numFmtId="0" fontId="0" fillId="3" borderId="3" xfId="0" applyFill="1" applyBorder="1" applyAlignment="1">
      <alignment horizontal="center"/>
    </xf>
    <xf numFmtId="165" fontId="0" fillId="0" borderId="0" xfId="0" applyNumberFormat="1"/>
    <xf numFmtId="14" fontId="0" fillId="3" borderId="3" xfId="0" applyNumberForma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2" fillId="4" borderId="0" xfId="0" applyFont="1" applyFill="1"/>
    <xf numFmtId="0" fontId="0" fillId="4" borderId="0" xfId="0" applyFill="1"/>
    <xf numFmtId="167" fontId="0" fillId="3" borderId="4" xfId="0" applyNumberFormat="1" applyFill="1" applyBorder="1" applyAlignment="1">
      <alignment horizontal="center"/>
    </xf>
    <xf numFmtId="0" fontId="2" fillId="4" borderId="5" xfId="0" applyFont="1" applyFill="1" applyBorder="1"/>
    <xf numFmtId="0" fontId="6" fillId="5" borderId="0" xfId="0" applyFont="1" applyFill="1"/>
    <xf numFmtId="3" fontId="7" fillId="5" borderId="0" xfId="0" applyNumberFormat="1" applyFont="1" applyFill="1"/>
    <xf numFmtId="0" fontId="8" fillId="5" borderId="0" xfId="0" applyFont="1" applyFill="1"/>
    <xf numFmtId="167" fontId="8" fillId="5" borderId="0" xfId="1" applyNumberFormat="1" applyFont="1" applyFill="1"/>
    <xf numFmtId="167" fontId="8" fillId="5" borderId="0" xfId="1" applyNumberFormat="1" applyFont="1" applyFill="1" applyBorder="1"/>
    <xf numFmtId="0" fontId="9" fillId="5" borderId="0" xfId="0" applyFont="1" applyFill="1"/>
    <xf numFmtId="0" fontId="6" fillId="5" borderId="5" xfId="0" applyFont="1" applyFill="1" applyBorder="1"/>
    <xf numFmtId="3" fontId="10" fillId="5" borderId="0" xfId="0" applyNumberFormat="1" applyFont="1" applyFill="1"/>
    <xf numFmtId="3" fontId="6" fillId="5" borderId="0" xfId="0" applyNumberFormat="1" applyFont="1" applyFill="1"/>
    <xf numFmtId="3" fontId="6" fillId="5" borderId="5" xfId="0" applyNumberFormat="1" applyFont="1" applyFill="1" applyBorder="1"/>
    <xf numFmtId="37" fontId="7" fillId="5" borderId="0" xfId="0" applyNumberFormat="1" applyFont="1" applyFill="1"/>
    <xf numFmtId="166" fontId="11" fillId="0" borderId="0" xfId="1" applyNumberFormat="1" applyFont="1"/>
    <xf numFmtId="0" fontId="0" fillId="0" borderId="5" xfId="0" applyBorder="1"/>
    <xf numFmtId="3" fontId="12" fillId="0" borderId="0" xfId="0" applyNumberFormat="1" applyFont="1"/>
    <xf numFmtId="0" fontId="11" fillId="0" borderId="0" xfId="0" applyFont="1"/>
    <xf numFmtId="167" fontId="11" fillId="0" borderId="0" xfId="1" applyNumberFormat="1" applyFont="1"/>
    <xf numFmtId="167" fontId="0" fillId="0" borderId="0" xfId="0" applyNumberForma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3" fontId="3" fillId="0" borderId="7" xfId="0" applyNumberFormat="1" applyFont="1" applyBorder="1"/>
    <xf numFmtId="3" fontId="0" fillId="0" borderId="0" xfId="0" applyNumberFormat="1"/>
    <xf numFmtId="167" fontId="11" fillId="0" borderId="0" xfId="1" applyNumberFormat="1" applyFont="1" applyFill="1" applyBorder="1"/>
    <xf numFmtId="37" fontId="12" fillId="0" borderId="0" xfId="0" applyNumberFormat="1" applyFont="1"/>
    <xf numFmtId="37" fontId="6" fillId="0" borderId="0" xfId="0" applyNumberFormat="1" applyFont="1"/>
    <xf numFmtId="166" fontId="11" fillId="0" borderId="0" xfId="1" applyNumberFormat="1" applyFont="1" applyBorder="1"/>
    <xf numFmtId="0" fontId="0" fillId="0" borderId="9" xfId="0" applyBorder="1"/>
    <xf numFmtId="37" fontId="3" fillId="0" borderId="7" xfId="0" applyNumberFormat="1" applyFont="1" applyBorder="1"/>
    <xf numFmtId="14" fontId="0" fillId="0" borderId="0" xfId="0" applyNumberFormat="1"/>
    <xf numFmtId="37" fontId="6" fillId="0" borderId="2" xfId="0" applyNumberFormat="1" applyFont="1" applyBorder="1"/>
    <xf numFmtId="37" fontId="9" fillId="0" borderId="0" xfId="0" applyNumberFormat="1" applyFont="1"/>
    <xf numFmtId="0" fontId="0" fillId="0" borderId="0" xfId="0" quotePrefix="1"/>
    <xf numFmtId="0" fontId="0" fillId="0" borderId="2" xfId="0" quotePrefix="1" applyBorder="1"/>
    <xf numFmtId="3" fontId="0" fillId="0" borderId="10" xfId="0" applyNumberFormat="1" applyBorder="1" applyAlignment="1">
      <alignment horizontal="right"/>
    </xf>
    <xf numFmtId="167" fontId="0" fillId="0" borderId="0" xfId="0" applyNumberFormat="1" applyAlignment="1">
      <alignment horizontal="right"/>
    </xf>
    <xf numFmtId="167" fontId="0" fillId="3" borderId="4" xfId="0" applyNumberFormat="1" applyFill="1" applyBorder="1" applyAlignment="1">
      <alignment horizontal="right"/>
    </xf>
    <xf numFmtId="9" fontId="0" fillId="0" borderId="0" xfId="1" applyFont="1"/>
    <xf numFmtId="0" fontId="0" fillId="3" borderId="4" xfId="0" applyFill="1" applyBorder="1" applyAlignment="1">
      <alignment horizontal="right"/>
    </xf>
    <xf numFmtId="0" fontId="3" fillId="6" borderId="6" xfId="0" applyFont="1" applyFill="1" applyBorder="1"/>
    <xf numFmtId="0" fontId="0" fillId="6" borderId="7" xfId="0" applyFill="1" applyBorder="1"/>
    <xf numFmtId="10" fontId="3" fillId="6" borderId="8" xfId="0" applyNumberFormat="1" applyFont="1" applyFill="1" applyBorder="1"/>
    <xf numFmtId="3" fontId="6" fillId="5" borderId="0" xfId="0" applyNumberFormat="1" applyFont="1" applyFill="1" applyAlignment="1">
      <alignment vertical="center"/>
    </xf>
    <xf numFmtId="180" fontId="0" fillId="0" borderId="4" xfId="0" applyNumberFormat="1" applyBorder="1" applyAlignment="1">
      <alignment horizontal="right"/>
    </xf>
    <xf numFmtId="181" fontId="3" fillId="0" borderId="0" xfId="0" applyNumberFormat="1" applyFont="1"/>
    <xf numFmtId="182" fontId="0" fillId="0" borderId="4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numFmt numFmtId="0" formatCode="General"/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2024.09.13-Advanced-DCF-Part-2.xlsx" TargetMode="External"/><Relationship Id="rId1" Type="http://schemas.openxmlformats.org/officeDocument/2006/relationships/externalLinkPath" Target="/Users/Pratyush%20singh/Downloads/2024.09.13-Advanced-DCF-Part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Operating Model"/>
      <sheetName val="DCF&gt;&gt;&gt;"/>
      <sheetName val="Consolidated"/>
      <sheetName val="North America"/>
      <sheetName val="International"/>
      <sheetName val="AWS"/>
      <sheetName val="WACC"/>
      <sheetName val="Shares"/>
      <sheetName val="FS&gt;&gt;&gt;"/>
      <sheetName val="Segments"/>
      <sheetName val="IS"/>
      <sheetName val="CFS"/>
      <sheetName val="CapEx"/>
    </sheetNames>
    <sheetDataSet>
      <sheetData sheetId="0"/>
      <sheetData sheetId="1">
        <row r="10">
          <cell r="L10">
            <v>8.4389860337395248E-2</v>
          </cell>
        </row>
        <row r="11">
          <cell r="L11">
            <v>2.5000000000000001E-2</v>
          </cell>
        </row>
      </sheetData>
      <sheetData sheetId="2"/>
      <sheetData sheetId="3"/>
      <sheetData sheetId="4"/>
      <sheetData sheetId="5"/>
      <sheetData sheetId="6"/>
      <sheetData sheetId="7">
        <row r="22">
          <cell r="F22">
            <v>8.4389860337395248E-2</v>
          </cell>
        </row>
      </sheetData>
      <sheetData sheetId="8">
        <row r="14">
          <cell r="E14">
            <v>10876.066881000001</v>
          </cell>
        </row>
      </sheetData>
      <sheetData sheetId="9"/>
      <sheetData sheetId="10">
        <row r="6">
          <cell r="C6">
            <v>63708</v>
          </cell>
        </row>
      </sheetData>
      <sheetData sheetId="11">
        <row r="30">
          <cell r="C30">
            <v>1568</v>
          </cell>
        </row>
      </sheetData>
      <sheetData sheetId="12">
        <row r="12">
          <cell r="C12">
            <v>5646</v>
          </cell>
        </row>
      </sheetData>
      <sheetData sheetId="1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0D6FE5F-5CCD-4ECB-A997-7E3D8F8F1F7D}" autoFormatId="16" applyNumberFormats="0" applyBorderFormats="0" applyFontFormats="0" applyPatternFormats="0" applyAlignmentFormats="0" applyWidthHeightFormats="0">
  <queryTableRefresh nextId="7">
    <queryTableFields count="6">
      <queryTableField id="1" name="Mar '24" tableColumnId="7"/>
      <queryTableField id="2" name="Mar '21" tableColumnId="2"/>
      <queryTableField id="3" name="Mar '20" tableColumnId="3"/>
      <queryTableField id="4" name="Mar '19" tableColumnId="4"/>
      <queryTableField id="5" name="Mar '18" tableColumnId="5"/>
      <queryTableField id="6" name="Mar '17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865D593-BD4B-4D21-9E1F-624B8C4CC199}" autoFormatId="16" applyNumberFormats="0" applyBorderFormats="0" applyFontFormats="0" applyPatternFormats="0" applyAlignmentFormats="0" applyWidthHeightFormats="0">
  <queryTableRefresh nextId="7">
    <queryTableFields count="6">
      <queryTableField id="1" name="Mar '24" tableColumnId="7"/>
      <queryTableField id="2" name="Mar '22" tableColumnId="2"/>
      <queryTableField id="3" dataBound="0" tableColumnId="3"/>
      <queryTableField id="4" name="Mar '20" tableColumnId="4"/>
      <queryTableField id="5" name="Mar '19" tableColumnId="5"/>
      <queryTableField id="6" name="Mar '18" tableColumnId="6"/>
    </queryTableFields>
    <queryTableDeletedFields count="1">
      <deletedField name="Mar '2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16C1BFB-1A7F-4A8D-8367-BBD047BDE5BD}" autoFormatId="16" applyNumberFormats="0" applyBorderFormats="0" applyFontFormats="0" applyPatternFormats="0" applyAlignmentFormats="0" applyWidthHeightFormats="0">
  <queryTableRefresh nextId="7">
    <queryTableFields count="6">
      <queryTableField id="1" name="Mar '24" tableColumnId="7"/>
      <queryTableField id="2" name="Mar '22" tableColumnId="2"/>
      <queryTableField id="3" name="Mar '21" tableColumnId="3"/>
      <queryTableField id="4" name="Mar '20" tableColumnId="4"/>
      <queryTableField id="5" name="Mar '19" tableColumnId="5"/>
      <queryTableField id="6" name="Mar '18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C4EEC6-B65F-4505-9E68-298AB3E4B245}" name="Sheet15" displayName="Sheet15" ref="A1:F17" tableType="queryTable" totalsRowShown="0">
  <autoFilter ref="A1:F17" xr:uid="{63C4EEC6-B65F-4505-9E68-298AB3E4B245}"/>
  <tableColumns count="6">
    <tableColumn id="7" xr3:uid="{8469B4C2-5FD0-4EB2-9043-61C9AFBFDA41}" uniqueName="7" name="Mar '24" queryTableFieldId="1" dataDxfId="17"/>
    <tableColumn id="2" xr3:uid="{07807E87-6766-4BF9-8E5D-89F3AACD2C5C}" uniqueName="2" name="Mar '21" queryTableFieldId="2" dataDxfId="16"/>
    <tableColumn id="3" xr3:uid="{179D3503-B32C-4848-9647-DB59B6FA61CB}" uniqueName="3" name="Mar '20" queryTableFieldId="3" dataDxfId="15"/>
    <tableColumn id="4" xr3:uid="{41674935-8792-49E6-81E5-18F37ED85B28}" uniqueName="4" name="Mar '19" queryTableFieldId="4" dataDxfId="14"/>
    <tableColumn id="5" xr3:uid="{BC3A66AB-1B2D-41E2-9E9F-7A14D8AC0781}" uniqueName="5" name="Mar '18" queryTableFieldId="5" dataDxfId="13"/>
    <tableColumn id="6" xr3:uid="{47D4B7C5-F26B-40D8-860C-67A5FE8C09F2}" uniqueName="6" name="Mar '17" queryTableFieldId="6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1B0823-AB18-4CA0-8BF0-9E31EB783D39}" name="Table2_2" displayName="Table2_2" ref="A1:F36" tableType="queryTable" totalsRowShown="0">
  <autoFilter ref="A1:F36" xr:uid="{8D1B0823-AB18-4CA0-8BF0-9E31EB783D39}"/>
  <tableColumns count="6">
    <tableColumn id="7" xr3:uid="{1E65E4EE-BB16-479D-B0BF-FC7E3D79DA3D}" uniqueName="7" name="Mar '24" queryTableFieldId="1" dataDxfId="11"/>
    <tableColumn id="2" xr3:uid="{A7BD020B-B678-4932-940D-B932D51A2E62}" uniqueName="2" name="Mar '22" queryTableFieldId="2" dataDxfId="10"/>
    <tableColumn id="3" xr3:uid="{4FB8B420-935F-4950-B5EF-644D22E61CB0}" uniqueName="3" name="Column1" queryTableFieldId="3" dataDxfId="9"/>
    <tableColumn id="4" xr3:uid="{0EA29550-B2A3-4CE0-B412-D8966709322C}" uniqueName="4" name="Mar '20" queryTableFieldId="4" dataDxfId="8"/>
    <tableColumn id="5" xr3:uid="{111A4E66-CC25-4BDD-A4D5-B425BD9AAB9F}" uniqueName="5" name="Mar '19" queryTableFieldId="5" dataDxfId="7"/>
    <tableColumn id="6" xr3:uid="{D6BC5D78-9187-4F3F-99B6-694C3BB49C3A}" uniqueName="6" name="Mar '192" queryTableFieldId="6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9BBEE1-F664-4032-8E2A-6E0A3F64CF7B}" name="Table3_2" displayName="Table3_2" ref="A1:F10" tableType="queryTable" totalsRowShown="0">
  <autoFilter ref="A1:F10" xr:uid="{D09BBEE1-F664-4032-8E2A-6E0A3F64CF7B}"/>
  <tableColumns count="6">
    <tableColumn id="7" xr3:uid="{B7FE9437-30F6-44FE-9186-9E6A5684986B}" uniqueName="7" name="Mar '24" queryTableFieldId="1" dataDxfId="5"/>
    <tableColumn id="2" xr3:uid="{D256EE56-5237-4A7B-A2A4-7BDDE71E4D01}" uniqueName="2" name="Mar '22" queryTableFieldId="2" dataDxfId="4"/>
    <tableColumn id="3" xr3:uid="{2A7C15BD-6D42-48E3-8864-E0ECA4460E7C}" uniqueName="3" name="Mar '21" queryTableFieldId="3" dataDxfId="3"/>
    <tableColumn id="4" xr3:uid="{DC572B1C-113F-4A19-872C-D146444C0C8C}" uniqueName="4" name="Mar '20" queryTableFieldId="4" dataDxfId="2"/>
    <tableColumn id="5" xr3:uid="{A80E6F7A-7CC8-40A6-897C-B23750AC4FDA}" uniqueName="5" name="Mar '19" queryTableFieldId="5" dataDxfId="1"/>
    <tableColumn id="6" xr3:uid="{75CB87BC-EA07-4402-B9DC-48124E4F174C}" uniqueName="6" name="Mar '18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B809-01F9-423A-86DE-B06CCBE092C8}">
  <dimension ref="B2:O63"/>
  <sheetViews>
    <sheetView tabSelected="1" workbookViewId="0">
      <selection activeCell="N63" sqref="N63"/>
    </sheetView>
  </sheetViews>
  <sheetFormatPr defaultRowHeight="15" x14ac:dyDescent="0.25"/>
  <cols>
    <col min="3" max="3" width="13.42578125" bestFit="1" customWidth="1"/>
    <col min="14" max="14" width="11.140625" bestFit="1" customWidth="1"/>
  </cols>
  <sheetData>
    <row r="2" spans="2:14" ht="21" x14ac:dyDescent="0.35">
      <c r="B2" s="4" t="s">
        <v>113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4" spans="2:14" x14ac:dyDescent="0.25">
      <c r="B4" t="s">
        <v>63</v>
      </c>
      <c r="C4" s="6" t="s">
        <v>108</v>
      </c>
      <c r="E4" t="s">
        <v>64</v>
      </c>
      <c r="G4" s="58">
        <f>N63</f>
        <v>334.13097487205113</v>
      </c>
      <c r="M4" s="7"/>
    </row>
    <row r="5" spans="2:14" x14ac:dyDescent="0.25">
      <c r="B5" t="s">
        <v>65</v>
      </c>
      <c r="C5" s="8">
        <v>45650</v>
      </c>
      <c r="E5" t="s">
        <v>66</v>
      </c>
      <c r="G5" s="58">
        <v>735.42</v>
      </c>
      <c r="I5" t="s">
        <v>67</v>
      </c>
      <c r="K5" s="9">
        <f>G4/G5-1</f>
        <v>-0.54565965724069088</v>
      </c>
      <c r="M5" s="7"/>
    </row>
    <row r="7" spans="2:14" x14ac:dyDescent="0.25">
      <c r="B7" s="10" t="s">
        <v>68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2:14" x14ac:dyDescent="0.25">
      <c r="B8" s="1" t="s">
        <v>69</v>
      </c>
    </row>
    <row r="9" spans="2:14" x14ac:dyDescent="0.25">
      <c r="B9" t="s">
        <v>70</v>
      </c>
      <c r="D9" s="12">
        <f>WACC!D22</f>
        <v>0.14000000000000001</v>
      </c>
    </row>
    <row r="10" spans="2:14" x14ac:dyDescent="0.25">
      <c r="B10" t="s">
        <v>71</v>
      </c>
      <c r="D10" s="12">
        <v>0.05</v>
      </c>
    </row>
    <row r="11" spans="2:14" x14ac:dyDescent="0.25">
      <c r="J11">
        <v>1</v>
      </c>
      <c r="K11">
        <f>J11+1</f>
        <v>2</v>
      </c>
      <c r="L11">
        <f t="shared" ref="L11:N12" si="0">K11+1</f>
        <v>3</v>
      </c>
      <c r="M11">
        <f t="shared" si="0"/>
        <v>4</v>
      </c>
      <c r="N11">
        <f t="shared" si="0"/>
        <v>5</v>
      </c>
    </row>
    <row r="12" spans="2:14" x14ac:dyDescent="0.25">
      <c r="B12" s="10" t="s">
        <v>72</v>
      </c>
      <c r="C12" s="11"/>
      <c r="D12" s="11"/>
      <c r="E12" s="10">
        <v>2020</v>
      </c>
      <c r="F12" s="10">
        <f>E12+1</f>
        <v>2021</v>
      </c>
      <c r="G12" s="10">
        <f t="shared" ref="G12:K12" si="1">F12+1</f>
        <v>2022</v>
      </c>
      <c r="H12" s="10">
        <f t="shared" si="1"/>
        <v>2023</v>
      </c>
      <c r="I12" s="10">
        <f t="shared" si="1"/>
        <v>2024</v>
      </c>
      <c r="J12" s="10">
        <f t="shared" si="1"/>
        <v>2025</v>
      </c>
      <c r="K12" s="10">
        <f t="shared" si="1"/>
        <v>2026</v>
      </c>
      <c r="L12" s="10">
        <f t="shared" si="0"/>
        <v>2027</v>
      </c>
      <c r="M12" s="10">
        <f t="shared" si="0"/>
        <v>2028</v>
      </c>
      <c r="N12" s="10">
        <f t="shared" si="0"/>
        <v>2029</v>
      </c>
    </row>
    <row r="13" spans="2:14" x14ac:dyDescent="0.25">
      <c r="B13" s="14" t="s">
        <v>73</v>
      </c>
      <c r="C13" s="14"/>
      <c r="D13" s="14"/>
      <c r="E13" s="15">
        <f>IS!B2</f>
        <v>264041.09999999998</v>
      </c>
      <c r="F13" s="15">
        <f>IS!C2</f>
        <v>252437.9</v>
      </c>
      <c r="G13" s="15">
        <f>IS!D2</f>
        <v>281507.3</v>
      </c>
      <c r="H13" s="15">
        <f>IS!E2</f>
        <v>350600.2</v>
      </c>
      <c r="I13" s="15">
        <f>IS!F2</f>
        <v>443877.7</v>
      </c>
      <c r="J13" s="15">
        <f>'Linear regression'!G5</f>
        <v>492958.85</v>
      </c>
      <c r="K13" s="15">
        <f>'Linear regression'!H5</f>
        <v>557300.07999999996</v>
      </c>
      <c r="L13" s="15">
        <f>'Linear regression'!I5</f>
        <v>621641.30999999994</v>
      </c>
      <c r="M13" s="15">
        <f>'Linear regression'!J5</f>
        <v>685982.54</v>
      </c>
      <c r="N13" s="15">
        <f>'Linear regression'!K5</f>
        <v>750323.77</v>
      </c>
    </row>
    <row r="14" spans="2:14" x14ac:dyDescent="0.25">
      <c r="B14" s="16" t="s">
        <v>74</v>
      </c>
      <c r="C14" s="14"/>
      <c r="D14" s="14"/>
      <c r="E14" s="17"/>
      <c r="F14" s="17">
        <f>F13/E13-1</f>
        <v>-4.3944673764803932E-2</v>
      </c>
      <c r="G14" s="17">
        <f t="shared" ref="G14:I14" si="2">G13/F13-1</f>
        <v>0.11515465783862089</v>
      </c>
      <c r="H14" s="17">
        <f t="shared" si="2"/>
        <v>0.24543910584201556</v>
      </c>
      <c r="I14" s="17">
        <f t="shared" si="2"/>
        <v>0.2660509035648011</v>
      </c>
      <c r="J14" s="17">
        <f t="shared" ref="J14" si="3">J13/I13-1</f>
        <v>0.11057358817530138</v>
      </c>
      <c r="K14" s="17">
        <f t="shared" ref="K14" si="4">K13/J13-1</f>
        <v>0.13052048867770605</v>
      </c>
      <c r="L14" s="17">
        <f t="shared" ref="L14" si="5">L13/K13-1</f>
        <v>0.11545167910257614</v>
      </c>
      <c r="M14" s="17">
        <f t="shared" ref="M14" si="6">M13/L13-1</f>
        <v>0.10350217877251455</v>
      </c>
      <c r="N14" s="17">
        <f t="shared" ref="N14" si="7">N13/M13-1</f>
        <v>9.3794267708329659E-2</v>
      </c>
    </row>
    <row r="15" spans="2:14" x14ac:dyDescent="0.25">
      <c r="B15" s="19"/>
      <c r="C15" s="14"/>
      <c r="D15" s="14"/>
      <c r="E15" s="14"/>
      <c r="F15" s="14"/>
      <c r="G15" s="14"/>
      <c r="H15" s="14"/>
      <c r="I15" s="20"/>
      <c r="J15" s="14"/>
      <c r="K15" s="14"/>
      <c r="L15" s="14"/>
      <c r="M15" s="14"/>
      <c r="N15" s="14"/>
    </row>
    <row r="16" spans="2:14" x14ac:dyDescent="0.25">
      <c r="B16" s="14" t="s">
        <v>75</v>
      </c>
      <c r="C16" s="14"/>
      <c r="D16" s="14"/>
      <c r="E16" s="15">
        <f>IS!B4</f>
        <v>17987.099999999999</v>
      </c>
      <c r="F16" s="15">
        <f>IS!C4</f>
        <v>32287.4</v>
      </c>
      <c r="G16" s="15">
        <f>IS!D4</f>
        <v>24720.1</v>
      </c>
      <c r="H16" s="15">
        <f>IS!E4</f>
        <v>31919.7</v>
      </c>
      <c r="I16" s="15">
        <f>IS!F4</f>
        <v>59538.3</v>
      </c>
      <c r="J16" s="15">
        <f>J13*8.5%</f>
        <v>41901.502249999998</v>
      </c>
      <c r="K16" s="15">
        <f t="shared" ref="K16:N16" si="8">K13*8.5%</f>
        <v>47370.506800000003</v>
      </c>
      <c r="L16" s="15">
        <f t="shared" si="8"/>
        <v>52839.511350000001</v>
      </c>
      <c r="M16" s="15">
        <f t="shared" si="8"/>
        <v>58308.515900000006</v>
      </c>
      <c r="N16" s="15">
        <f t="shared" si="8"/>
        <v>63777.520450000004</v>
      </c>
    </row>
    <row r="17" spans="2:14" x14ac:dyDescent="0.25">
      <c r="B17" s="16" t="s">
        <v>76</v>
      </c>
      <c r="C17" s="14"/>
      <c r="D17" s="14"/>
      <c r="E17" s="17">
        <f>E16/E13</f>
        <v>6.81223491342825E-2</v>
      </c>
      <c r="F17" s="17">
        <f t="shared" ref="F17:N17" si="9">F16/F13</f>
        <v>0.12790234746842691</v>
      </c>
      <c r="G17" s="17">
        <f t="shared" si="9"/>
        <v>8.7813353330446486E-2</v>
      </c>
      <c r="H17" s="17">
        <f t="shared" si="9"/>
        <v>9.1043017088980549E-2</v>
      </c>
      <c r="I17" s="17">
        <f t="shared" si="9"/>
        <v>0.13413221704987657</v>
      </c>
      <c r="J17" s="17">
        <f t="shared" si="9"/>
        <v>8.5000000000000006E-2</v>
      </c>
      <c r="K17" s="17">
        <f t="shared" si="9"/>
        <v>8.5000000000000006E-2</v>
      </c>
      <c r="L17" s="17">
        <f t="shared" si="9"/>
        <v>8.5000000000000006E-2</v>
      </c>
      <c r="M17" s="17">
        <f t="shared" si="9"/>
        <v>8.5000000000000006E-2</v>
      </c>
      <c r="N17" s="17">
        <f t="shared" si="9"/>
        <v>8.5000000000000006E-2</v>
      </c>
    </row>
    <row r="18" spans="2:14" x14ac:dyDescent="0.25">
      <c r="B18" s="14"/>
      <c r="C18" s="14"/>
      <c r="D18" s="14"/>
      <c r="E18" s="14"/>
      <c r="F18" s="14"/>
      <c r="G18" s="14"/>
      <c r="H18" s="14"/>
      <c r="I18" s="20"/>
      <c r="J18" s="14"/>
      <c r="K18" s="14"/>
      <c r="L18" s="14"/>
      <c r="M18" s="14"/>
      <c r="N18" s="14"/>
    </row>
    <row r="19" spans="2:14" x14ac:dyDescent="0.25">
      <c r="B19" s="14" t="s">
        <v>77</v>
      </c>
      <c r="C19" s="14"/>
      <c r="D19" s="14"/>
      <c r="E19" s="15">
        <f>IS!B12</f>
        <v>395.3</v>
      </c>
      <c r="F19" s="15">
        <f>IS!C12</f>
        <v>2541.9</v>
      </c>
      <c r="G19" s="15">
        <f>IS!D12</f>
        <v>4231.3</v>
      </c>
      <c r="H19" s="15">
        <f>IS!E12</f>
        <v>704.1</v>
      </c>
      <c r="I19" s="15">
        <f>IS!F12</f>
        <v>-3851.6</v>
      </c>
      <c r="J19" s="15">
        <f>J16*25%</f>
        <v>10475.375562499999</v>
      </c>
      <c r="K19" s="15">
        <f t="shared" ref="K19:N19" si="10">K16*25%</f>
        <v>11842.626700000001</v>
      </c>
      <c r="L19" s="15">
        <f t="shared" si="10"/>
        <v>13209.8778375</v>
      </c>
      <c r="M19" s="15">
        <f t="shared" si="10"/>
        <v>14577.128975000001</v>
      </c>
      <c r="N19" s="15">
        <f t="shared" si="10"/>
        <v>15944.380112500001</v>
      </c>
    </row>
    <row r="20" spans="2:14" x14ac:dyDescent="0.25">
      <c r="B20" s="16" t="s">
        <v>78</v>
      </c>
      <c r="C20" s="14"/>
      <c r="D20" s="14"/>
      <c r="E20" s="17">
        <f>E19/E13</f>
        <v>1.4971154111992416E-3</v>
      </c>
      <c r="F20" s="17">
        <f t="shared" ref="F20:N20" si="11">F19/F13</f>
        <v>1.006940716905029E-2</v>
      </c>
      <c r="G20" s="17">
        <f t="shared" si="11"/>
        <v>1.503087131310627E-2</v>
      </c>
      <c r="H20" s="17">
        <f t="shared" si="11"/>
        <v>2.0082703888931039E-3</v>
      </c>
      <c r="I20" s="17">
        <f t="shared" si="11"/>
        <v>-8.6771649037561474E-3</v>
      </c>
      <c r="J20" s="17">
        <f t="shared" si="11"/>
        <v>2.1250000000000002E-2</v>
      </c>
      <c r="K20" s="17">
        <f t="shared" si="11"/>
        <v>2.1250000000000002E-2</v>
      </c>
      <c r="L20" s="17">
        <f t="shared" si="11"/>
        <v>2.1250000000000002E-2</v>
      </c>
      <c r="M20" s="17">
        <f t="shared" si="11"/>
        <v>2.1250000000000002E-2</v>
      </c>
      <c r="N20" s="17">
        <f t="shared" si="11"/>
        <v>2.1250000000000002E-2</v>
      </c>
    </row>
    <row r="21" spans="2:14" x14ac:dyDescent="0.25">
      <c r="B21" s="14"/>
      <c r="C21" s="14"/>
      <c r="D21" s="14"/>
      <c r="E21" s="14"/>
      <c r="F21" s="14"/>
      <c r="G21" s="14"/>
      <c r="H21" s="14"/>
      <c r="I21" s="20"/>
      <c r="J21" s="14"/>
      <c r="K21" s="14"/>
      <c r="L21" s="14"/>
      <c r="M21" s="14"/>
      <c r="N21" s="14"/>
    </row>
    <row r="22" spans="2:14" x14ac:dyDescent="0.25">
      <c r="B22" s="10" t="s">
        <v>79</v>
      </c>
      <c r="C22" s="11"/>
      <c r="D22" s="11"/>
      <c r="E22" s="10">
        <f>E12</f>
        <v>2020</v>
      </c>
      <c r="F22" s="10">
        <f t="shared" ref="F22:N22" si="12">F12</f>
        <v>2021</v>
      </c>
      <c r="G22" s="10">
        <f t="shared" si="12"/>
        <v>2022</v>
      </c>
      <c r="H22" s="10">
        <f t="shared" si="12"/>
        <v>2023</v>
      </c>
      <c r="I22" s="10">
        <f t="shared" si="12"/>
        <v>2024</v>
      </c>
      <c r="J22" s="10">
        <f t="shared" si="12"/>
        <v>2025</v>
      </c>
      <c r="K22" s="10">
        <f t="shared" si="12"/>
        <v>2026</v>
      </c>
      <c r="L22" s="10">
        <f t="shared" si="12"/>
        <v>2027</v>
      </c>
      <c r="M22" s="10">
        <f t="shared" si="12"/>
        <v>2028</v>
      </c>
      <c r="N22" s="10">
        <f t="shared" si="12"/>
        <v>2029</v>
      </c>
    </row>
    <row r="23" spans="2:14" x14ac:dyDescent="0.25">
      <c r="B23" s="14" t="s">
        <v>80</v>
      </c>
      <c r="C23" s="14"/>
      <c r="D23" s="14"/>
      <c r="E23" s="15">
        <f>IS!B10</f>
        <v>21425.4</v>
      </c>
      <c r="F23" s="15">
        <f>IS!C10</f>
        <v>23546.7</v>
      </c>
      <c r="G23" s="15">
        <f>IS!D10</f>
        <v>24835.7</v>
      </c>
      <c r="H23" s="15">
        <f>IS!E10</f>
        <v>24860.400000000001</v>
      </c>
      <c r="I23" s="15">
        <f>IS!F10</f>
        <v>27270.1</v>
      </c>
      <c r="J23" s="21"/>
      <c r="K23" s="21"/>
      <c r="L23" s="21"/>
      <c r="M23" s="21"/>
      <c r="N23" s="21"/>
    </row>
    <row r="24" spans="2:14" x14ac:dyDescent="0.25">
      <c r="B24" s="16" t="s">
        <v>76</v>
      </c>
      <c r="C24" s="14"/>
      <c r="D24" s="14"/>
      <c r="E24" s="17">
        <f>E23/$E$13</f>
        <v>8.1144185507483507E-2</v>
      </c>
      <c r="F24" s="17">
        <f t="shared" ref="F24:I24" si="13">F23/$E$13</f>
        <v>8.917816203613757E-2</v>
      </c>
      <c r="G24" s="17">
        <f t="shared" si="13"/>
        <v>9.4059977783761711E-2</v>
      </c>
      <c r="H24" s="17">
        <f t="shared" si="13"/>
        <v>9.4153523826404309E-2</v>
      </c>
      <c r="I24" s="17">
        <f>I23/$E$13</f>
        <v>0.10327975455336309</v>
      </c>
      <c r="J24" s="18"/>
      <c r="K24" s="17"/>
      <c r="L24" s="17"/>
      <c r="M24" s="17"/>
      <c r="N24" s="17"/>
    </row>
    <row r="25" spans="2:14" x14ac:dyDescent="0.25">
      <c r="B25" s="14"/>
      <c r="C25" s="14"/>
      <c r="D25" s="14"/>
      <c r="E25" s="22"/>
      <c r="F25" s="22"/>
      <c r="G25" s="22"/>
      <c r="H25" s="22"/>
      <c r="I25" s="23"/>
      <c r="J25" s="22"/>
      <c r="K25" s="22"/>
      <c r="L25" s="22"/>
      <c r="M25" s="22"/>
      <c r="N25" s="22"/>
    </row>
    <row r="26" spans="2:14" x14ac:dyDescent="0.25">
      <c r="B26" s="14" t="s">
        <v>81</v>
      </c>
      <c r="C26" s="14"/>
      <c r="D26" s="14"/>
      <c r="E26" s="15">
        <v>0</v>
      </c>
      <c r="F26" s="15">
        <f>CAPX!C6</f>
        <v>3084.6000000000058</v>
      </c>
      <c r="G26" s="15">
        <f>CAPX!D6</f>
        <v>10568.399999999994</v>
      </c>
      <c r="H26" s="15">
        <f>CAPX!E6</f>
        <v>2785.6999999999825</v>
      </c>
      <c r="I26" s="15">
        <f>CAPX!F6</f>
        <v>-10609.899999999994</v>
      </c>
      <c r="J26" s="21"/>
      <c r="K26" s="21"/>
      <c r="L26" s="21"/>
      <c r="M26" s="21"/>
      <c r="N26" s="21"/>
    </row>
    <row r="27" spans="2:14" x14ac:dyDescent="0.25">
      <c r="B27" s="16" t="s">
        <v>76</v>
      </c>
      <c r="C27" s="14"/>
      <c r="D27" s="14"/>
      <c r="E27" s="17">
        <f>E26/$E$13</f>
        <v>0</v>
      </c>
      <c r="F27" s="17">
        <f t="shared" ref="F27:I27" si="14">F26/$E$13</f>
        <v>1.1682272191715632E-2</v>
      </c>
      <c r="G27" s="17">
        <f t="shared" si="14"/>
        <v>4.0025586925671777E-2</v>
      </c>
      <c r="H27" s="17">
        <f t="shared" si="14"/>
        <v>1.0550251457064763E-2</v>
      </c>
      <c r="I27" s="17">
        <f>I26/$E$13</f>
        <v>-4.0182759426468061E-2</v>
      </c>
      <c r="J27" s="18"/>
      <c r="K27" s="17"/>
      <c r="L27" s="17"/>
      <c r="M27" s="17"/>
      <c r="N27" s="17"/>
    </row>
    <row r="28" spans="2:14" x14ac:dyDescent="0.25">
      <c r="B28" s="14"/>
      <c r="C28" s="14"/>
      <c r="D28" s="14"/>
      <c r="E28" s="22"/>
      <c r="F28" s="22"/>
      <c r="G28" s="22"/>
      <c r="H28" s="22"/>
      <c r="I28" s="23"/>
      <c r="J28" s="22"/>
      <c r="K28" s="55"/>
      <c r="L28" s="22"/>
      <c r="M28" s="22"/>
      <c r="N28" s="22"/>
    </row>
    <row r="29" spans="2:14" x14ac:dyDescent="0.25">
      <c r="B29" s="14" t="s">
        <v>82</v>
      </c>
      <c r="C29" s="14"/>
      <c r="D29" s="14"/>
      <c r="E29" s="24">
        <v>0</v>
      </c>
      <c r="F29" s="24">
        <f>CAPX!E17</f>
        <v>10005.199999999997</v>
      </c>
      <c r="G29" s="24">
        <f>CAPX!F17</f>
        <v>7156.3000000000175</v>
      </c>
      <c r="H29" s="24">
        <f>CAPX!G17</f>
        <v>206.5</v>
      </c>
      <c r="I29" s="24">
        <f>CAPX!H17</f>
        <v>-1726</v>
      </c>
      <c r="J29" s="22"/>
      <c r="K29" s="22"/>
      <c r="L29" s="22"/>
      <c r="M29" s="22"/>
      <c r="N29" s="22"/>
    </row>
    <row r="30" spans="2:14" x14ac:dyDescent="0.25">
      <c r="B30" s="16" t="s">
        <v>76</v>
      </c>
      <c r="C30" s="14"/>
      <c r="D30" s="14"/>
      <c r="E30" s="25">
        <f>E29/$E$13</f>
        <v>0</v>
      </c>
      <c r="F30" s="25">
        <f t="shared" ref="F30:I30" si="15">F29/$E$13</f>
        <v>3.7892585661853391E-2</v>
      </c>
      <c r="G30" s="25">
        <f t="shared" si="15"/>
        <v>2.7102977528877203E-2</v>
      </c>
      <c r="H30" s="25">
        <f t="shared" si="15"/>
        <v>7.8207521480557385E-4</v>
      </c>
      <c r="I30" s="25">
        <f>I29/$E$13</f>
        <v>-6.5368611174548208E-3</v>
      </c>
      <c r="J30" s="18"/>
      <c r="K30" s="17"/>
      <c r="L30" s="17"/>
      <c r="M30" s="17"/>
      <c r="N30" s="17"/>
    </row>
    <row r="31" spans="2:14" x14ac:dyDescent="0.25">
      <c r="I31" s="26"/>
      <c r="J31">
        <v>1</v>
      </c>
      <c r="K31">
        <v>2</v>
      </c>
      <c r="L31">
        <v>3</v>
      </c>
      <c r="M31">
        <v>4</v>
      </c>
      <c r="N31">
        <v>5</v>
      </c>
    </row>
    <row r="32" spans="2:14" x14ac:dyDescent="0.25">
      <c r="B32" s="10" t="s">
        <v>83</v>
      </c>
      <c r="C32" s="11"/>
      <c r="D32" s="11"/>
      <c r="E32" s="10">
        <f t="shared" ref="E32:N32" si="16">E22</f>
        <v>2020</v>
      </c>
      <c r="F32" s="10">
        <f t="shared" si="16"/>
        <v>2021</v>
      </c>
      <c r="G32" s="10">
        <f t="shared" si="16"/>
        <v>2022</v>
      </c>
      <c r="H32" s="10">
        <f t="shared" si="16"/>
        <v>2023</v>
      </c>
      <c r="I32" s="13">
        <f t="shared" si="16"/>
        <v>2024</v>
      </c>
      <c r="J32" s="10">
        <f t="shared" si="16"/>
        <v>2025</v>
      </c>
      <c r="K32" s="10">
        <f t="shared" si="16"/>
        <v>2026</v>
      </c>
      <c r="L32" s="10">
        <f t="shared" si="16"/>
        <v>2027</v>
      </c>
      <c r="M32" s="10">
        <f t="shared" si="16"/>
        <v>2028</v>
      </c>
      <c r="N32" s="10">
        <f t="shared" si="16"/>
        <v>2029</v>
      </c>
    </row>
    <row r="33" spans="2:14" x14ac:dyDescent="0.25">
      <c r="B33" t="s">
        <v>73</v>
      </c>
      <c r="E33" s="27">
        <f>E13</f>
        <v>264041.09999999998</v>
      </c>
      <c r="F33" s="27">
        <f t="shared" ref="F33:N33" si="17">F13</f>
        <v>252437.9</v>
      </c>
      <c r="G33" s="27">
        <f t="shared" si="17"/>
        <v>281507.3</v>
      </c>
      <c r="H33" s="27">
        <f t="shared" si="17"/>
        <v>350600.2</v>
      </c>
      <c r="I33" s="27">
        <f t="shared" si="17"/>
        <v>443877.7</v>
      </c>
      <c r="J33" s="27">
        <f t="shared" si="17"/>
        <v>492958.85</v>
      </c>
      <c r="K33" s="27">
        <f t="shared" si="17"/>
        <v>557300.07999999996</v>
      </c>
      <c r="L33" s="27">
        <f t="shared" si="17"/>
        <v>621641.30999999994</v>
      </c>
      <c r="M33" s="27">
        <f t="shared" si="17"/>
        <v>685982.54</v>
      </c>
      <c r="N33" s="27">
        <f t="shared" si="17"/>
        <v>750323.77</v>
      </c>
    </row>
    <row r="34" spans="2:14" x14ac:dyDescent="0.25">
      <c r="B34" s="28" t="s">
        <v>74</v>
      </c>
      <c r="E34" s="29">
        <f>E14</f>
        <v>0</v>
      </c>
      <c r="F34" s="29">
        <f t="shared" ref="F34:N34" si="18">F14</f>
        <v>-4.3944673764803932E-2</v>
      </c>
      <c r="G34" s="29">
        <f t="shared" si="18"/>
        <v>0.11515465783862089</v>
      </c>
      <c r="H34" s="29">
        <f t="shared" si="18"/>
        <v>0.24543910584201556</v>
      </c>
      <c r="I34" s="29">
        <f t="shared" si="18"/>
        <v>0.2660509035648011</v>
      </c>
      <c r="J34" s="29">
        <f t="shared" si="18"/>
        <v>0.11057358817530138</v>
      </c>
      <c r="K34" s="29">
        <f t="shared" si="18"/>
        <v>0.13052048867770605</v>
      </c>
      <c r="L34" s="29">
        <f t="shared" si="18"/>
        <v>0.11545167910257614</v>
      </c>
      <c r="M34" s="29">
        <f t="shared" si="18"/>
        <v>0.10350217877251455</v>
      </c>
      <c r="N34" s="29">
        <f t="shared" si="18"/>
        <v>9.3794267708329659E-2</v>
      </c>
    </row>
    <row r="35" spans="2:14" x14ac:dyDescent="0.25">
      <c r="I35" s="26"/>
    </row>
    <row r="36" spans="2:14" x14ac:dyDescent="0.25">
      <c r="B36" t="s">
        <v>75</v>
      </c>
      <c r="E36" s="27">
        <f>E16</f>
        <v>17987.099999999999</v>
      </c>
      <c r="F36" s="27">
        <f t="shared" ref="F36:N36" si="19">F16</f>
        <v>32287.4</v>
      </c>
      <c r="G36" s="27">
        <f t="shared" si="19"/>
        <v>24720.1</v>
      </c>
      <c r="H36" s="27">
        <f t="shared" si="19"/>
        <v>31919.7</v>
      </c>
      <c r="I36" s="27">
        <f t="shared" si="19"/>
        <v>59538.3</v>
      </c>
      <c r="J36" s="27">
        <f t="shared" si="19"/>
        <v>41901.502249999998</v>
      </c>
      <c r="K36" s="27">
        <f t="shared" si="19"/>
        <v>47370.506800000003</v>
      </c>
      <c r="L36" s="27">
        <f t="shared" si="19"/>
        <v>52839.511350000001</v>
      </c>
      <c r="M36" s="27">
        <f t="shared" si="19"/>
        <v>58308.515900000006</v>
      </c>
      <c r="N36" s="27">
        <f t="shared" si="19"/>
        <v>63777.520450000004</v>
      </c>
    </row>
    <row r="37" spans="2:14" x14ac:dyDescent="0.25">
      <c r="B37" s="28" t="s">
        <v>84</v>
      </c>
      <c r="E37" s="29">
        <f>E17</f>
        <v>6.81223491342825E-2</v>
      </c>
      <c r="F37" s="29">
        <f t="shared" ref="F37:N37" si="20">F17</f>
        <v>0.12790234746842691</v>
      </c>
      <c r="G37" s="29">
        <f t="shared" si="20"/>
        <v>8.7813353330446486E-2</v>
      </c>
      <c r="H37" s="29">
        <f t="shared" si="20"/>
        <v>9.1043017088980549E-2</v>
      </c>
      <c r="I37" s="29">
        <f t="shared" si="20"/>
        <v>0.13413221704987657</v>
      </c>
      <c r="J37" s="29">
        <f t="shared" si="20"/>
        <v>8.5000000000000006E-2</v>
      </c>
      <c r="K37" s="29">
        <f t="shared" si="20"/>
        <v>8.5000000000000006E-2</v>
      </c>
      <c r="L37" s="29">
        <f t="shared" si="20"/>
        <v>8.5000000000000006E-2</v>
      </c>
      <c r="M37" s="29">
        <f t="shared" si="20"/>
        <v>8.5000000000000006E-2</v>
      </c>
      <c r="N37" s="29">
        <f t="shared" si="20"/>
        <v>8.5000000000000006E-2</v>
      </c>
    </row>
    <row r="38" spans="2:14" x14ac:dyDescent="0.25">
      <c r="I38" s="26"/>
      <c r="K38" s="30"/>
      <c r="L38" s="30"/>
    </row>
    <row r="39" spans="2:14" x14ac:dyDescent="0.25">
      <c r="B39" t="s">
        <v>77</v>
      </c>
      <c r="E39" s="27">
        <f>E19</f>
        <v>395.3</v>
      </c>
      <c r="F39" s="27">
        <f t="shared" ref="F39:N39" si="21">F19</f>
        <v>2541.9</v>
      </c>
      <c r="G39" s="27">
        <f t="shared" si="21"/>
        <v>4231.3</v>
      </c>
      <c r="H39" s="27">
        <f t="shared" si="21"/>
        <v>704.1</v>
      </c>
      <c r="I39" s="27">
        <f t="shared" si="21"/>
        <v>-3851.6</v>
      </c>
      <c r="J39" s="27">
        <f t="shared" si="21"/>
        <v>10475.375562499999</v>
      </c>
      <c r="K39" s="27">
        <f t="shared" si="21"/>
        <v>11842.626700000001</v>
      </c>
      <c r="L39" s="27">
        <f t="shared" si="21"/>
        <v>13209.8778375</v>
      </c>
      <c r="M39" s="27">
        <f t="shared" si="21"/>
        <v>14577.128975000001</v>
      </c>
      <c r="N39" s="27">
        <f t="shared" si="21"/>
        <v>15944.380112500001</v>
      </c>
    </row>
    <row r="40" spans="2:14" x14ac:dyDescent="0.25">
      <c r="B40" s="28" t="s">
        <v>78</v>
      </c>
      <c r="E40" s="29">
        <f>E20</f>
        <v>1.4971154111992416E-3</v>
      </c>
      <c r="F40" s="29">
        <f t="shared" ref="F40:N40" si="22">F20</f>
        <v>1.006940716905029E-2</v>
      </c>
      <c r="G40" s="29">
        <f t="shared" si="22"/>
        <v>1.503087131310627E-2</v>
      </c>
      <c r="H40" s="29">
        <f t="shared" si="22"/>
        <v>2.0082703888931039E-3</v>
      </c>
      <c r="I40" s="29">
        <f t="shared" si="22"/>
        <v>-8.6771649037561474E-3</v>
      </c>
      <c r="J40" s="29">
        <f t="shared" si="22"/>
        <v>2.1250000000000002E-2</v>
      </c>
      <c r="K40" s="29">
        <f t="shared" si="22"/>
        <v>2.1250000000000002E-2</v>
      </c>
      <c r="L40" s="29">
        <f t="shared" si="22"/>
        <v>2.1250000000000002E-2</v>
      </c>
      <c r="M40" s="29">
        <f t="shared" si="22"/>
        <v>2.1250000000000002E-2</v>
      </c>
      <c r="N40" s="29">
        <f t="shared" si="22"/>
        <v>2.1250000000000002E-2</v>
      </c>
    </row>
    <row r="41" spans="2:14" x14ac:dyDescent="0.25">
      <c r="I41" s="26"/>
    </row>
    <row r="42" spans="2:14" x14ac:dyDescent="0.25">
      <c r="B42" s="31" t="s">
        <v>85</v>
      </c>
      <c r="C42" s="32"/>
      <c r="D42" s="32"/>
      <c r="E42" s="32"/>
      <c r="F42" s="32"/>
      <c r="G42" s="32"/>
      <c r="H42" s="32"/>
      <c r="I42" s="33"/>
      <c r="J42" s="34">
        <f>J36-J39</f>
        <v>31426.1266875</v>
      </c>
      <c r="K42" s="34">
        <f t="shared" ref="K42:N42" si="23">K36-K39</f>
        <v>35527.880100000002</v>
      </c>
      <c r="L42" s="34">
        <f t="shared" si="23"/>
        <v>39629.633512500004</v>
      </c>
      <c r="M42" s="34">
        <f t="shared" si="23"/>
        <v>43731.386925000006</v>
      </c>
      <c r="N42" s="34">
        <f t="shared" si="23"/>
        <v>47833.140337500001</v>
      </c>
    </row>
    <row r="43" spans="2:14" x14ac:dyDescent="0.25">
      <c r="I43" s="26"/>
      <c r="K43" s="35"/>
    </row>
    <row r="44" spans="2:14" x14ac:dyDescent="0.25">
      <c r="B44" t="s">
        <v>80</v>
      </c>
      <c r="E44" s="27">
        <f>E23</f>
        <v>21425.4</v>
      </c>
      <c r="F44" s="27">
        <f t="shared" ref="F44:I44" si="24">F23</f>
        <v>23546.7</v>
      </c>
      <c r="G44" s="27">
        <f t="shared" si="24"/>
        <v>24835.7</v>
      </c>
      <c r="H44" s="27">
        <f t="shared" si="24"/>
        <v>24860.400000000001</v>
      </c>
      <c r="I44" s="27">
        <f t="shared" si="24"/>
        <v>27270.1</v>
      </c>
      <c r="J44" s="27">
        <f>J13*5%</f>
        <v>24647.942500000001</v>
      </c>
      <c r="K44" s="27">
        <f t="shared" ref="K44:N44" si="25">K13*5%</f>
        <v>27865.004000000001</v>
      </c>
      <c r="L44" s="27">
        <f t="shared" si="25"/>
        <v>31082.065499999997</v>
      </c>
      <c r="M44" s="27">
        <f t="shared" si="25"/>
        <v>34299.127</v>
      </c>
      <c r="N44" s="27">
        <f t="shared" si="25"/>
        <v>37516.188500000004</v>
      </c>
    </row>
    <row r="45" spans="2:14" x14ac:dyDescent="0.25">
      <c r="B45" s="28" t="s">
        <v>76</v>
      </c>
      <c r="E45" s="29">
        <f>E24</f>
        <v>8.1144185507483507E-2</v>
      </c>
      <c r="F45" s="29">
        <f t="shared" ref="F45:N45" si="26">F24</f>
        <v>8.917816203613757E-2</v>
      </c>
      <c r="G45" s="29">
        <f t="shared" si="26"/>
        <v>9.4059977783761711E-2</v>
      </c>
      <c r="H45" s="29">
        <f t="shared" si="26"/>
        <v>9.4153523826404309E-2</v>
      </c>
      <c r="I45" s="29">
        <f t="shared" si="26"/>
        <v>0.10327975455336309</v>
      </c>
      <c r="J45" s="36">
        <f>J44/$E$13</f>
        <v>9.3348885836333828E-2</v>
      </c>
      <c r="K45" s="36">
        <f t="shared" ref="K45:N45" si="27">K44/$E$13</f>
        <v>0.10553282803321151</v>
      </c>
      <c r="L45" s="36">
        <f t="shared" si="27"/>
        <v>0.11771677023008918</v>
      </c>
      <c r="M45" s="36">
        <f t="shared" si="27"/>
        <v>0.12990071242696688</v>
      </c>
      <c r="N45" s="36">
        <f t="shared" si="27"/>
        <v>0.14208465462384456</v>
      </c>
    </row>
    <row r="46" spans="2:14" x14ac:dyDescent="0.25">
      <c r="I46" s="26"/>
    </row>
    <row r="47" spans="2:14" x14ac:dyDescent="0.25">
      <c r="B47" t="s">
        <v>81</v>
      </c>
      <c r="E47" s="27">
        <f>E26</f>
        <v>0</v>
      </c>
      <c r="F47" s="27">
        <f t="shared" ref="F47:I47" si="28">F26</f>
        <v>3084.6000000000058</v>
      </c>
      <c r="G47" s="27">
        <f t="shared" si="28"/>
        <v>10568.399999999994</v>
      </c>
      <c r="H47" s="27">
        <f t="shared" si="28"/>
        <v>2785.6999999999825</v>
      </c>
      <c r="I47" s="27">
        <f t="shared" si="28"/>
        <v>-10609.899999999994</v>
      </c>
      <c r="J47" s="27">
        <f>J13*8.3%</f>
        <v>40915.58455</v>
      </c>
      <c r="K47" s="27">
        <f t="shared" ref="K47:N47" si="29">K13*8.3%</f>
        <v>46255.906640000001</v>
      </c>
      <c r="L47" s="27">
        <f t="shared" si="29"/>
        <v>51596.228729999995</v>
      </c>
      <c r="M47" s="27">
        <f t="shared" si="29"/>
        <v>56936.550820000004</v>
      </c>
      <c r="N47" s="27">
        <f t="shared" si="29"/>
        <v>62276.872910000006</v>
      </c>
    </row>
    <row r="48" spans="2:14" x14ac:dyDescent="0.25">
      <c r="B48" s="28" t="s">
        <v>76</v>
      </c>
      <c r="E48" s="29">
        <f>E27</f>
        <v>0</v>
      </c>
      <c r="F48" s="29">
        <f t="shared" ref="F48:I48" si="30">F27</f>
        <v>1.1682272191715632E-2</v>
      </c>
      <c r="G48" s="29">
        <f t="shared" si="30"/>
        <v>4.0025586925671777E-2</v>
      </c>
      <c r="H48" s="29">
        <f t="shared" si="30"/>
        <v>1.0550251457064763E-2</v>
      </c>
      <c r="I48" s="29">
        <f t="shared" si="30"/>
        <v>-4.0182759426468061E-2</v>
      </c>
      <c r="J48" s="36">
        <f>J47/$E$13</f>
        <v>0.15495915048831413</v>
      </c>
      <c r="K48" s="36">
        <f t="shared" ref="K48:N48" si="31">K47/$E$13</f>
        <v>0.1751844945351311</v>
      </c>
      <c r="L48" s="36">
        <f t="shared" si="31"/>
        <v>0.19540983858194805</v>
      </c>
      <c r="M48" s="36">
        <f t="shared" si="31"/>
        <v>0.21563518262876502</v>
      </c>
      <c r="N48" s="36">
        <f t="shared" si="31"/>
        <v>0.23586052667558199</v>
      </c>
    </row>
    <row r="49" spans="2:15" x14ac:dyDescent="0.25">
      <c r="I49" s="26"/>
    </row>
    <row r="50" spans="2:15" x14ac:dyDescent="0.25">
      <c r="B50" t="s">
        <v>82</v>
      </c>
      <c r="E50" s="37">
        <f>E29</f>
        <v>0</v>
      </c>
      <c r="F50" s="37">
        <f t="shared" ref="F50:I50" si="32">F29</f>
        <v>10005.199999999997</v>
      </c>
      <c r="G50" s="37">
        <f t="shared" si="32"/>
        <v>7156.3000000000175</v>
      </c>
      <c r="H50" s="37">
        <f t="shared" si="32"/>
        <v>206.5</v>
      </c>
      <c r="I50" s="37">
        <f t="shared" si="32"/>
        <v>-1726</v>
      </c>
      <c r="J50" s="38">
        <f>J51*J33</f>
        <v>3507.9266645483203</v>
      </c>
      <c r="K50" s="38">
        <f>K51*K33</f>
        <v>3901.1005599999999</v>
      </c>
      <c r="L50" s="38">
        <f t="shared" ref="L50:N50" si="33">L51*L33</f>
        <v>4351.4891699999998</v>
      </c>
      <c r="M50" s="38">
        <f t="shared" si="33"/>
        <v>4801.8777800000007</v>
      </c>
      <c r="N50" s="38">
        <f t="shared" si="33"/>
        <v>5252.2663900000007</v>
      </c>
    </row>
    <row r="51" spans="2:15" x14ac:dyDescent="0.25">
      <c r="B51" s="28" t="s">
        <v>76</v>
      </c>
      <c r="E51" s="39">
        <f>E30</f>
        <v>0</v>
      </c>
      <c r="F51" s="39">
        <f t="shared" ref="F51:I51" si="34">F30</f>
        <v>3.7892585661853391E-2</v>
      </c>
      <c r="G51" s="39">
        <f t="shared" si="34"/>
        <v>2.7102977528877203E-2</v>
      </c>
      <c r="H51" s="39">
        <f t="shared" si="34"/>
        <v>7.8207521480557385E-4</v>
      </c>
      <c r="I51" s="39">
        <f>I30</f>
        <v>-6.5368611174548208E-3</v>
      </c>
      <c r="J51" s="39">
        <f>AVERAGE(G51,H51,I51)</f>
        <v>7.1160638754093177E-3</v>
      </c>
      <c r="K51" s="39">
        <v>7.0000000000000001E-3</v>
      </c>
      <c r="L51" s="39">
        <v>7.0000000000000001E-3</v>
      </c>
      <c r="M51" s="39">
        <v>7.0000000000000001E-3</v>
      </c>
      <c r="N51" s="39">
        <v>7.0000000000000001E-3</v>
      </c>
      <c r="O51" s="39"/>
    </row>
    <row r="52" spans="2:15" x14ac:dyDescent="0.25">
      <c r="I52" s="40"/>
    </row>
    <row r="53" spans="2:15" x14ac:dyDescent="0.25">
      <c r="B53" s="31" t="s">
        <v>86</v>
      </c>
      <c r="C53" s="32"/>
      <c r="D53" s="32"/>
      <c r="E53" s="32"/>
      <c r="F53" s="32"/>
      <c r="G53" s="32"/>
      <c r="H53" s="32"/>
      <c r="I53" s="33"/>
      <c r="J53" s="41">
        <f>J42+J44-J47-J50</f>
        <v>11650.557972951685</v>
      </c>
      <c r="K53" s="41">
        <f t="shared" ref="K53:N53" si="35">K42+K44-K47-K50</f>
        <v>13235.876900000003</v>
      </c>
      <c r="L53" s="41">
        <f t="shared" si="35"/>
        <v>14763.981112500005</v>
      </c>
      <c r="M53" s="41">
        <f t="shared" si="35"/>
        <v>16292.085325000002</v>
      </c>
      <c r="N53" s="41">
        <f t="shared" si="35"/>
        <v>17820.189537500006</v>
      </c>
    </row>
    <row r="54" spans="2:15" x14ac:dyDescent="0.25">
      <c r="B54" s="31" t="s">
        <v>87</v>
      </c>
      <c r="C54" s="32"/>
      <c r="D54" s="32"/>
      <c r="E54" s="32"/>
      <c r="F54" s="32"/>
      <c r="G54" s="32"/>
      <c r="H54" s="32"/>
      <c r="I54" s="33"/>
      <c r="J54" s="41">
        <f>J53/(1+$D$9)^J31</f>
        <v>10219.787695571653</v>
      </c>
      <c r="K54" s="41">
        <f t="shared" ref="K54:N54" si="36">K53/(1+$D$9)^K31</f>
        <v>10184.577485380118</v>
      </c>
      <c r="L54" s="41">
        <f t="shared" si="36"/>
        <v>9965.2667166820574</v>
      </c>
      <c r="M54" s="41">
        <f t="shared" si="36"/>
        <v>9646.222398164793</v>
      </c>
      <c r="N54" s="41">
        <f t="shared" si="36"/>
        <v>9255.2480387301312</v>
      </c>
    </row>
    <row r="55" spans="2:15" x14ac:dyDescent="0.25">
      <c r="J55" s="42"/>
    </row>
    <row r="56" spans="2:15" x14ac:dyDescent="0.25">
      <c r="B56" t="s">
        <v>88</v>
      </c>
      <c r="J56" s="42"/>
      <c r="N56" s="38">
        <f>(N53*(1+D10))/(D9-D10)</f>
        <v>207902.21127083339</v>
      </c>
    </row>
    <row r="57" spans="2:15" x14ac:dyDescent="0.25">
      <c r="B57" s="5" t="s">
        <v>89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43">
        <f>N56/(1+D9)^N31</f>
        <v>107977.89378518486</v>
      </c>
    </row>
    <row r="58" spans="2:15" x14ac:dyDescent="0.25">
      <c r="B58" s="1" t="s">
        <v>90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44">
        <f>SUM(J54:N54,N57)</f>
        <v>157248.99611971361</v>
      </c>
    </row>
    <row r="59" spans="2:15" x14ac:dyDescent="0.25">
      <c r="B59" s="45" t="s">
        <v>91</v>
      </c>
      <c r="N59" s="56">
        <f>BS!F28</f>
        <v>45806.7</v>
      </c>
    </row>
    <row r="60" spans="2:15" x14ac:dyDescent="0.25">
      <c r="B60" s="46" t="s">
        <v>92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6">
        <f>WACC!D8</f>
        <v>75000</v>
      </c>
    </row>
    <row r="61" spans="2:15" x14ac:dyDescent="0.25">
      <c r="B61" s="1" t="s">
        <v>93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44">
        <f>N58+N59-N60</f>
        <v>128055.6961197136</v>
      </c>
    </row>
    <row r="62" spans="2:15" x14ac:dyDescent="0.25">
      <c r="B62" s="5" t="s">
        <v>94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47">
        <f>BS!F3/2</f>
        <v>383.25</v>
      </c>
    </row>
    <row r="63" spans="2:15" x14ac:dyDescent="0.25">
      <c r="B63" s="1" t="s">
        <v>95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57">
        <f>N61/N62</f>
        <v>334.13097487205113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C200-4129-4F1F-989A-E70DF0B1D6E7}">
  <dimension ref="B2:I22"/>
  <sheetViews>
    <sheetView topLeftCell="A4" workbookViewId="0">
      <selection activeCell="D21" sqref="D21"/>
    </sheetView>
  </sheetViews>
  <sheetFormatPr defaultRowHeight="15" x14ac:dyDescent="0.25"/>
  <sheetData>
    <row r="2" spans="2:9" ht="21" x14ac:dyDescent="0.35">
      <c r="B2" s="4" t="s">
        <v>70</v>
      </c>
      <c r="C2" s="5"/>
      <c r="D2" s="5"/>
      <c r="E2" s="5"/>
      <c r="F2" s="5"/>
      <c r="G2" s="5"/>
      <c r="H2" s="5"/>
      <c r="I2" s="5"/>
    </row>
    <row r="4" spans="2:9" x14ac:dyDescent="0.25">
      <c r="B4" s="10" t="s">
        <v>70</v>
      </c>
      <c r="C4" s="11"/>
      <c r="D4" s="11"/>
      <c r="E4" s="11"/>
      <c r="F4" s="11"/>
      <c r="G4" s="11"/>
      <c r="H4" s="11"/>
      <c r="I4" s="11"/>
    </row>
    <row r="5" spans="2:9" x14ac:dyDescent="0.25">
      <c r="B5" s="1" t="s">
        <v>96</v>
      </c>
    </row>
    <row r="6" spans="2:9" x14ac:dyDescent="0.25">
      <c r="B6" s="1" t="s">
        <v>97</v>
      </c>
    </row>
    <row r="8" spans="2:9" x14ac:dyDescent="0.25">
      <c r="B8" t="s">
        <v>98</v>
      </c>
      <c r="D8" s="35">
        <v>75000</v>
      </c>
    </row>
    <row r="9" spans="2:9" x14ac:dyDescent="0.25">
      <c r="B9" t="s">
        <v>99</v>
      </c>
      <c r="D9" s="48">
        <v>0.2</v>
      </c>
    </row>
    <row r="10" spans="2:9" x14ac:dyDescent="0.25">
      <c r="B10" t="s">
        <v>100</v>
      </c>
      <c r="D10" s="49">
        <v>0.08</v>
      </c>
    </row>
    <row r="11" spans="2:9" x14ac:dyDescent="0.25">
      <c r="B11" t="s">
        <v>101</v>
      </c>
      <c r="D11" s="49">
        <v>0.25</v>
      </c>
    </row>
    <row r="13" spans="2:9" x14ac:dyDescent="0.25">
      <c r="B13" t="s">
        <v>93</v>
      </c>
      <c r="D13" s="35">
        <v>400000</v>
      </c>
    </row>
    <row r="14" spans="2:9" x14ac:dyDescent="0.25">
      <c r="B14" t="s">
        <v>102</v>
      </c>
      <c r="D14" s="50">
        <v>0.8</v>
      </c>
    </row>
    <row r="15" spans="2:9" x14ac:dyDescent="0.25">
      <c r="B15" t="s">
        <v>103</v>
      </c>
      <c r="D15" s="30">
        <v>0.16</v>
      </c>
    </row>
    <row r="16" spans="2:9" x14ac:dyDescent="0.25">
      <c r="B16" t="s">
        <v>104</v>
      </c>
      <c r="D16" s="49">
        <v>7.0000000000000007E-2</v>
      </c>
    </row>
    <row r="17" spans="2:4" x14ac:dyDescent="0.25">
      <c r="B17" t="s">
        <v>105</v>
      </c>
      <c r="D17" s="51">
        <v>1.5</v>
      </c>
    </row>
    <row r="18" spans="2:4" x14ac:dyDescent="0.25">
      <c r="B18" t="s">
        <v>106</v>
      </c>
      <c r="D18" s="49">
        <v>0.06</v>
      </c>
    </row>
    <row r="20" spans="2:4" x14ac:dyDescent="0.25">
      <c r="B20" t="s">
        <v>107</v>
      </c>
      <c r="D20" s="35">
        <f>D8+D13</f>
        <v>475000</v>
      </c>
    </row>
    <row r="22" spans="2:4" x14ac:dyDescent="0.25">
      <c r="B22" s="52" t="s">
        <v>70</v>
      </c>
      <c r="C22" s="53"/>
      <c r="D22" s="54">
        <f>(D9*D10*(1-D11))+(D14*D15)</f>
        <v>0.14000000000000001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EF5E-CCF9-494D-A2B0-1F59AD726EE4}">
  <dimension ref="A1:F16"/>
  <sheetViews>
    <sheetView workbookViewId="0">
      <selection activeCell="I12" sqref="I12"/>
    </sheetView>
  </sheetViews>
  <sheetFormatPr defaultRowHeight="15" x14ac:dyDescent="0.25"/>
  <cols>
    <col min="1" max="1" width="34.28515625" bestFit="1" customWidth="1"/>
    <col min="2" max="6" width="9.8554687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264041.09999999998</v>
      </c>
      <c r="C2">
        <v>252437.9</v>
      </c>
      <c r="D2">
        <v>281507.3</v>
      </c>
      <c r="E2" s="2">
        <v>350600.2</v>
      </c>
      <c r="F2">
        <v>443877.7</v>
      </c>
    </row>
    <row r="3" spans="1:6" x14ac:dyDescent="0.25">
      <c r="A3" t="s">
        <v>8</v>
      </c>
      <c r="B3">
        <v>243080.9</v>
      </c>
      <c r="C3">
        <v>217507.3</v>
      </c>
      <c r="D3">
        <v>253733.5</v>
      </c>
      <c r="E3" s="3">
        <v>314047.3</v>
      </c>
      <c r="F3">
        <v>378389.4</v>
      </c>
    </row>
    <row r="4" spans="1:6" x14ac:dyDescent="0.25">
      <c r="A4" t="s">
        <v>9</v>
      </c>
      <c r="B4">
        <v>17987.099999999999</v>
      </c>
      <c r="C4">
        <v>32287.4</v>
      </c>
      <c r="D4">
        <v>24720.1</v>
      </c>
      <c r="E4" s="2">
        <v>31919.7</v>
      </c>
      <c r="F4">
        <v>59538.3</v>
      </c>
    </row>
    <row r="5" spans="1:6" x14ac:dyDescent="0.25">
      <c r="A5" t="s">
        <v>10</v>
      </c>
      <c r="B5">
        <v>6.8099999999999994E-2</v>
      </c>
      <c r="C5">
        <v>0.12790000000000001</v>
      </c>
      <c r="D5">
        <v>8.7800000000000003E-2</v>
      </c>
      <c r="E5" s="3">
        <v>9.0999999999999998E-2</v>
      </c>
      <c r="F5">
        <v>0.1341</v>
      </c>
    </row>
    <row r="6" spans="1:6" x14ac:dyDescent="0.25">
      <c r="A6" t="s">
        <v>11</v>
      </c>
      <c r="B6">
        <v>271749.7</v>
      </c>
      <c r="C6">
        <v>249151.2</v>
      </c>
      <c r="D6">
        <v>287881.09999999998</v>
      </c>
      <c r="E6" s="2">
        <v>349133.1</v>
      </c>
      <c r="F6">
        <v>415645.3</v>
      </c>
    </row>
    <row r="7" spans="1:6" x14ac:dyDescent="0.25">
      <c r="A7" t="s">
        <v>12</v>
      </c>
      <c r="B7">
        <v>20960.2</v>
      </c>
      <c r="C7">
        <v>34930.6</v>
      </c>
      <c r="D7">
        <v>27773.7</v>
      </c>
      <c r="E7" s="3">
        <v>36552.9</v>
      </c>
      <c r="F7">
        <v>65488.3</v>
      </c>
    </row>
    <row r="8" spans="1:6" x14ac:dyDescent="0.25">
      <c r="A8" t="s">
        <v>13</v>
      </c>
      <c r="B8">
        <v>7.9399999999999998E-2</v>
      </c>
      <c r="C8">
        <v>0.1384</v>
      </c>
      <c r="D8">
        <v>9.8699999999999996E-2</v>
      </c>
      <c r="E8" s="2">
        <v>0.1043</v>
      </c>
      <c r="F8">
        <v>0.14749999999999999</v>
      </c>
    </row>
    <row r="9" spans="1:6" x14ac:dyDescent="0.25">
      <c r="A9" t="s">
        <v>14</v>
      </c>
      <c r="B9">
        <v>7243.3</v>
      </c>
      <c r="C9">
        <v>8097.2</v>
      </c>
      <c r="D9">
        <v>9311.9</v>
      </c>
      <c r="E9" s="3">
        <v>10225.5</v>
      </c>
      <c r="F9">
        <v>9985.7999999999993</v>
      </c>
    </row>
    <row r="10" spans="1:6" x14ac:dyDescent="0.25">
      <c r="A10" t="s">
        <v>15</v>
      </c>
      <c r="B10">
        <v>21425.4</v>
      </c>
      <c r="C10">
        <v>23546.7</v>
      </c>
      <c r="D10">
        <v>24835.7</v>
      </c>
      <c r="E10" s="2">
        <v>24860.400000000001</v>
      </c>
      <c r="F10">
        <v>27270.1</v>
      </c>
    </row>
    <row r="11" spans="1:6" x14ac:dyDescent="0.25">
      <c r="A11" t="s">
        <v>16</v>
      </c>
      <c r="B11">
        <v>-10580</v>
      </c>
      <c r="C11">
        <v>-10474.299999999999</v>
      </c>
      <c r="D11">
        <v>-7003.4</v>
      </c>
      <c r="E11" s="3">
        <v>3057.6</v>
      </c>
      <c r="F11">
        <v>27255.3</v>
      </c>
    </row>
    <row r="12" spans="1:6" x14ac:dyDescent="0.25">
      <c r="A12" t="s">
        <v>17</v>
      </c>
      <c r="B12">
        <v>395.3</v>
      </c>
      <c r="C12">
        <v>2541.9</v>
      </c>
      <c r="D12">
        <v>4231.3</v>
      </c>
      <c r="E12" s="2">
        <v>704.1</v>
      </c>
      <c r="F12">
        <v>-3851.6</v>
      </c>
    </row>
    <row r="13" spans="1:6" x14ac:dyDescent="0.25">
      <c r="A13" t="s">
        <v>18</v>
      </c>
      <c r="B13">
        <v>-10975.2</v>
      </c>
      <c r="C13">
        <v>-13016.1</v>
      </c>
      <c r="D13">
        <v>-11234.7</v>
      </c>
      <c r="E13" s="3">
        <v>2353.5</v>
      </c>
      <c r="F13">
        <v>31107</v>
      </c>
    </row>
    <row r="14" spans="1:6" x14ac:dyDescent="0.25">
      <c r="A14" t="s">
        <v>19</v>
      </c>
      <c r="B14">
        <v>-12070.9</v>
      </c>
      <c r="C14">
        <v>-13451.4</v>
      </c>
      <c r="D14">
        <v>-11441.5</v>
      </c>
      <c r="E14" s="2">
        <v>2414.3000000000002</v>
      </c>
      <c r="F14">
        <v>31399.1</v>
      </c>
    </row>
    <row r="15" spans="1:6" x14ac:dyDescent="0.25">
      <c r="A15" t="s">
        <v>20</v>
      </c>
      <c r="B15">
        <v>-4.2000000000000003E-2</v>
      </c>
      <c r="C15">
        <v>-5.21E-2</v>
      </c>
      <c r="D15">
        <v>-4.0300000000000002E-2</v>
      </c>
      <c r="E15" s="3">
        <v>6.7999999999999996E-3</v>
      </c>
      <c r="F15">
        <v>7.0999999999999994E-2</v>
      </c>
    </row>
    <row r="16" spans="1:6" x14ac:dyDescent="0.25">
      <c r="A16" t="s">
        <v>21</v>
      </c>
      <c r="B16">
        <v>-32.799999999999997</v>
      </c>
      <c r="C16">
        <v>-36.5</v>
      </c>
      <c r="D16">
        <v>-31.1</v>
      </c>
      <c r="E16" s="2">
        <v>6.6</v>
      </c>
      <c r="F16">
        <v>85.3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2012-EAB6-4BAE-ADDB-868EC0379BB3}">
  <dimension ref="A1:K35"/>
  <sheetViews>
    <sheetView workbookViewId="0">
      <selection activeCell="F3" sqref="F3"/>
    </sheetView>
  </sheetViews>
  <sheetFormatPr defaultRowHeight="15" x14ac:dyDescent="0.25"/>
  <cols>
    <col min="1" max="1" width="48.85546875" bestFit="1" customWidth="1"/>
    <col min="2" max="2" width="9.85546875" bestFit="1" customWidth="1"/>
    <col min="4" max="6" width="9.85546875" bestFit="1" customWidth="1"/>
    <col min="11" max="11" width="9.85546875" bestFit="1" customWidth="1"/>
  </cols>
  <sheetData>
    <row r="1" spans="1:11" x14ac:dyDescent="0.25">
      <c r="A1" t="s">
        <v>0</v>
      </c>
      <c r="B1" t="s">
        <v>1</v>
      </c>
      <c r="C1" t="s">
        <v>22</v>
      </c>
      <c r="D1" t="s">
        <v>3</v>
      </c>
      <c r="E1" t="s">
        <v>4</v>
      </c>
      <c r="F1" t="s">
        <v>109</v>
      </c>
      <c r="K1" t="s">
        <v>2</v>
      </c>
    </row>
    <row r="2" spans="1:11" x14ac:dyDescent="0.25">
      <c r="A2" t="s">
        <v>23</v>
      </c>
      <c r="B2">
        <v>63078.5</v>
      </c>
      <c r="C2">
        <v>55246.7</v>
      </c>
      <c r="D2">
        <v>44554.9</v>
      </c>
      <c r="E2">
        <v>47819.3</v>
      </c>
      <c r="F2" s="2">
        <v>87464.2</v>
      </c>
    </row>
    <row r="3" spans="1:11" x14ac:dyDescent="0.25">
      <c r="A3" t="s">
        <v>24</v>
      </c>
      <c r="B3">
        <v>719.5</v>
      </c>
      <c r="C3">
        <v>765.8</v>
      </c>
      <c r="D3">
        <v>765.9</v>
      </c>
      <c r="E3">
        <v>766</v>
      </c>
      <c r="F3" s="3">
        <v>766.5</v>
      </c>
    </row>
    <row r="4" spans="1:11" x14ac:dyDescent="0.25">
      <c r="A4" t="s">
        <v>25</v>
      </c>
      <c r="B4">
        <v>719.5</v>
      </c>
      <c r="C4">
        <v>765.8</v>
      </c>
      <c r="D4">
        <v>765.9</v>
      </c>
      <c r="E4">
        <v>3266</v>
      </c>
      <c r="F4" s="2">
        <v>3314.4</v>
      </c>
    </row>
    <row r="5" spans="1:11" x14ac:dyDescent="0.25">
      <c r="A5" t="s">
        <v>26</v>
      </c>
      <c r="B5">
        <v>61491.5</v>
      </c>
      <c r="C5">
        <v>54480.9</v>
      </c>
      <c r="D5">
        <v>43789</v>
      </c>
      <c r="E5">
        <v>44553.3</v>
      </c>
      <c r="F5" s="3">
        <v>84149.8</v>
      </c>
    </row>
    <row r="6" spans="1:11" x14ac:dyDescent="0.25">
      <c r="A6" t="s">
        <v>27</v>
      </c>
      <c r="B6">
        <v>61491.5</v>
      </c>
      <c r="C6">
        <v>54480.9</v>
      </c>
      <c r="D6">
        <v>43789</v>
      </c>
      <c r="E6">
        <v>44553.3</v>
      </c>
      <c r="F6" s="2">
        <v>84149.8</v>
      </c>
    </row>
    <row r="7" spans="1:11" x14ac:dyDescent="0.25">
      <c r="A7" t="s">
        <v>28</v>
      </c>
      <c r="B7">
        <v>813.6</v>
      </c>
      <c r="C7">
        <v>1573.5</v>
      </c>
      <c r="D7">
        <v>4271.1000000000004</v>
      </c>
      <c r="E7">
        <v>7277.7</v>
      </c>
      <c r="F7" s="3">
        <v>8175.9</v>
      </c>
    </row>
    <row r="8" spans="1:11" x14ac:dyDescent="0.25">
      <c r="A8" t="s">
        <v>29</v>
      </c>
      <c r="B8">
        <v>117775.1</v>
      </c>
      <c r="C8">
        <v>128556.4</v>
      </c>
      <c r="D8">
        <v>131104.79999999999</v>
      </c>
      <c r="E8">
        <v>125954.5</v>
      </c>
      <c r="F8" s="2">
        <v>101405.1</v>
      </c>
    </row>
    <row r="9" spans="1:11" x14ac:dyDescent="0.25">
      <c r="A9" t="s">
        <v>30</v>
      </c>
      <c r="B9">
        <v>1941.9</v>
      </c>
      <c r="C9">
        <v>1555.9</v>
      </c>
      <c r="D9">
        <v>1558.4</v>
      </c>
      <c r="E9">
        <v>1407</v>
      </c>
      <c r="F9" s="3">
        <v>1143.4000000000001</v>
      </c>
    </row>
    <row r="10" spans="1:11" x14ac:dyDescent="0.25">
      <c r="A10" t="s">
        <v>31</v>
      </c>
      <c r="B10">
        <v>17780.900000000001</v>
      </c>
      <c r="C10">
        <v>20281</v>
      </c>
      <c r="D10">
        <v>18831.3</v>
      </c>
      <c r="E10">
        <v>22655.3</v>
      </c>
      <c r="F10" s="2">
        <v>21576.6</v>
      </c>
    </row>
    <row r="11" spans="1:11" x14ac:dyDescent="0.25">
      <c r="A11" t="s">
        <v>32</v>
      </c>
      <c r="B11">
        <v>140454.1</v>
      </c>
      <c r="C11">
        <v>157749.20000000001</v>
      </c>
      <c r="D11">
        <v>150682.79999999999</v>
      </c>
      <c r="E11">
        <v>155027.29999999999</v>
      </c>
      <c r="F11" s="3">
        <v>173617</v>
      </c>
    </row>
    <row r="12" spans="1:11" x14ac:dyDescent="0.25">
      <c r="A12" t="s">
        <v>33</v>
      </c>
      <c r="B12">
        <v>63626.9</v>
      </c>
      <c r="C12">
        <v>68179.8</v>
      </c>
      <c r="D12">
        <v>59970.400000000001</v>
      </c>
      <c r="E12">
        <v>72055.8</v>
      </c>
      <c r="F12" s="2">
        <v>88043</v>
      </c>
    </row>
    <row r="13" spans="1:11" x14ac:dyDescent="0.25">
      <c r="A13" t="s">
        <v>34</v>
      </c>
      <c r="B13">
        <v>50135.6</v>
      </c>
      <c r="C13">
        <v>55058.5</v>
      </c>
      <c r="D13">
        <v>38028.300000000003</v>
      </c>
      <c r="E13">
        <v>34196.199999999997</v>
      </c>
      <c r="F13" s="3">
        <v>36931</v>
      </c>
    </row>
    <row r="14" spans="1:11" x14ac:dyDescent="0.25">
      <c r="A14" t="s">
        <v>35</v>
      </c>
      <c r="B14">
        <v>10329</v>
      </c>
      <c r="C14">
        <v>12848</v>
      </c>
      <c r="D14">
        <v>10766.3</v>
      </c>
      <c r="E14">
        <v>11810.7</v>
      </c>
      <c r="F14" s="2">
        <v>12291.5</v>
      </c>
    </row>
    <row r="15" spans="1:11" x14ac:dyDescent="0.25">
      <c r="A15" t="s">
        <v>36</v>
      </c>
      <c r="B15">
        <v>322121.3</v>
      </c>
      <c r="C15">
        <v>343125.8</v>
      </c>
      <c r="D15">
        <v>330619.90000000002</v>
      </c>
      <c r="E15">
        <v>336081.4</v>
      </c>
      <c r="F15" s="3">
        <v>370664</v>
      </c>
    </row>
    <row r="16" spans="1:11" x14ac:dyDescent="0.25">
      <c r="A16" t="s">
        <v>37</v>
      </c>
      <c r="B16">
        <v>161952.4</v>
      </c>
      <c r="C16">
        <v>158867.79999999999</v>
      </c>
      <c r="D16">
        <v>148299.4</v>
      </c>
      <c r="E16">
        <v>145513.70000000001</v>
      </c>
      <c r="F16" s="2">
        <v>156123.6</v>
      </c>
    </row>
    <row r="17" spans="1:6" x14ac:dyDescent="0.25">
      <c r="A17" t="s">
        <v>38</v>
      </c>
      <c r="B17">
        <v>84158.2</v>
      </c>
      <c r="C17">
        <v>86130.7</v>
      </c>
      <c r="D17">
        <v>87586.2</v>
      </c>
      <c r="E17">
        <v>84442.5</v>
      </c>
      <c r="F17" s="3">
        <v>81184.2</v>
      </c>
    </row>
    <row r="18" spans="1:6" x14ac:dyDescent="0.25">
      <c r="A18" t="s">
        <v>39</v>
      </c>
      <c r="B18">
        <v>42171.9</v>
      </c>
      <c r="C18">
        <v>51773.2</v>
      </c>
      <c r="D18">
        <v>50462.1</v>
      </c>
      <c r="E18">
        <v>46796.7</v>
      </c>
      <c r="F18" s="2">
        <v>39241.1</v>
      </c>
    </row>
    <row r="19" spans="1:6" x14ac:dyDescent="0.25">
      <c r="A19" t="s">
        <v>40</v>
      </c>
      <c r="B19">
        <v>8599.6</v>
      </c>
      <c r="C19">
        <v>8377.1</v>
      </c>
      <c r="D19">
        <v>3529</v>
      </c>
      <c r="E19">
        <v>5219.8999999999996</v>
      </c>
      <c r="F19" s="3">
        <v>10937.3</v>
      </c>
    </row>
    <row r="20" spans="1:6" x14ac:dyDescent="0.25">
      <c r="A20" t="s">
        <v>41</v>
      </c>
      <c r="B20">
        <v>202534</v>
      </c>
      <c r="C20">
        <v>196238.2</v>
      </c>
      <c r="D20">
        <v>183642.4</v>
      </c>
      <c r="E20">
        <v>184552.9</v>
      </c>
      <c r="F20" s="2">
        <v>202271.8</v>
      </c>
    </row>
    <row r="21" spans="1:6" x14ac:dyDescent="0.25">
      <c r="A21" t="s">
        <v>42</v>
      </c>
      <c r="B21">
        <v>5446.9</v>
      </c>
      <c r="C21">
        <v>5569.1</v>
      </c>
      <c r="D21">
        <v>6670.3</v>
      </c>
      <c r="E21">
        <v>7540.9</v>
      </c>
      <c r="F21" s="3">
        <v>8717.7999999999993</v>
      </c>
    </row>
    <row r="22" spans="1:6" x14ac:dyDescent="0.25">
      <c r="A22" t="s">
        <v>43</v>
      </c>
      <c r="B22">
        <v>5457.9</v>
      </c>
      <c r="C22">
        <v>4520.3999999999996</v>
      </c>
      <c r="D22">
        <v>3870.9</v>
      </c>
      <c r="E22">
        <v>5184.7</v>
      </c>
      <c r="F22" s="2">
        <v>13099</v>
      </c>
    </row>
    <row r="23" spans="1:6" x14ac:dyDescent="0.25">
      <c r="A23" t="s">
        <v>44</v>
      </c>
      <c r="B23">
        <v>782.8</v>
      </c>
      <c r="C23">
        <v>1204.5999999999999</v>
      </c>
      <c r="D23">
        <v>843.4</v>
      </c>
      <c r="E23">
        <v>870.7</v>
      </c>
      <c r="F23" s="3">
        <v>441.6</v>
      </c>
    </row>
    <row r="24" spans="1:6" x14ac:dyDescent="0.25">
      <c r="A24" t="s">
        <v>45</v>
      </c>
      <c r="B24">
        <v>28117</v>
      </c>
      <c r="C24">
        <v>25272.6</v>
      </c>
      <c r="D24">
        <v>23151.3</v>
      </c>
      <c r="E24">
        <v>24602.5</v>
      </c>
      <c r="F24" s="2">
        <v>23029.5</v>
      </c>
    </row>
    <row r="25" spans="1:6" x14ac:dyDescent="0.25">
      <c r="A25" t="s">
        <v>46</v>
      </c>
      <c r="B25">
        <v>119587.3</v>
      </c>
      <c r="C25">
        <v>146887.6</v>
      </c>
      <c r="D25">
        <v>146977.5</v>
      </c>
      <c r="E25">
        <v>151528.5</v>
      </c>
      <c r="F25" s="3">
        <v>168392.2</v>
      </c>
    </row>
    <row r="26" spans="1:6" x14ac:dyDescent="0.25">
      <c r="A26" t="s">
        <v>47</v>
      </c>
      <c r="B26">
        <v>10861.5</v>
      </c>
      <c r="C26">
        <v>19051.2</v>
      </c>
      <c r="D26">
        <v>22709.200000000001</v>
      </c>
      <c r="E26">
        <v>18838.3</v>
      </c>
      <c r="F26" s="2">
        <v>14253.2</v>
      </c>
    </row>
    <row r="27" spans="1:6" x14ac:dyDescent="0.25">
      <c r="A27" t="s">
        <v>48</v>
      </c>
      <c r="B27">
        <v>11172.7</v>
      </c>
      <c r="C27">
        <v>12679.1</v>
      </c>
      <c r="D27">
        <v>12442.1</v>
      </c>
      <c r="E27">
        <v>15738</v>
      </c>
      <c r="F27" s="3">
        <v>16951.8</v>
      </c>
    </row>
    <row r="28" spans="1:6" x14ac:dyDescent="0.25">
      <c r="A28" t="s">
        <v>49</v>
      </c>
      <c r="B28">
        <v>33727</v>
      </c>
      <c r="C28">
        <v>46792.5</v>
      </c>
      <c r="D28">
        <v>40669.199999999997</v>
      </c>
      <c r="E28">
        <v>37015.599999999999</v>
      </c>
      <c r="F28" s="2">
        <v>45806.7</v>
      </c>
    </row>
    <row r="29" spans="1:6" x14ac:dyDescent="0.25">
      <c r="A29" t="s">
        <v>50</v>
      </c>
      <c r="B29">
        <v>935.3</v>
      </c>
      <c r="C29">
        <v>1749.4</v>
      </c>
      <c r="D29">
        <v>1671.9</v>
      </c>
      <c r="E29">
        <v>2302.8000000000002</v>
      </c>
      <c r="F29" s="3">
        <v>196.7</v>
      </c>
    </row>
    <row r="30" spans="1:6" x14ac:dyDescent="0.25">
      <c r="A30" t="s">
        <v>51</v>
      </c>
      <c r="B30">
        <v>25433.9</v>
      </c>
      <c r="C30">
        <v>30526.9</v>
      </c>
      <c r="D30">
        <v>34244.699999999997</v>
      </c>
      <c r="E30">
        <v>36878.400000000001</v>
      </c>
      <c r="F30" s="2">
        <v>43395.4</v>
      </c>
    </row>
    <row r="31" spans="1:6" x14ac:dyDescent="0.25">
      <c r="A31" t="s">
        <v>52</v>
      </c>
      <c r="B31">
        <v>322121.3</v>
      </c>
      <c r="C31">
        <v>343125.8</v>
      </c>
      <c r="D31">
        <v>330619.90000000002</v>
      </c>
      <c r="E31">
        <v>336081.4</v>
      </c>
      <c r="F31" s="3">
        <v>370664</v>
      </c>
    </row>
    <row r="32" spans="1:6" x14ac:dyDescent="0.25">
      <c r="A32" t="s">
        <v>53</v>
      </c>
      <c r="B32">
        <v>15590.8</v>
      </c>
      <c r="C32">
        <v>17773.8</v>
      </c>
      <c r="D32">
        <v>18470.5</v>
      </c>
      <c r="E32">
        <v>39477.300000000003</v>
      </c>
      <c r="F32" s="2">
        <v>43055.3</v>
      </c>
    </row>
    <row r="33" spans="1:6" x14ac:dyDescent="0.25">
      <c r="A33" t="s">
        <v>54</v>
      </c>
      <c r="B33">
        <v>111.3</v>
      </c>
      <c r="C33">
        <v>111.3</v>
      </c>
      <c r="D33">
        <v>111.3</v>
      </c>
      <c r="E33">
        <v>111.3</v>
      </c>
      <c r="F33" s="3">
        <v>111.3</v>
      </c>
    </row>
    <row r="34" spans="1:6" x14ac:dyDescent="0.25">
      <c r="A34" t="s">
        <v>55</v>
      </c>
      <c r="B34">
        <v>711.6</v>
      </c>
      <c r="C34">
        <v>868.9</v>
      </c>
      <c r="D34">
        <v>975.4</v>
      </c>
      <c r="E34">
        <v>1131.5</v>
      </c>
      <c r="F34" s="2">
        <v>1342.2</v>
      </c>
    </row>
    <row r="35" spans="1:6" x14ac:dyDescent="0.25">
      <c r="A35" t="s">
        <v>56</v>
      </c>
      <c r="B35">
        <v>10861.5</v>
      </c>
      <c r="C35">
        <v>19051.2</v>
      </c>
      <c r="D35">
        <v>22023.599999999999</v>
      </c>
      <c r="E35">
        <v>18703.900000000001</v>
      </c>
      <c r="F35" s="3">
        <v>13988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8BE4-35A9-455D-A30C-070237CB5545}">
  <dimension ref="A1:F10"/>
  <sheetViews>
    <sheetView workbookViewId="0">
      <selection activeCell="F2" sqref="F2:F10"/>
    </sheetView>
  </sheetViews>
  <sheetFormatPr defaultRowHeight="15" x14ac:dyDescent="0.25"/>
  <cols>
    <col min="1" max="1" width="35.7109375" bestFit="1" customWidth="1"/>
    <col min="2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57</v>
      </c>
      <c r="B2">
        <v>26632.9</v>
      </c>
      <c r="C2">
        <v>29000.5</v>
      </c>
      <c r="D2">
        <v>14282.8</v>
      </c>
      <c r="E2" s="2">
        <v>35388</v>
      </c>
      <c r="F2">
        <v>67915.399999999994</v>
      </c>
    </row>
    <row r="3" spans="1:6" x14ac:dyDescent="0.25">
      <c r="A3" t="s">
        <v>16</v>
      </c>
      <c r="B3">
        <v>-10580</v>
      </c>
      <c r="C3">
        <v>-10474.299999999999</v>
      </c>
      <c r="D3">
        <v>-7003.4</v>
      </c>
      <c r="E3" s="3">
        <v>3057.6</v>
      </c>
      <c r="F3">
        <v>27255.3</v>
      </c>
    </row>
    <row r="4" spans="1:6" x14ac:dyDescent="0.25">
      <c r="A4" t="s">
        <v>14</v>
      </c>
      <c r="B4">
        <v>7243.3</v>
      </c>
      <c r="C4">
        <v>8097.2</v>
      </c>
      <c r="D4">
        <v>9311.9</v>
      </c>
      <c r="E4" s="2">
        <v>10225.5</v>
      </c>
      <c r="F4">
        <v>9985.7999999999993</v>
      </c>
    </row>
    <row r="5" spans="1:6" x14ac:dyDescent="0.25">
      <c r="A5" t="s">
        <v>17</v>
      </c>
      <c r="B5">
        <v>395.3</v>
      </c>
      <c r="C5">
        <v>2541.9</v>
      </c>
      <c r="D5">
        <v>4231.3</v>
      </c>
      <c r="E5" s="3">
        <v>704.1</v>
      </c>
      <c r="F5">
        <v>-3851.6</v>
      </c>
    </row>
    <row r="6" spans="1:6" x14ac:dyDescent="0.25">
      <c r="A6" t="s">
        <v>58</v>
      </c>
      <c r="B6">
        <v>-34170.199999999997</v>
      </c>
      <c r="C6">
        <v>-26126.3</v>
      </c>
      <c r="D6">
        <v>-4775.1000000000004</v>
      </c>
      <c r="E6" s="2">
        <v>-16804.2</v>
      </c>
      <c r="F6">
        <v>-22828.1</v>
      </c>
    </row>
    <row r="7" spans="1:6" x14ac:dyDescent="0.25">
      <c r="A7" t="s">
        <v>59</v>
      </c>
      <c r="B7">
        <v>3389.6</v>
      </c>
      <c r="C7">
        <v>9904.2000000000007</v>
      </c>
      <c r="D7">
        <v>-3380.2</v>
      </c>
      <c r="E7" s="3">
        <v>-26242.9</v>
      </c>
      <c r="F7">
        <v>-37006</v>
      </c>
    </row>
    <row r="8" spans="1:6" x14ac:dyDescent="0.25">
      <c r="A8" t="s">
        <v>60</v>
      </c>
      <c r="B8">
        <v>-4147.7</v>
      </c>
      <c r="C8">
        <v>12778.5</v>
      </c>
      <c r="D8">
        <v>6127.5</v>
      </c>
      <c r="E8" s="2">
        <v>-7659.1</v>
      </c>
      <c r="F8">
        <v>8081.3</v>
      </c>
    </row>
    <row r="9" spans="1:6" x14ac:dyDescent="0.25">
      <c r="A9" t="s">
        <v>61</v>
      </c>
      <c r="B9">
        <v>21559.8</v>
      </c>
      <c r="C9">
        <v>18467.8</v>
      </c>
      <c r="D9">
        <v>31700</v>
      </c>
      <c r="E9" s="3">
        <v>38159</v>
      </c>
      <c r="F9">
        <v>31887</v>
      </c>
    </row>
    <row r="10" spans="1:6" x14ac:dyDescent="0.25">
      <c r="A10" t="s">
        <v>62</v>
      </c>
      <c r="B10">
        <v>18467.8</v>
      </c>
      <c r="C10">
        <v>31700</v>
      </c>
      <c r="D10">
        <v>38159</v>
      </c>
      <c r="E10" s="2">
        <v>31887</v>
      </c>
      <c r="F10">
        <v>40014.800000000003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38AB-D2BB-42B5-801C-4C106506A3EE}">
  <dimension ref="A5:H17"/>
  <sheetViews>
    <sheetView workbookViewId="0">
      <selection activeCell="D5" sqref="D5"/>
    </sheetView>
  </sheetViews>
  <sheetFormatPr defaultRowHeight="15" x14ac:dyDescent="0.25"/>
  <sheetData>
    <row r="5" spans="1:8" x14ac:dyDescent="0.25">
      <c r="B5">
        <f>BS!B16</f>
        <v>161952.4</v>
      </c>
      <c r="C5">
        <f>BS!C16</f>
        <v>158867.79999999999</v>
      </c>
      <c r="D5">
        <f>BS!D16</f>
        <v>148299.4</v>
      </c>
      <c r="E5">
        <f>BS!E16</f>
        <v>145513.70000000001</v>
      </c>
      <c r="F5">
        <f>BS!F16</f>
        <v>156123.6</v>
      </c>
    </row>
    <row r="6" spans="1:8" x14ac:dyDescent="0.25">
      <c r="C6">
        <f>B5-C5</f>
        <v>3084.6000000000058</v>
      </c>
      <c r="D6">
        <f t="shared" ref="D6:F6" si="0">C5-D5</f>
        <v>10568.399999999994</v>
      </c>
      <c r="E6">
        <f t="shared" si="0"/>
        <v>2785.6999999999825</v>
      </c>
      <c r="F6">
        <f t="shared" si="0"/>
        <v>-10609.899999999994</v>
      </c>
    </row>
    <row r="11" spans="1:8" x14ac:dyDescent="0.25">
      <c r="B11" t="s">
        <v>110</v>
      </c>
    </row>
    <row r="13" spans="1:8" x14ac:dyDescent="0.25">
      <c r="A13" t="s">
        <v>112</v>
      </c>
      <c r="D13">
        <f>BS!B25</f>
        <v>119587.3</v>
      </c>
      <c r="E13">
        <f>BS!C25</f>
        <v>146887.6</v>
      </c>
      <c r="F13">
        <f>BS!D25</f>
        <v>146977.5</v>
      </c>
      <c r="G13">
        <f>BS!E25</f>
        <v>151528.5</v>
      </c>
      <c r="H13">
        <f>BS!F25</f>
        <v>168392.2</v>
      </c>
    </row>
    <row r="14" spans="1:8" x14ac:dyDescent="0.25">
      <c r="A14" t="s">
        <v>111</v>
      </c>
      <c r="D14">
        <f>BS!B11</f>
        <v>140454.1</v>
      </c>
      <c r="E14">
        <f>BS!C11</f>
        <v>157749.20000000001</v>
      </c>
      <c r="F14">
        <f>BS!D11</f>
        <v>150682.79999999999</v>
      </c>
      <c r="G14">
        <f>BS!E11</f>
        <v>155027.29999999999</v>
      </c>
      <c r="H14">
        <f>BS!F11</f>
        <v>173617</v>
      </c>
    </row>
    <row r="16" spans="1:8" x14ac:dyDescent="0.25">
      <c r="D16">
        <f>D13-D14</f>
        <v>-20866.800000000003</v>
      </c>
      <c r="E16">
        <f t="shared" ref="E16:H16" si="1">E13-E14</f>
        <v>-10861.600000000006</v>
      </c>
      <c r="F16">
        <f t="shared" si="1"/>
        <v>-3705.2999999999884</v>
      </c>
      <c r="G16">
        <f t="shared" si="1"/>
        <v>-3498.7999999999884</v>
      </c>
      <c r="H16">
        <f t="shared" si="1"/>
        <v>-5224.7999999999884</v>
      </c>
    </row>
    <row r="17" spans="5:8" x14ac:dyDescent="0.25">
      <c r="E17">
        <f>E16-D16</f>
        <v>10005.199999999997</v>
      </c>
      <c r="F17">
        <f t="shared" ref="F17:H17" si="2">F16-E16</f>
        <v>7156.3000000000175</v>
      </c>
      <c r="G17">
        <f t="shared" si="2"/>
        <v>206.5</v>
      </c>
      <c r="H17">
        <f t="shared" si="2"/>
        <v>-1726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F573-67BB-43F0-86B9-BE72205EE17D}">
  <dimension ref="A2:K9"/>
  <sheetViews>
    <sheetView workbookViewId="0">
      <selection activeCell="F5" sqref="F5"/>
    </sheetView>
  </sheetViews>
  <sheetFormatPr defaultRowHeight="15" x14ac:dyDescent="0.25"/>
  <cols>
    <col min="1" max="1" width="11.42578125" bestFit="1" customWidth="1"/>
  </cols>
  <sheetData>
    <row r="2" spans="1:11" x14ac:dyDescent="0.25">
      <c r="B2" t="s">
        <v>114</v>
      </c>
    </row>
    <row r="4" spans="1:11" x14ac:dyDescent="0.25">
      <c r="A4" t="s">
        <v>115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</row>
    <row r="5" spans="1:11" x14ac:dyDescent="0.25">
      <c r="A5" t="s">
        <v>116</v>
      </c>
      <c r="C5" s="35">
        <f>DCF!F13</f>
        <v>252437.9</v>
      </c>
      <c r="D5" s="35">
        <f>DCF!G13</f>
        <v>281507.3</v>
      </c>
      <c r="E5" s="35">
        <f>DCF!H13</f>
        <v>350600.2</v>
      </c>
      <c r="F5" s="35">
        <f>DCF!I13</f>
        <v>443877.7</v>
      </c>
      <c r="G5" s="35">
        <f>$B$9*G4+$D$9</f>
        <v>492958.85</v>
      </c>
      <c r="H5" s="35">
        <f t="shared" ref="H5:K5" si="0">$B$9*H4+$D$9</f>
        <v>557300.07999999996</v>
      </c>
      <c r="I5" s="35">
        <f t="shared" si="0"/>
        <v>621641.30999999994</v>
      </c>
      <c r="J5" s="35">
        <f t="shared" si="0"/>
        <v>685982.54</v>
      </c>
      <c r="K5" s="35">
        <f t="shared" si="0"/>
        <v>750323.77</v>
      </c>
    </row>
    <row r="8" spans="1:11" x14ac:dyDescent="0.25">
      <c r="B8" t="s">
        <v>117</v>
      </c>
      <c r="D8" t="s">
        <v>118</v>
      </c>
    </row>
    <row r="9" spans="1:11" x14ac:dyDescent="0.25">
      <c r="B9">
        <f>SLOPE(C5:F5,C4:F4)</f>
        <v>64341.23</v>
      </c>
      <c r="D9">
        <f>INTERCEPT(C5:F5,C4:F4)</f>
        <v>106911.46999999994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F A A B Q S w M E F A A C A A g A G w x Q W u 4 S F e 2 l A A A A 9 w A A A B I A H A B D b 2 5 m a W c v U G F j a 2 F n Z S 5 4 b W w g o h g A K K A U A A A A A A A A A A A A A A A A A A A A A A A A A A A A h Y + x D o I w G I R f h X S n L T A I p J T B V R I T o n F t S o V G + D G 0 W N 7 N w U f y F c Q o 6 u Z 4 d 9 8 l d / f r j e V T 1 3 o X N R j d Q 4 Y C T J G n Q P a V h j p D o z 3 6 M c o 5 2 w p 5 E r X y Z h h M O h m d o c b a c 0 q I c w 6 7 C P d D T U J K A 3 I o N q V s V C d 8 D c Y K k A p 9 W t X / F u J s / x r D Q x x E C Q 7 i V Y I p I 4 v L C g 1 f I p w H P 9 M f k 6 3 H 1 o 6 D 4 g r 8 X c n I I h l 5 n + A P U E s D B B Q A A g A I A B s M U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D F B a X k O 7 P f 0 B A A D v C w A A E w A c A E Z v c m 1 1 b G F z L 1 N l Y 3 R p b 2 4 x L m 0 g o h g A K K A U A A A A A A A A A A A A A A A A A A A A A A A A A A A A 7 V R d a 9 s w F H 0 P 5 D 8 I 7 2 E O m F D H S T 9 W 8 j C c l o 2 t r C w d e 0 h C U Z y 7 2 l S W h i S X h J D / P j l y a i 2 W 9 s V K X u I X o X N k 3 3 t 0 j 4 + A R G a M o r F e w 8 t 2 q 9 0 S K e a w Q H d 4 T q C H h o i A b L e Q e s a s 4 A k o 5 G q Z A O l + Z f x x z t i j f 5 0 R 6 M a M S q B S + F 7 8 Z v p F A B f T W 4 7 l q h A p E h l 9 S K c j l h R 5 e W Q 6 i q / R z a f R 1 c f u k o i l 1 w k Q L Q g J k O Q F d A J d T J e / 3 y 6 q p K 6 9 n r y X k A 8 9 T X r B h 4 w u q p 0 3 2 0 x G W O J Z 9 f 4 r L 0 4 x f S i F r L 6 D p z 6 x P d a 9 4 5 i K b 4 z n M S N F T k t S + G a x Y L 3 2 N B d 6 q i X F I w l L u Q n Q D u 8 5 8 G i H Y 7 o y 4 L 4 d H t j h U z t 8 Z o f P 7 f C F H Q 5 P H H j o w J + V 0 i K f A z e p a I / a d J 4 v / j P k 7 E l d v D 4 p 6 r v X R A X 7 e x M K z O s 1 5 B m S T B l m 6 2 a 7 d X 9 G R 7 e c 5 U y q S u 8 A L 5 Q 1 6 5 Y q p s L 9 Z v M B m l R n 3 h I y T j D B X A x L o 8 4 6 V q e F v 7 G a p Z n S c T e Y o 9 e 9 f s N Z G r f N Q T O h k z l x M e G F k z l v D L X d y q h d Z i M r o s N m R f S r r I j + c 1 Z E x 6 w 4 Z s U x K / 4 l K 8 Y p g A w H B w u L q v 7 9 d m 2 k R c X u 4 m K 7 b c b F H 3 v k p 2 J / a 4 + X c E c j d w 5 r m p o 5 c z K n T m b g Z P r u M H I y 7 g B 7 i f y q x 2 G M w F B s S D Q 0 G S K a C V j G m P k P 7 v d 2 + Q N Q S w E C L Q A U A A I A C A A b D F B a 7 h I V 7 a U A A A D 3 A A A A E g A A A A A A A A A A A A A A A A A A A A A A Q 2 9 u Z m l n L 1 B h Y 2 t h Z 2 U u e G 1 s U E s B A i 0 A F A A C A A g A G w x Q W g / K 6 a u k A A A A 6 Q A A A B M A A A A A A A A A A A A A A A A A 8 Q A A A F t D b 2 5 0 Z W 5 0 X 1 R 5 c G V z X S 5 4 b W x Q S w E C L Q A U A A I A C A A b D F B a X k O 7 P f 0 B A A D v C w A A E w A A A A A A A A A A A A A A A A D i A Q A A R m 9 y b X V s Y X M v U 2 V j d G l v b j E u b V B L B Q Y A A A A A A w A D A M I A A A A s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J g A A A A A A A C I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D d m Z j c z O C 0 x Z j I z L T R h N z E t Y m Q w Z i 0 2 Y T N l M T Q 0 Y m R i Y W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l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V Q x O T o x M T o y O S 4 1 M T E w N j E y W i I g L z 4 8 R W 5 0 c n k g V H l w Z T 0 i R m l s b E N v b H V t b l R 5 c G V z I i B W Y W x 1 Z T 0 i c 0 J n V U Z C U V V G I i A v P j x F b n R y e S B U e X B l P S J G a W x s Q 2 9 s d W 1 u T m F t Z X M i I F Z h b H V l P S J z W y Z x d W 9 0 O 0 1 h c i B c d T A w M j c y N C Z x d W 9 0 O y w m c X V v d D t N Y X I g X H U w M D I 3 M j I m c X V v d D s s J n F 1 b 3 Q 7 T W F y I F x 1 M D A y N z I x J n F 1 b 3 Q 7 L C Z x d W 9 0 O 0 1 h c i B c d T A w M j c y M C Z x d W 9 0 O y w m c X V v d D t N Y X I g X H U w M D I 3 M T k m c X V v d D s s J n F 1 b 3 Q 7 T W F y I F x 1 M D A y N z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T E u e 0 1 h c i B c d T A w M j c y N C w w f S Z x d W 9 0 O y w m c X V v d D t T Z W N 0 a W 9 u M S 9 U Y W J s Z T I v Q 2 h h b m d l Z C B U e X B l M S 5 7 T W F y I F x 1 M D A y N z I y L D F 9 J n F 1 b 3 Q 7 L C Z x d W 9 0 O 1 N l Y 3 R p b 2 4 x L 1 R h Y m x l M i 9 D a G F u Z 2 V k I F R 5 c G U x L n t N Y X I g X H U w M D I 3 M j E s M n 0 m c X V v d D s s J n F 1 b 3 Q 7 U 2 V j d G l v b j E v V G F i b G U y L 0 N o Y W 5 n Z W Q g V H l w Z T E u e 0 1 h c i B c d T A w M j c y M C w z f S Z x d W 9 0 O y w m c X V v d D t T Z W N 0 a W 9 u M S 9 U Y W J s Z T I v Q 2 h h b m d l Z C B U e X B l M S 5 7 T W F y I F x 1 M D A y N z E 5 L D R 9 J n F 1 b 3 Q 7 L C Z x d W 9 0 O 1 N l Y 3 R p b 2 4 x L 1 R h Y m x l M i 9 D a G F u Z 2 V k I F R 5 c G U x L n t N Y X I g X H U w M D I 3 M T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y L 0 N o Y W 5 n Z W Q g V H l w Z T E u e 0 1 h c i B c d T A w M j c y N C w w f S Z x d W 9 0 O y w m c X V v d D t T Z W N 0 a W 9 u M S 9 U Y W J s Z T I v Q 2 h h b m d l Z C B U e X B l M S 5 7 T W F y I F x 1 M D A y N z I y L D F 9 J n F 1 b 3 Q 7 L C Z x d W 9 0 O 1 N l Y 3 R p b 2 4 x L 1 R h Y m x l M i 9 D a G F u Z 2 V k I F R 5 c G U x L n t N Y X I g X H U w M D I 3 M j E s M n 0 m c X V v d D s s J n F 1 b 3 Q 7 U 2 V j d G l v b j E v V G F i b G U y L 0 N o Y W 5 n Z W Q g V H l w Z T E u e 0 1 h c i B c d T A w M j c y M C w z f S Z x d W 9 0 O y w m c X V v d D t T Z W N 0 a W 9 u M S 9 U Y W J s Z T I v Q 2 h h b m d l Z C B U e X B l M S 5 7 T W F y I F x 1 M D A y N z E 5 L D R 9 J n F 1 b 3 Q 7 L C Z x d W 9 0 O 1 N l Y 3 R p b 2 4 x L 1 R h Y m x l M i 9 D a G F u Z 2 V k I F R 5 c G U x L n t N Y X I g X H U w M D I 3 M T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V G F i b G U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W Y 1 N 2 Y w O C 0 x N W Y z L T Q 5 Y T Y t O D l h Y i 0 2 Z j M 1 Y m Q z N D A w M G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1 V D E 5 O j E y O j U x L j Y z M D U y N z d a I i A v P j x F b n R y e S B U e X B l P S J G a W x s Q 2 9 s d W 1 u V H l w Z X M i I F Z h b H V l P S J z Q m d V R k J R V U Y i I C 8 + P E V u d H J 5 I F R 5 c G U 9 I k Z p b G x D b 2 x 1 b W 5 O Y W 1 l c y I g V m F s d W U 9 I n N b J n F 1 b 3 Q 7 T W F y I F x 1 M D A y N z I 0 J n F 1 b 3 Q 7 L C Z x d W 9 0 O 0 1 h c i B c d T A w M j c y M i Z x d W 9 0 O y w m c X V v d D t N Y X I g X H U w M D I 3 M j E m c X V v d D s s J n F 1 b 3 Q 7 T W F y I F x 1 M D A y N z I w J n F 1 b 3 Q 7 L C Z x d W 9 0 O 0 1 h c i B c d T A w M j c x O S Z x d W 9 0 O y w m c X V v d D t N Y X I g X H U w M D I 3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T W F y I F x 1 M D A y N z I 0 L D B 9 J n F 1 b 3 Q 7 L C Z x d W 9 0 O 1 N l Y 3 R p b 2 4 x L 1 R h Y m x l M y 9 D a G F u Z 2 V k I F R 5 c G U x L n t N Y X I g X H U w M D I 3 M j I s M X 0 m c X V v d D s s J n F 1 b 3 Q 7 U 2 V j d G l v b j E v V G F i b G U z L 0 N o Y W 5 n Z W Q g V H l w Z T E u e 0 1 h c i B c d T A w M j c y M S w y f S Z x d W 9 0 O y w m c X V v d D t T Z W N 0 a W 9 u M S 9 U Y W J s Z T M v Q 2 h h b m d l Z C B U e X B l M S 5 7 T W F y I F x 1 M D A y N z I w L D N 9 J n F 1 b 3 Q 7 L C Z x d W 9 0 O 1 N l Y 3 R p b 2 4 x L 1 R h Y m x l M y 9 D a G F u Z 2 V k I F R 5 c G U x L n t N Y X I g X H U w M D I 3 M T k s N H 0 m c X V v d D s s J n F 1 b 3 Q 7 U 2 V j d G l v b j E v V G F i b G U z L 0 N o Y W 5 n Z W Q g V H l w Z T E u e 0 1 h c i B c d T A w M j c x O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M v Q 2 h h b m d l Z C B U e X B l M S 5 7 T W F y I F x 1 M D A y N z I 0 L D B 9 J n F 1 b 3 Q 7 L C Z x d W 9 0 O 1 N l Y 3 R p b 2 4 x L 1 R h Y m x l M y 9 D a G F u Z 2 V k I F R 5 c G U x L n t N Y X I g X H U w M D I 3 M j I s M X 0 m c X V v d D s s J n F 1 b 3 Q 7 U 2 V j d G l v b j E v V G F i b G U z L 0 N o Y W 5 n Z W Q g V H l w Z T E u e 0 1 h c i B c d T A w M j c y M S w y f S Z x d W 9 0 O y w m c X V v d D t T Z W N 0 a W 9 u M S 9 U Y W J s Z T M v Q 2 h h b m d l Z C B U e X B l M S 5 7 T W F y I F x 1 M D A y N z I w L D N 9 J n F 1 b 3 Q 7 L C Z x d W 9 0 O 1 N l Y 3 R p b 2 4 x L 1 R h Y m x l M y 9 D a G F u Z 2 V k I F R 5 c G U x L n t N Y X I g X H U w M D I 3 M T k s N H 0 m c X V v d D s s J n F 1 b 3 Q 7 U 2 V j d G l v b j E v V G F i b G U z L 0 N o Y W 5 n Z W Q g V H l w Z T E u e 0 1 h c i B c d T A w M j c x O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Y W J s Z T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T d i Z T M w Y y 0 w Y W F m L T Q 3 O D k t O W U 3 Z S 1 l Y m E 1 N D g z Y T M w Y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T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V Q y M D o w M j o x O S 4 y M D E y M D M 3 W i I g L z 4 8 R W 5 0 c n k g V H l w Z T 0 i R m l s b E N v b H V t b l R 5 c G V z I i B W Y W x 1 Z T 0 i c 0 J n V U Z C U V V G I i A v P j x F b n R y e S B U e X B l P S J G a W x s Q 2 9 s d W 1 u T m F t Z X M i I F Z h b H V l P S J z W y Z x d W 9 0 O 0 1 h c i B c d T A w M j c y N C Z x d W 9 0 O y w m c X V v d D t N Y X I g X H U w M D I 3 M j E m c X V v d D s s J n F 1 b 3 Q 7 T W F y I F x 1 M D A y N z I w J n F 1 b 3 Q 7 L C Z x d W 9 0 O 0 1 h c i B c d T A w M j c x O S Z x d W 9 0 O y w m c X V v d D t N Y X I g X H U w M D I 3 M T g m c X V v d D s s J n F 1 b 3 Q 7 T W F y I F x 1 M D A y N z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N S 9 D a G F u Z 2 V k I F R 5 c G U u e 0 1 h c i B c d T A w M j c y N C w w f S Z x d W 9 0 O y w m c X V v d D t T Z W N 0 a W 9 u M S 9 T a G V l d D E 1 L 0 N o Y W 5 n Z W Q g V H l w Z S 5 7 T W F y I F x 1 M D A y N z I x L D N 9 J n F 1 b 3 Q 7 L C Z x d W 9 0 O 1 N l Y 3 R p b 2 4 x L 1 N o Z W V 0 M T U v Q 2 h h b m d l Z C B U e X B l L n t N Y X I g X H U w M D I 3 M j A s N H 0 m c X V v d D s s J n F 1 b 3 Q 7 U 2 V j d G l v b j E v U 2 h l Z X Q x N S 9 D a G F u Z 2 V k I F R 5 c G U u e 0 1 h c i B c d T A w M j c x O S w 1 f S Z x d W 9 0 O y w m c X V v d D t T Z W N 0 a W 9 u M S 9 T a G V l d D E 1 L 0 N o Y W 5 n Z W Q g V H l w Z S 5 7 T W F y I F x 1 M D A y N z E 4 L D Z 9 J n F 1 b 3 Q 7 L C Z x d W 9 0 O 1 N l Y 3 R p b 2 4 x L 1 N o Z W V 0 M T U v Q 2 h h b m d l Z C B U e X B l L n t N Y X I g X H U w M D I 3 M T c s N 3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N S 9 D a G F u Z 2 V k I F R 5 c G U u e 0 1 h c i B c d T A w M j c y N C w w f S Z x d W 9 0 O y w m c X V v d D t T Z W N 0 a W 9 u M S 9 T a G V l d D E 1 L 0 N o Y W 5 n Z W Q g V H l w Z S 5 7 T W F y I F x 1 M D A y N z I x L D N 9 J n F 1 b 3 Q 7 L C Z x d W 9 0 O 1 N l Y 3 R p b 2 4 x L 1 N o Z W V 0 M T U v Q 2 h h b m d l Z C B U e X B l L n t N Y X I g X H U w M D I 3 M j A s N H 0 m c X V v d D s s J n F 1 b 3 Q 7 U 2 V j d G l v b j E v U 2 h l Z X Q x N S 9 D a G F u Z 2 V k I F R 5 c G U u e 0 1 h c i B c d T A w M j c x O S w 1 f S Z x d W 9 0 O y w m c X V v d D t T Z W N 0 a W 9 u M S 9 T a G V l d D E 1 L 0 N o Y W 5 n Z W Q g V H l w Z S 5 7 T W F y I F x 1 M D A y N z E 4 L D Z 9 J n F 1 b 3 Q 7 L C Z x d W 9 0 O 1 N l Y 3 R p b 2 4 x L 1 N o Z W V 0 M T U v Q 2 h h b m d l Z C B U e X B l L n t N Y X I g X H U w M D I 3 M T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N S 9 T a G V l d D E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N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0 P t 6 e M T j S q c R w c W N M X I C A A A A A A I A A A A A A B B m A A A A A Q A A I A A A A L 9 c 3 y f H g / C v o k s S i + h p A K r E / / E N h b 2 q D p S D o n y + B d E + A A A A A A 6 A A A A A A g A A I A A A A J 1 I 2 d z K 6 5 i B O e Z K b N p i e a K M s 8 v C A e a u o m D O J C J u v 1 C K U A A A A E 0 i J + + P u C 5 x 5 p l 0 g E V a Q n s Y g m 2 f f G 1 E X X E / g v 1 D u 9 C Y e T v 6 y u S U v 1 W 9 N z F W n K V N W F f 0 D c q b b B 1 s P Z 6 q 0 d N Q Z g 4 s Z U j x K a U P Y G e d O m H K n g M Z Q A A A A P Z n B p c + G p v 9 m Q u d D Y + r r O z H L + o y N d o 3 G Q n C Z r W + r 8 7 Z / O i 9 5 x i P H a b Z I l r d t R J + 4 q v Y M K E q W 3 Y H S k j m o r h d 4 j c = < / D a t a M a s h u p > 
</file>

<file path=customXml/itemProps1.xml><?xml version="1.0" encoding="utf-8"?>
<ds:datastoreItem xmlns:ds="http://schemas.openxmlformats.org/officeDocument/2006/customXml" ds:itemID="{9A2A84EA-BB4C-4534-A976-46E2EE10C8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DCF</vt:lpstr>
      <vt:lpstr>WACC</vt:lpstr>
      <vt:lpstr>IS</vt:lpstr>
      <vt:lpstr>BS</vt:lpstr>
      <vt:lpstr>CFS</vt:lpstr>
      <vt:lpstr>CAPX</vt:lpstr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 Singh</dc:creator>
  <cp:lastModifiedBy>Pratyush Singh</cp:lastModifiedBy>
  <dcterms:created xsi:type="dcterms:W3CDTF">2025-02-15T18:58:13Z</dcterms:created>
  <dcterms:modified xsi:type="dcterms:W3CDTF">2025-06-18T18:02:31Z</dcterms:modified>
</cp:coreProperties>
</file>