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ush singh\Documents\"/>
    </mc:Choice>
  </mc:AlternateContent>
  <xr:revisionPtr revIDLastSave="0" documentId="13_ncr:1_{13B7A962-A00D-4CEF-9D3A-B1BC7A335B29}" xr6:coauthVersionLast="47" xr6:coauthVersionMax="47" xr10:uidLastSave="{00000000-0000-0000-0000-000000000000}"/>
  <bookViews>
    <workbookView xWindow="-120" yWindow="-120" windowWidth="20730" windowHeight="11160" xr2:uid="{AC6C53F5-AC2A-423D-B779-45EC237BFDF2}"/>
  </bookViews>
  <sheets>
    <sheet name="DCF" sheetId="14" r:id="rId1"/>
    <sheet name="WACC" sheetId="8" r:id="rId2"/>
    <sheet name="Shares" sheetId="9" r:id="rId3"/>
    <sheet name="IS" sheetId="17" r:id="rId4"/>
    <sheet name="BS" sheetId="5" r:id="rId5"/>
    <sheet name="CFS" sheetId="6" r:id="rId6"/>
    <sheet name="CAPX" sheetId="18" r:id="rId7"/>
    <sheet name="DCF ADV" sheetId="13" r:id="rId8"/>
  </sheets>
  <externalReferences>
    <externalReference r:id="rId9"/>
    <externalReference r:id="rId10"/>
    <externalReference r:id="rId11"/>
  </externalReferences>
  <definedNames>
    <definedName name="ExternalData_1" localSheetId="4" hidden="1">BS!$A$1:$F$36</definedName>
    <definedName name="ExternalData_1" localSheetId="5" hidden="1">CFS!$A$1:$F$10</definedName>
    <definedName name="ExternalData_1" localSheetId="3" hidden="1">IS!$A$1:$F$17</definedName>
    <definedName name="tgr">'[1]Operating Model'!$L$11</definedName>
    <definedName name="wacc">'[1]Operating Model'!$L$10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4" l="1"/>
  <c r="G30" i="14"/>
  <c r="H30" i="14"/>
  <c r="I30" i="14"/>
  <c r="E30" i="14"/>
  <c r="F27" i="14"/>
  <c r="G27" i="14"/>
  <c r="H27" i="14"/>
  <c r="I27" i="14"/>
  <c r="E27" i="14"/>
  <c r="F24" i="14"/>
  <c r="G24" i="14"/>
  <c r="H24" i="14"/>
  <c r="I24" i="14"/>
  <c r="E24" i="14"/>
  <c r="F20" i="14"/>
  <c r="G20" i="14"/>
  <c r="H20" i="14"/>
  <c r="I20" i="14"/>
  <c r="E20" i="14"/>
  <c r="F17" i="14"/>
  <c r="G17" i="14"/>
  <c r="H17" i="14"/>
  <c r="I17" i="14"/>
  <c r="E17" i="14"/>
  <c r="G14" i="14"/>
  <c r="H14" i="14"/>
  <c r="I14" i="14"/>
  <c r="F14" i="14"/>
  <c r="G26" i="14" l="1"/>
  <c r="H26" i="14"/>
  <c r="I26" i="14"/>
  <c r="G29" i="14"/>
  <c r="H29" i="14"/>
  <c r="I29" i="14"/>
  <c r="F29" i="14"/>
  <c r="F17" i="18"/>
  <c r="G17" i="18"/>
  <c r="H17" i="18"/>
  <c r="E17" i="18"/>
  <c r="E16" i="18"/>
  <c r="F16" i="18"/>
  <c r="G16" i="18"/>
  <c r="H16" i="18"/>
  <c r="D16" i="18"/>
  <c r="E13" i="18"/>
  <c r="F13" i="18"/>
  <c r="G13" i="18"/>
  <c r="H13" i="18"/>
  <c r="D13" i="18"/>
  <c r="E14" i="18"/>
  <c r="F14" i="18"/>
  <c r="G14" i="18"/>
  <c r="H14" i="18"/>
  <c r="D14" i="18"/>
  <c r="F26" i="14"/>
  <c r="D6" i="18"/>
  <c r="E6" i="18"/>
  <c r="F6" i="18"/>
  <c r="C6" i="18"/>
  <c r="C5" i="18"/>
  <c r="D5" i="18"/>
  <c r="E5" i="18"/>
  <c r="F5" i="18"/>
  <c r="B5" i="18"/>
  <c r="F23" i="14"/>
  <c r="G23" i="14"/>
  <c r="H23" i="14"/>
  <c r="I23" i="14"/>
  <c r="E23" i="14"/>
  <c r="F19" i="14"/>
  <c r="G19" i="14"/>
  <c r="H19" i="14"/>
  <c r="I19" i="14"/>
  <c r="E19" i="14"/>
  <c r="F16" i="14"/>
  <c r="G16" i="14"/>
  <c r="H16" i="14"/>
  <c r="I16" i="14"/>
  <c r="E16" i="14"/>
  <c r="F13" i="14"/>
  <c r="G13" i="14"/>
  <c r="H13" i="14"/>
  <c r="I13" i="14"/>
  <c r="E13" i="14"/>
  <c r="F22" i="14" l="1"/>
  <c r="G22" i="14"/>
  <c r="H22" i="14"/>
  <c r="I22" i="14"/>
  <c r="J22" i="14"/>
  <c r="K22" i="14"/>
  <c r="L22" i="14"/>
  <c r="M22" i="14"/>
  <c r="N22" i="14"/>
  <c r="E22" i="14"/>
  <c r="G12" i="14"/>
  <c r="H12" i="14"/>
  <c r="I12" i="14" s="1"/>
  <c r="J12" i="14" s="1"/>
  <c r="K12" i="14" s="1"/>
  <c r="L12" i="14" s="1"/>
  <c r="M12" i="14" s="1"/>
  <c r="N12" i="14" s="1"/>
  <c r="F12" i="14"/>
  <c r="G32" i="14" l="1"/>
  <c r="E32" i="14"/>
  <c r="F32" i="14"/>
  <c r="K11" i="14"/>
  <c r="L11" i="14" s="1"/>
  <c r="M11" i="14" s="1"/>
  <c r="N11" i="14" s="1"/>
  <c r="D9" i="14"/>
  <c r="Q162" i="13"/>
  <c r="Q158" i="13"/>
  <c r="L151" i="13"/>
  <c r="L152" i="13" s="1"/>
  <c r="D126" i="13"/>
  <c r="E126" i="13" s="1"/>
  <c r="F126" i="13" s="1"/>
  <c r="G126" i="13" s="1"/>
  <c r="H126" i="13" s="1"/>
  <c r="I126" i="13" s="1"/>
  <c r="J126" i="13" s="1"/>
  <c r="K126" i="13" s="1"/>
  <c r="L126" i="13" s="1"/>
  <c r="M126" i="13" s="1"/>
  <c r="N126" i="13" s="1"/>
  <c r="O126" i="13" s="1"/>
  <c r="P126" i="13" s="1"/>
  <c r="Q126" i="13" s="1"/>
  <c r="L120" i="13"/>
  <c r="L145" i="13" s="1"/>
  <c r="K120" i="13"/>
  <c r="J120" i="13"/>
  <c r="I120" i="13"/>
  <c r="H120" i="13"/>
  <c r="G120" i="13"/>
  <c r="F120" i="13"/>
  <c r="E120" i="13"/>
  <c r="D120" i="13"/>
  <c r="C120" i="13"/>
  <c r="J103" i="13"/>
  <c r="K103" i="13" s="1"/>
  <c r="L103" i="13" s="1"/>
  <c r="M103" i="13" s="1"/>
  <c r="N103" i="13" s="1"/>
  <c r="O103" i="13" s="1"/>
  <c r="P103" i="13" s="1"/>
  <c r="Q103" i="13" s="1"/>
  <c r="E103" i="13"/>
  <c r="F103" i="13" s="1"/>
  <c r="G103" i="13" s="1"/>
  <c r="H103" i="13" s="1"/>
  <c r="I103" i="13" s="1"/>
  <c r="D103" i="13"/>
  <c r="L100" i="13"/>
  <c r="L142" i="13" s="1"/>
  <c r="K100" i="13"/>
  <c r="J100" i="13"/>
  <c r="J91" i="13" s="1"/>
  <c r="I100" i="13"/>
  <c r="I86" i="13" s="1"/>
  <c r="H100" i="13"/>
  <c r="G100" i="13"/>
  <c r="F100" i="13"/>
  <c r="E100" i="13"/>
  <c r="D100" i="13"/>
  <c r="C100" i="13"/>
  <c r="K98" i="13"/>
  <c r="K93" i="13" s="1"/>
  <c r="J98" i="13"/>
  <c r="I98" i="13"/>
  <c r="J93" i="13"/>
  <c r="I93" i="13"/>
  <c r="K88" i="13"/>
  <c r="J88" i="13"/>
  <c r="J86" i="13" s="1"/>
  <c r="I88" i="13"/>
  <c r="K83" i="13"/>
  <c r="J83" i="13"/>
  <c r="I83" i="13"/>
  <c r="J79" i="13"/>
  <c r="K79" i="13" s="1"/>
  <c r="L79" i="13" s="1"/>
  <c r="M79" i="13" s="1"/>
  <c r="N79" i="13" s="1"/>
  <c r="O79" i="13" s="1"/>
  <c r="P79" i="13" s="1"/>
  <c r="Q79" i="13" s="1"/>
  <c r="E79" i="13"/>
  <c r="F79" i="13" s="1"/>
  <c r="G79" i="13" s="1"/>
  <c r="H79" i="13" s="1"/>
  <c r="I79" i="13" s="1"/>
  <c r="D79" i="13"/>
  <c r="L75" i="13"/>
  <c r="L139" i="13" s="1"/>
  <c r="K75" i="13"/>
  <c r="K66" i="13" s="1"/>
  <c r="J75" i="13"/>
  <c r="J56" i="13" s="1"/>
  <c r="I75" i="13"/>
  <c r="I77" i="13" s="1"/>
  <c r="H75" i="13"/>
  <c r="H77" i="13" s="1"/>
  <c r="G75" i="13"/>
  <c r="F75" i="13"/>
  <c r="E75" i="13"/>
  <c r="E77" i="13" s="1"/>
  <c r="D75" i="13"/>
  <c r="D77" i="13" s="1"/>
  <c r="C75" i="13"/>
  <c r="K73" i="13"/>
  <c r="J73" i="13"/>
  <c r="I73" i="13"/>
  <c r="K68" i="13"/>
  <c r="J68" i="13"/>
  <c r="J66" i="13" s="1"/>
  <c r="I68" i="13"/>
  <c r="I66" i="13" s="1"/>
  <c r="K63" i="13"/>
  <c r="J63" i="13"/>
  <c r="J61" i="13" s="1"/>
  <c r="I63" i="13"/>
  <c r="K58" i="13"/>
  <c r="J58" i="13"/>
  <c r="I58" i="13"/>
  <c r="F54" i="13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E54" i="13"/>
  <c r="D54" i="13"/>
  <c r="L51" i="13"/>
  <c r="L52" i="13" s="1"/>
  <c r="K51" i="13"/>
  <c r="K52" i="13" s="1"/>
  <c r="J51" i="13"/>
  <c r="J52" i="13" s="1"/>
  <c r="I51" i="13"/>
  <c r="I52" i="13" s="1"/>
  <c r="H51" i="13"/>
  <c r="H52" i="13" s="1"/>
  <c r="G51" i="13"/>
  <c r="G52" i="13" s="1"/>
  <c r="F51" i="13"/>
  <c r="F52" i="13" s="1"/>
  <c r="E51" i="13"/>
  <c r="E52" i="13" s="1"/>
  <c r="D51" i="13"/>
  <c r="D52" i="13" s="1"/>
  <c r="C51" i="13"/>
  <c r="C52" i="13" s="1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C18" i="13" s="1"/>
  <c r="D15" i="13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L10" i="13"/>
  <c r="K61" i="13" l="1"/>
  <c r="K64" i="13" s="1"/>
  <c r="F29" i="13"/>
  <c r="F19" i="13" s="1"/>
  <c r="N18" i="13"/>
  <c r="D43" i="13"/>
  <c r="H43" i="13"/>
  <c r="L43" i="13"/>
  <c r="P43" i="13"/>
  <c r="I35" i="13"/>
  <c r="K56" i="13"/>
  <c r="K71" i="13" s="1"/>
  <c r="H39" i="13"/>
  <c r="L39" i="13"/>
  <c r="D22" i="13"/>
  <c r="I69" i="13"/>
  <c r="F18" i="13"/>
  <c r="N29" i="13"/>
  <c r="N128" i="13" s="1"/>
  <c r="K86" i="13"/>
  <c r="K89" i="13" s="1"/>
  <c r="K46" i="13"/>
  <c r="K44" i="13" s="1"/>
  <c r="F39" i="13"/>
  <c r="J39" i="13"/>
  <c r="N39" i="13"/>
  <c r="O39" i="13" s="1"/>
  <c r="P39" i="13" s="1"/>
  <c r="Q39" i="13" s="1"/>
  <c r="Q38" i="13" s="1"/>
  <c r="K91" i="13"/>
  <c r="K94" i="13" s="1"/>
  <c r="F23" i="13"/>
  <c r="L22" i="13"/>
  <c r="I39" i="13"/>
  <c r="G35" i="13"/>
  <c r="J71" i="13"/>
  <c r="I81" i="13"/>
  <c r="I84" i="13" s="1"/>
  <c r="Q18" i="13"/>
  <c r="F26" i="13"/>
  <c r="N26" i="13"/>
  <c r="I56" i="13"/>
  <c r="I59" i="13" s="1"/>
  <c r="J81" i="13"/>
  <c r="J96" i="13" s="1"/>
  <c r="E39" i="13"/>
  <c r="M39" i="13"/>
  <c r="M22" i="13"/>
  <c r="C35" i="13"/>
  <c r="E46" i="13"/>
  <c r="E44" i="13" s="1"/>
  <c r="I43" i="13"/>
  <c r="M43" i="13"/>
  <c r="Q43" i="13"/>
  <c r="J77" i="13"/>
  <c r="J94" i="13"/>
  <c r="F35" i="13"/>
  <c r="J35" i="13"/>
  <c r="N35" i="13"/>
  <c r="O35" i="13" s="1"/>
  <c r="P35" i="13" s="1"/>
  <c r="E22" i="13"/>
  <c r="H26" i="13"/>
  <c r="P26" i="13"/>
  <c r="J29" i="13"/>
  <c r="J19" i="13" s="1"/>
  <c r="J107" i="13" s="1"/>
  <c r="J105" i="13" s="1"/>
  <c r="J106" i="13" s="1"/>
  <c r="I46" i="13"/>
  <c r="I40" i="13" s="1"/>
  <c r="M46" i="13"/>
  <c r="M40" i="13" s="1"/>
  <c r="I61" i="13"/>
  <c r="I91" i="13"/>
  <c r="I94" i="13" s="1"/>
  <c r="H32" i="14"/>
  <c r="H29" i="13"/>
  <c r="H19" i="13" s="1"/>
  <c r="H18" i="13"/>
  <c r="K69" i="13"/>
  <c r="K26" i="13"/>
  <c r="I36" i="13"/>
  <c r="M29" i="13"/>
  <c r="M19" i="13" s="1"/>
  <c r="C22" i="13"/>
  <c r="G22" i="13"/>
  <c r="K22" i="13"/>
  <c r="O22" i="13"/>
  <c r="L26" i="13"/>
  <c r="M35" i="13"/>
  <c r="O43" i="13"/>
  <c r="M52" i="13"/>
  <c r="M135" i="13" s="1"/>
  <c r="D29" i="13"/>
  <c r="D19" i="13" s="1"/>
  <c r="D18" i="13"/>
  <c r="L29" i="13"/>
  <c r="L18" i="13"/>
  <c r="P29" i="13"/>
  <c r="P23" i="13" s="1"/>
  <c r="P18" i="13"/>
  <c r="C26" i="13"/>
  <c r="I29" i="13"/>
  <c r="I19" i="13" s="1"/>
  <c r="I107" i="13" s="1"/>
  <c r="I105" i="13" s="1"/>
  <c r="I18" i="13"/>
  <c r="J18" i="13"/>
  <c r="H23" i="13"/>
  <c r="H22" i="13"/>
  <c r="P22" i="13"/>
  <c r="C39" i="13"/>
  <c r="G39" i="13"/>
  <c r="K39" i="13"/>
  <c r="F43" i="13"/>
  <c r="J43" i="13"/>
  <c r="N43" i="13"/>
  <c r="C43" i="13"/>
  <c r="G46" i="13"/>
  <c r="G40" i="13" s="1"/>
  <c r="F76" i="13"/>
  <c r="G26" i="13"/>
  <c r="O26" i="13"/>
  <c r="M47" i="13"/>
  <c r="M132" i="13" s="1"/>
  <c r="K43" i="13"/>
  <c r="E29" i="13"/>
  <c r="E19" i="13" s="1"/>
  <c r="Q29" i="13"/>
  <c r="Q19" i="13" s="1"/>
  <c r="C29" i="13"/>
  <c r="C27" i="13" s="1"/>
  <c r="G29" i="13"/>
  <c r="G23" i="13" s="1"/>
  <c r="K29" i="13"/>
  <c r="K76" i="13" s="1"/>
  <c r="O29" i="13"/>
  <c r="E18" i="13"/>
  <c r="M18" i="13"/>
  <c r="I22" i="13"/>
  <c r="Q22" i="13"/>
  <c r="D26" i="13"/>
  <c r="D35" i="13"/>
  <c r="D46" i="13"/>
  <c r="D36" i="13" s="1"/>
  <c r="H35" i="13"/>
  <c r="H46" i="13"/>
  <c r="L35" i="13"/>
  <c r="E35" i="13"/>
  <c r="D39" i="13"/>
  <c r="G43" i="13"/>
  <c r="L46" i="13"/>
  <c r="L36" i="13" s="1"/>
  <c r="G18" i="13"/>
  <c r="K18" i="13"/>
  <c r="O18" i="13"/>
  <c r="F22" i="13"/>
  <c r="J22" i="13"/>
  <c r="N22" i="13"/>
  <c r="E26" i="13"/>
  <c r="I26" i="13"/>
  <c r="M26" i="13"/>
  <c r="Q26" i="13"/>
  <c r="F27" i="13"/>
  <c r="N27" i="13"/>
  <c r="K36" i="13"/>
  <c r="I44" i="13"/>
  <c r="C46" i="13"/>
  <c r="C36" i="13" s="1"/>
  <c r="J59" i="13"/>
  <c r="J69" i="13"/>
  <c r="C77" i="13"/>
  <c r="G77" i="13"/>
  <c r="K77" i="13"/>
  <c r="J26" i="13"/>
  <c r="F46" i="13"/>
  <c r="J46" i="13"/>
  <c r="J44" i="13" s="1"/>
  <c r="N46" i="13"/>
  <c r="N40" i="13" s="1"/>
  <c r="K35" i="13"/>
  <c r="E43" i="13"/>
  <c r="K59" i="13"/>
  <c r="J64" i="13"/>
  <c r="F122" i="13"/>
  <c r="F121" i="13"/>
  <c r="L135" i="13"/>
  <c r="F77" i="13"/>
  <c r="I89" i="13"/>
  <c r="L77" i="13"/>
  <c r="K81" i="13"/>
  <c r="J89" i="13"/>
  <c r="F101" i="13"/>
  <c r="M152" i="13"/>
  <c r="N152" i="13" s="1"/>
  <c r="O152" i="13" s="1"/>
  <c r="P152" i="13" s="1"/>
  <c r="Q152" i="13" s="1"/>
  <c r="E40" i="13" l="1"/>
  <c r="J30" i="13"/>
  <c r="J27" i="13"/>
  <c r="J115" i="13" s="1"/>
  <c r="J113" i="13" s="1"/>
  <c r="J114" i="13" s="1"/>
  <c r="K40" i="13"/>
  <c r="P38" i="13"/>
  <c r="I121" i="13"/>
  <c r="C76" i="13"/>
  <c r="K122" i="13"/>
  <c r="E36" i="13"/>
  <c r="I47" i="13"/>
  <c r="L69" i="13"/>
  <c r="L66" i="13" s="1"/>
  <c r="O38" i="13"/>
  <c r="G36" i="13"/>
  <c r="N19" i="13"/>
  <c r="D23" i="13"/>
  <c r="G122" i="13"/>
  <c r="N30" i="13"/>
  <c r="N129" i="13" s="1"/>
  <c r="N23" i="13"/>
  <c r="M131" i="13"/>
  <c r="M134" i="13" s="1"/>
  <c r="M137" i="13" s="1"/>
  <c r="K72" i="13"/>
  <c r="M44" i="13"/>
  <c r="M36" i="13"/>
  <c r="I71" i="13"/>
  <c r="I72" i="13" s="1"/>
  <c r="J97" i="13"/>
  <c r="J121" i="13"/>
  <c r="J72" i="13"/>
  <c r="F30" i="13"/>
  <c r="L59" i="13"/>
  <c r="M59" i="13" s="1"/>
  <c r="J101" i="13"/>
  <c r="J84" i="13"/>
  <c r="J122" i="13"/>
  <c r="I64" i="13"/>
  <c r="L64" i="13" s="1"/>
  <c r="M64" i="13" s="1"/>
  <c r="O34" i="13"/>
  <c r="I96" i="13"/>
  <c r="I97" i="13" s="1"/>
  <c r="E121" i="13"/>
  <c r="E122" i="13"/>
  <c r="J40" i="13"/>
  <c r="J76" i="13"/>
  <c r="J23" i="13"/>
  <c r="J111" i="13" s="1"/>
  <c r="J109" i="13" s="1"/>
  <c r="J110" i="13" s="1"/>
  <c r="I32" i="14"/>
  <c r="O128" i="13"/>
  <c r="O30" i="13"/>
  <c r="O129" i="13" s="1"/>
  <c r="O19" i="13"/>
  <c r="L121" i="13"/>
  <c r="L128" i="13"/>
  <c r="L122" i="13"/>
  <c r="L101" i="13"/>
  <c r="L27" i="13"/>
  <c r="L76" i="13"/>
  <c r="L30" i="13"/>
  <c r="L129" i="13" s="1"/>
  <c r="K96" i="13"/>
  <c r="K97" i="13" s="1"/>
  <c r="K84" i="13"/>
  <c r="N52" i="13"/>
  <c r="O52" i="13" s="1"/>
  <c r="O135" i="13" s="1"/>
  <c r="C47" i="13"/>
  <c r="C44" i="13"/>
  <c r="K121" i="13"/>
  <c r="K101" i="13"/>
  <c r="K19" i="13"/>
  <c r="K107" i="13" s="1"/>
  <c r="K105" i="13" s="1"/>
  <c r="K30" i="13"/>
  <c r="Q128" i="13"/>
  <c r="Q23" i="13"/>
  <c r="Q30" i="13"/>
  <c r="Q129" i="13" s="1"/>
  <c r="Q27" i="13"/>
  <c r="G47" i="13"/>
  <c r="G44" i="13"/>
  <c r="K47" i="13"/>
  <c r="P128" i="13"/>
  <c r="P27" i="13"/>
  <c r="P30" i="13"/>
  <c r="P129" i="13" s="1"/>
  <c r="O23" i="13"/>
  <c r="F47" i="13"/>
  <c r="F36" i="13"/>
  <c r="O27" i="13"/>
  <c r="H47" i="13"/>
  <c r="H40" i="13"/>
  <c r="H44" i="13"/>
  <c r="D47" i="13"/>
  <c r="D40" i="13"/>
  <c r="D44" i="13"/>
  <c r="G121" i="13"/>
  <c r="G30" i="13"/>
  <c r="G19" i="13"/>
  <c r="G27" i="13"/>
  <c r="C40" i="13"/>
  <c r="L23" i="13"/>
  <c r="I106" i="13"/>
  <c r="L19" i="13"/>
  <c r="M128" i="13"/>
  <c r="M23" i="13"/>
  <c r="M30" i="13"/>
  <c r="M129" i="13" s="1"/>
  <c r="M27" i="13"/>
  <c r="K27" i="13"/>
  <c r="K115" i="13" s="1"/>
  <c r="K113" i="13" s="1"/>
  <c r="K114" i="13" s="1"/>
  <c r="L94" i="13"/>
  <c r="N47" i="13"/>
  <c r="N132" i="13" s="1"/>
  <c r="N131" i="13"/>
  <c r="N36" i="13"/>
  <c r="L89" i="13"/>
  <c r="J47" i="13"/>
  <c r="J36" i="13"/>
  <c r="G101" i="13"/>
  <c r="G76" i="13"/>
  <c r="F40" i="13"/>
  <c r="L131" i="13"/>
  <c r="L47" i="13"/>
  <c r="L132" i="13" s="1"/>
  <c r="L40" i="13"/>
  <c r="L44" i="13"/>
  <c r="H36" i="13"/>
  <c r="C121" i="13"/>
  <c r="C101" i="13"/>
  <c r="C30" i="13"/>
  <c r="C19" i="13"/>
  <c r="E101" i="13"/>
  <c r="E76" i="13"/>
  <c r="E30" i="13"/>
  <c r="E27" i="13"/>
  <c r="E23" i="13"/>
  <c r="N44" i="13"/>
  <c r="F44" i="13"/>
  <c r="Q35" i="13"/>
  <c r="Q34" i="13" s="1"/>
  <c r="P34" i="13"/>
  <c r="I101" i="13"/>
  <c r="I76" i="13"/>
  <c r="I23" i="13"/>
  <c r="I111" i="13" s="1"/>
  <c r="I109" i="13" s="1"/>
  <c r="I110" i="13" s="1"/>
  <c r="I30" i="13"/>
  <c r="I122" i="13"/>
  <c r="I27" i="13"/>
  <c r="I115" i="13" s="1"/>
  <c r="I113" i="13" s="1"/>
  <c r="I114" i="13" s="1"/>
  <c r="P19" i="13"/>
  <c r="D121" i="13"/>
  <c r="D122" i="13"/>
  <c r="D101" i="13"/>
  <c r="D27" i="13"/>
  <c r="D30" i="13"/>
  <c r="D76" i="13"/>
  <c r="E47" i="13"/>
  <c r="K23" i="13"/>
  <c r="K111" i="13" s="1"/>
  <c r="K109" i="13" s="1"/>
  <c r="K110" i="13" s="1"/>
  <c r="C23" i="13"/>
  <c r="H121" i="13"/>
  <c r="H122" i="13"/>
  <c r="H101" i="13"/>
  <c r="H27" i="13"/>
  <c r="H76" i="13"/>
  <c r="H30" i="13"/>
  <c r="L114" i="13" l="1"/>
  <c r="M69" i="13"/>
  <c r="N69" i="13" s="1"/>
  <c r="L84" i="13"/>
  <c r="L81" i="13" s="1"/>
  <c r="L56" i="13"/>
  <c r="O46" i="13"/>
  <c r="O44" i="13" s="1"/>
  <c r="J117" i="13"/>
  <c r="J118" i="13" s="1"/>
  <c r="M114" i="13"/>
  <c r="M113" i="13" s="1"/>
  <c r="N59" i="13"/>
  <c r="N56" i="13" s="1"/>
  <c r="O36" i="13"/>
  <c r="M76" i="13"/>
  <c r="M140" i="13" s="1"/>
  <c r="M121" i="13"/>
  <c r="N121" i="13" s="1"/>
  <c r="N146" i="13" s="1"/>
  <c r="M94" i="13"/>
  <c r="N94" i="13" s="1"/>
  <c r="N91" i="13" s="1"/>
  <c r="J32" i="14"/>
  <c r="N76" i="13"/>
  <c r="L134" i="13"/>
  <c r="L137" i="13" s="1"/>
  <c r="L148" i="13" s="1"/>
  <c r="L149" i="13" s="1"/>
  <c r="L61" i="13"/>
  <c r="L71" i="13" s="1"/>
  <c r="L72" i="13" s="1"/>
  <c r="N64" i="13"/>
  <c r="O64" i="13" s="1"/>
  <c r="M75" i="13"/>
  <c r="M139" i="13" s="1"/>
  <c r="N66" i="13"/>
  <c r="P46" i="13"/>
  <c r="M61" i="13"/>
  <c r="O47" i="13"/>
  <c r="O132" i="13" s="1"/>
  <c r="M66" i="13"/>
  <c r="N135" i="13"/>
  <c r="N134" i="13" s="1"/>
  <c r="N137" i="13" s="1"/>
  <c r="P52" i="13"/>
  <c r="P135" i="13" s="1"/>
  <c r="L140" i="13"/>
  <c r="O69" i="13"/>
  <c r="O66" i="13" s="1"/>
  <c r="L143" i="13"/>
  <c r="M101" i="13"/>
  <c r="L113" i="13"/>
  <c r="L110" i="13"/>
  <c r="Q46" i="13"/>
  <c r="M56" i="13"/>
  <c r="L86" i="13"/>
  <c r="L91" i="13"/>
  <c r="M89" i="13"/>
  <c r="I117" i="13"/>
  <c r="I118" i="13" s="1"/>
  <c r="M84" i="13"/>
  <c r="K117" i="13"/>
  <c r="K118" i="13" s="1"/>
  <c r="K106" i="13"/>
  <c r="L106" i="13" s="1"/>
  <c r="N84" i="13"/>
  <c r="L146" i="13"/>
  <c r="O40" i="13" l="1"/>
  <c r="M120" i="13"/>
  <c r="M145" i="13" s="1"/>
  <c r="O131" i="13"/>
  <c r="O134" i="13" s="1"/>
  <c r="O137" i="13" s="1"/>
  <c r="O121" i="13"/>
  <c r="P121" i="13" s="1"/>
  <c r="M71" i="13"/>
  <c r="M72" i="13" s="1"/>
  <c r="N114" i="13"/>
  <c r="O114" i="13" s="1"/>
  <c r="O113" i="13" s="1"/>
  <c r="N120" i="13"/>
  <c r="N145" i="13" s="1"/>
  <c r="M146" i="13"/>
  <c r="O84" i="13"/>
  <c r="O81" i="13" s="1"/>
  <c r="Q121" i="13"/>
  <c r="O59" i="13"/>
  <c r="O56" i="13" s="1"/>
  <c r="P69" i="13"/>
  <c r="P66" i="13" s="1"/>
  <c r="O94" i="13"/>
  <c r="O91" i="13" s="1"/>
  <c r="Q52" i="13"/>
  <c r="Q135" i="13" s="1"/>
  <c r="M91" i="13"/>
  <c r="K32" i="14"/>
  <c r="O61" i="13"/>
  <c r="P64" i="13"/>
  <c r="P61" i="13" s="1"/>
  <c r="L105" i="13"/>
  <c r="Q131" i="13"/>
  <c r="Q47" i="13"/>
  <c r="Q132" i="13" s="1"/>
  <c r="Q44" i="13"/>
  <c r="Q40" i="13"/>
  <c r="P131" i="13"/>
  <c r="P47" i="13"/>
  <c r="P132" i="13" s="1"/>
  <c r="P44" i="13"/>
  <c r="P40" i="13"/>
  <c r="N75" i="13"/>
  <c r="N139" i="13" s="1"/>
  <c r="N140" i="13"/>
  <c r="M86" i="13"/>
  <c r="N89" i="13"/>
  <c r="O89" i="13" s="1"/>
  <c r="Q36" i="13"/>
  <c r="M100" i="13"/>
  <c r="M142" i="13" s="1"/>
  <c r="M148" i="13" s="1"/>
  <c r="M149" i="13" s="1"/>
  <c r="M143" i="13"/>
  <c r="O146" i="13"/>
  <c r="O120" i="13"/>
  <c r="O145" i="13" s="1"/>
  <c r="N101" i="13"/>
  <c r="O101" i="13" s="1"/>
  <c r="N81" i="13"/>
  <c r="M81" i="13"/>
  <c r="L109" i="13"/>
  <c r="M110" i="13"/>
  <c r="O76" i="13"/>
  <c r="P76" i="13" s="1"/>
  <c r="Q76" i="13" s="1"/>
  <c r="P146" i="13"/>
  <c r="P120" i="13"/>
  <c r="P145" i="13" s="1"/>
  <c r="N113" i="13"/>
  <c r="Q146" i="13"/>
  <c r="Q120" i="13"/>
  <c r="Q145" i="13" s="1"/>
  <c r="M106" i="13"/>
  <c r="P36" i="13"/>
  <c r="N61" i="13"/>
  <c r="N71" i="13" s="1"/>
  <c r="N72" i="13" s="1"/>
  <c r="Q64" i="13"/>
  <c r="Q61" i="13" s="1"/>
  <c r="L96" i="13"/>
  <c r="L97" i="13" s="1"/>
  <c r="P114" i="13"/>
  <c r="P113" i="13" s="1"/>
  <c r="P84" i="13" l="1"/>
  <c r="P81" i="13" s="1"/>
  <c r="Q69" i="13"/>
  <c r="Q66" i="13" s="1"/>
  <c r="P94" i="13"/>
  <c r="P91" i="13" s="1"/>
  <c r="M96" i="13"/>
  <c r="M97" i="13" s="1"/>
  <c r="O71" i="13"/>
  <c r="O72" i="13" s="1"/>
  <c r="P59" i="13"/>
  <c r="L32" i="14"/>
  <c r="O86" i="13"/>
  <c r="O96" i="13" s="1"/>
  <c r="O97" i="13" s="1"/>
  <c r="P89" i="13"/>
  <c r="P86" i="13" s="1"/>
  <c r="Q140" i="13"/>
  <c r="Q75" i="13"/>
  <c r="Q139" i="13" s="1"/>
  <c r="O143" i="13"/>
  <c r="O100" i="13"/>
  <c r="O142" i="13" s="1"/>
  <c r="M105" i="13"/>
  <c r="Q114" i="13"/>
  <c r="Q113" i="13" s="1"/>
  <c r="O140" i="13"/>
  <c r="O75" i="13"/>
  <c r="O139" i="13" s="1"/>
  <c r="O148" i="13" s="1"/>
  <c r="O149" i="13" s="1"/>
  <c r="P134" i="13"/>
  <c r="P137" i="13" s="1"/>
  <c r="Q134" i="13"/>
  <c r="Q137" i="13" s="1"/>
  <c r="N106" i="13"/>
  <c r="P140" i="13"/>
  <c r="P75" i="13"/>
  <c r="P139" i="13" s="1"/>
  <c r="Q94" i="13"/>
  <c r="Q91" i="13" s="1"/>
  <c r="M109" i="13"/>
  <c r="N100" i="13"/>
  <c r="N142" i="13" s="1"/>
  <c r="N148" i="13" s="1"/>
  <c r="N149" i="13" s="1"/>
  <c r="N143" i="13"/>
  <c r="P101" i="13"/>
  <c r="Q101" i="13" s="1"/>
  <c r="Q89" i="13"/>
  <c r="Q86" i="13" s="1"/>
  <c r="N86" i="13"/>
  <c r="N96" i="13" s="1"/>
  <c r="N97" i="13" s="1"/>
  <c r="L117" i="13"/>
  <c r="L118" i="13" s="1"/>
  <c r="N110" i="13"/>
  <c r="P96" i="13" l="1"/>
  <c r="P97" i="13" s="1"/>
  <c r="Q84" i="13"/>
  <c r="Q81" i="13" s="1"/>
  <c r="Q96" i="13"/>
  <c r="Q97" i="13" s="1"/>
  <c r="P56" i="13"/>
  <c r="P71" i="13" s="1"/>
  <c r="P72" i="13" s="1"/>
  <c r="Q59" i="13"/>
  <c r="Q56" i="13" s="1"/>
  <c r="Q71" i="13" s="1"/>
  <c r="Q72" i="13" s="1"/>
  <c r="M32" i="14"/>
  <c r="N32" i="14"/>
  <c r="M117" i="13"/>
  <c r="M118" i="13" s="1"/>
  <c r="N105" i="13"/>
  <c r="O106" i="13"/>
  <c r="Q100" i="13"/>
  <c r="Q142" i="13" s="1"/>
  <c r="Q148" i="13" s="1"/>
  <c r="Q143" i="13"/>
  <c r="N109" i="13"/>
  <c r="P100" i="13"/>
  <c r="P142" i="13" s="1"/>
  <c r="P148" i="13" s="1"/>
  <c r="P149" i="13" s="1"/>
  <c r="P143" i="13"/>
  <c r="O110" i="13"/>
  <c r="O109" i="13" s="1"/>
  <c r="Q149" i="13" l="1"/>
  <c r="Q154" i="13"/>
  <c r="Q155" i="13" s="1"/>
  <c r="P110" i="13"/>
  <c r="P109" i="13" s="1"/>
  <c r="O105" i="13"/>
  <c r="O117" i="13" s="1"/>
  <c r="O118" i="13" s="1"/>
  <c r="P106" i="13"/>
  <c r="P105" i="13" s="1"/>
  <c r="N117" i="13"/>
  <c r="N118" i="13" s="1"/>
  <c r="Q106" i="13"/>
  <c r="Q105" i="13" s="1"/>
  <c r="Q110" i="13" l="1"/>
  <c r="Q109" i="13" s="1"/>
  <c r="Q117" i="13" s="1"/>
  <c r="Q118" i="13" s="1"/>
  <c r="P117" i="13"/>
  <c r="P118" i="13" s="1"/>
  <c r="Q157" i="13"/>
  <c r="Q160" i="13" s="1"/>
  <c r="Q163" i="13" s="1"/>
  <c r="E41" i="9" l="1"/>
  <c r="E38" i="9"/>
  <c r="E37" i="9" s="1"/>
  <c r="E29" i="9"/>
  <c r="E28" i="9"/>
  <c r="E27" i="9"/>
  <c r="E26" i="9"/>
  <c r="E25" i="9"/>
  <c r="E24" i="9"/>
  <c r="E23" i="9"/>
  <c r="E22" i="9"/>
  <c r="E21" i="9"/>
  <c r="B21" i="9"/>
  <c r="B22" i="9" s="1"/>
  <c r="B23" i="9" s="1"/>
  <c r="B24" i="9" s="1"/>
  <c r="B25" i="9" s="1"/>
  <c r="B26" i="9" s="1"/>
  <c r="B27" i="9" s="1"/>
  <c r="B28" i="9" s="1"/>
  <c r="B29" i="9" s="1"/>
  <c r="E20" i="9"/>
  <c r="E7" i="9"/>
  <c r="E40" i="9" s="1"/>
  <c r="E13" i="9" s="1"/>
  <c r="E31" i="9" l="1"/>
  <c r="E9" i="9" s="1"/>
  <c r="E10" i="9"/>
  <c r="E11" i="9" s="1"/>
  <c r="E12" i="9" s="1"/>
  <c r="E1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8" authorId="0" shapeId="0" xr:uid="{CE87BBB7-1EA5-45D7-86B5-49292AAEFF6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E13" authorId="0" shapeId="0" xr:uid="{B580B7AB-CD9D-47ED-AA3D-C853CA0E932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2024 Q2 10Q pg 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Q158" authorId="0" shapeId="0" xr:uid="{45E72B95-E7E6-4564-8A0A-F10FDB38887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Q159" authorId="0" shapeId="0" xr:uid="{0CE2AC0E-B26E-4641-B915-F3B3E629EE1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BD941-4333-4F10-B065-9CC385607AA2}" keepAlive="1" name="Query - Sheet15" description="Connection to the 'Sheet15' query in the workbook." type="5" refreshedVersion="8" background="1" saveData="1">
    <dbPr connection="Provider=Microsoft.Mashup.OleDb.1;Data Source=$Workbook$;Location=Sheet15;Extended Properties=&quot;&quot;" command="SELECT * FROM [Sheet15]"/>
  </connection>
  <connection id="2" xr16:uid="{EB212E18-5269-44AD-9EE3-9B8EDF50BF2C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A7E4946A-61D0-4501-ACD9-7BE0E8230C3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<sst xmlns="http://schemas.openxmlformats.org/spreadsheetml/2006/main" count="283" uniqueCount="175">
  <si>
    <t>Mar '24</t>
  </si>
  <si>
    <t>Mar '22</t>
  </si>
  <si>
    <t>Mar '21</t>
  </si>
  <si>
    <t>Mar '20</t>
  </si>
  <si>
    <t>Mar '19</t>
  </si>
  <si>
    <t>Mar '18</t>
  </si>
  <si>
    <t>Mar '17</t>
  </si>
  <si>
    <t>Total Rev. Ann.</t>
  </si>
  <si>
    <t>Operating Exp. Ann.</t>
  </si>
  <si>
    <t>Operating Profit Ann.</t>
  </si>
  <si>
    <t>OPM Ann. %</t>
  </si>
  <si>
    <t>Total Exp. Ann.</t>
  </si>
  <si>
    <t>EBIDT Ann.</t>
  </si>
  <si>
    <t>EBIDT Ann. margin %</t>
  </si>
  <si>
    <t>Interest Ann.</t>
  </si>
  <si>
    <t>Depr.</t>
  </si>
  <si>
    <t>PBT Ann.</t>
  </si>
  <si>
    <t>Tax Ann.</t>
  </si>
  <si>
    <t>PAT Before ExtraOrdinary Items Ann.</t>
  </si>
  <si>
    <t>Net Profit Ann.</t>
  </si>
  <si>
    <t>NPM Ann. %</t>
  </si>
  <si>
    <t>EPS Adj. latest Ann.</t>
  </si>
  <si>
    <t>Column1</t>
  </si>
  <si>
    <t>Total ShareHolders Funds Ann.</t>
  </si>
  <si>
    <t>Equity Share Capital Ann.</t>
  </si>
  <si>
    <t>Total Share Capital Ann.</t>
  </si>
  <si>
    <t>Reserves Plus Surplus Ann.</t>
  </si>
  <si>
    <t>Total Reserves Plus Surplus Ann.</t>
  </si>
  <si>
    <t>Minority Interest Liability Ann.</t>
  </si>
  <si>
    <t>Total Non Current Liabilities Ann.</t>
  </si>
  <si>
    <t>Deferred Tax Liabilities Ann.</t>
  </si>
  <si>
    <t>Other LongTerm Liabilities Ann.</t>
  </si>
  <si>
    <t>Total Current Liabilities Ann.</t>
  </si>
  <si>
    <t>Trade Payables Ann.</t>
  </si>
  <si>
    <t>Other Current Liabilities Ann.</t>
  </si>
  <si>
    <t>ST Provisions Ann.</t>
  </si>
  <si>
    <t>Total Capital Plus Liabilities Ann.</t>
  </si>
  <si>
    <t>Fixed Assets Ann.</t>
  </si>
  <si>
    <t>Tangible Assets Ann.</t>
  </si>
  <si>
    <t>Intangible Assets Ann.</t>
  </si>
  <si>
    <t>Capital Work In Progress Ann.</t>
  </si>
  <si>
    <t>Total Non Current Assets Ann.</t>
  </si>
  <si>
    <t>Non Current Investments Ann.</t>
  </si>
  <si>
    <t>Deferred Tax Assets Ann.</t>
  </si>
  <si>
    <t>LT Loans Plus Advances Ann.</t>
  </si>
  <si>
    <t>Other Non Current Assets Ann.</t>
  </si>
  <si>
    <t>Total Current Assets Ann.</t>
  </si>
  <si>
    <t>Current Investments Ann.</t>
  </si>
  <si>
    <t>Trade Receivables Ann.</t>
  </si>
  <si>
    <t>Cash Plus Cash Equivalents Ann.</t>
  </si>
  <si>
    <t>ST Loans Plus Advances Ann.</t>
  </si>
  <si>
    <t>Other Current Assets Ann.</t>
  </si>
  <si>
    <t>Total Assets Ann.</t>
  </si>
  <si>
    <t>Contingent Liabilities plus Commitments Ann.</t>
  </si>
  <si>
    <t>Bonus Equity Share Capital Ann.</t>
  </si>
  <si>
    <t>Non Current Investments Unquoted Book Value Ann.</t>
  </si>
  <si>
    <t>Current Investments Unquoted Book Value Ann.</t>
  </si>
  <si>
    <t>Cash from Operating Act. Ann.</t>
  </si>
  <si>
    <t>Cash from Investing Act. Ann.</t>
  </si>
  <si>
    <t>Cash from Financing Act. Ann.</t>
  </si>
  <si>
    <t>Net Cash Flow Ann.</t>
  </si>
  <si>
    <t>Cash Plus Cash Eqv. Begin Of Year Ann.</t>
  </si>
  <si>
    <t>Cash Plus Cash Eqv. End Of Year Ann.</t>
  </si>
  <si>
    <t>Amazon DCF</t>
  </si>
  <si>
    <t>Ticker</t>
  </si>
  <si>
    <t>AMZN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</si>
  <si>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</si>
  <si>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</si>
  <si>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</si>
  <si>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</si>
  <si>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</si>
  <si>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</si>
  <si>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WACC</t>
  </si>
  <si>
    <t>TGR</t>
  </si>
  <si>
    <t>Income Statement</t>
  </si>
  <si>
    <t>Revenue</t>
  </si>
  <si>
    <t>% growth</t>
  </si>
  <si>
    <t>EBIT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</si>
  <si>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</si>
  <si>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</si>
  <si>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</si>
  <si>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</si>
  <si>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</si>
  <si>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</si>
  <si>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</si>
  <si>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</si>
  <si>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</si>
  <si>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</si>
  <si>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</si>
  <si>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</si>
  <si>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</si>
  <si>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</si>
  <si>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</si>
  <si>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</si>
  <si>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</si>
  <si>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</si>
  <si>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</si>
  <si>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</si>
  <si>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</si>
  <si>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</si>
  <si>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</si>
  <si>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</si>
  <si>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</si>
  <si>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</si>
  <si>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</si>
  <si>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</si>
  <si>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</si>
  <si>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</si>
  <si>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</si>
  <si>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</si>
  <si>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Diluted Share Count Calculation</t>
  </si>
  <si>
    <t>Fully Diluted Shares</t>
  </si>
  <si>
    <t>Current Stock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</si>
  <si>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</si>
  <si>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</si>
  <si>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</si>
  <si>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</si>
  <si>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</si>
  <si>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</si>
  <si>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Net diluted shares outstanding</t>
  </si>
  <si>
    <t>Options outstanding</t>
  </si>
  <si>
    <t>Outstanding</t>
  </si>
  <si>
    <t>Exercise price</t>
  </si>
  <si>
    <t>Dilutive Shares</t>
  </si>
  <si>
    <t>Total</t>
  </si>
  <si>
    <t>Convertible Bonds</t>
  </si>
  <si>
    <t xml:space="preserve">Principal Outstanding </t>
  </si>
  <si>
    <t>Conversion Ratio</t>
  </si>
  <si>
    <t>Conversion Price</t>
  </si>
  <si>
    <t>Convertible Common Shares</t>
  </si>
  <si>
    <t>Dilutive impact of convertible securities</t>
  </si>
  <si>
    <t>Elimination of liability from net debt</t>
  </si>
  <si>
    <t>12/31 FYE</t>
  </si>
  <si>
    <t>% tax rate</t>
  </si>
  <si>
    <t>PV of UFCF</t>
  </si>
  <si>
    <t>Stub</t>
  </si>
  <si>
    <t>Discount Period</t>
  </si>
  <si>
    <t>PV of Terminal Value</t>
  </si>
  <si>
    <t>(+) Cash</t>
  </si>
  <si>
    <t>(-) Debt</t>
  </si>
  <si>
    <t>FDSO</t>
  </si>
  <si>
    <t>End of Year</t>
  </si>
  <si>
    <t>Financials</t>
  </si>
  <si>
    <t>North America</t>
  </si>
  <si>
    <t>% of total sales</t>
  </si>
  <si>
    <t>International</t>
  </si>
  <si>
    <t>AWS</t>
  </si>
  <si>
    <t>% of total EBIT</t>
  </si>
  <si>
    <t>North America (Partial)</t>
  </si>
  <si>
    <t>% of total D&amp;A</t>
  </si>
  <si>
    <t>% of North America sales</t>
  </si>
  <si>
    <t>International (Partial)</t>
  </si>
  <si>
    <t>% of International sales</t>
  </si>
  <si>
    <t>AWS (Partial)</t>
  </si>
  <si>
    <t>% of AWS sales</t>
  </si>
  <si>
    <t>Total D&amp;A</t>
  </si>
  <si>
    <t>Total D&amp;A (Partial)</t>
  </si>
  <si>
    <t>D&amp;A (for reference)</t>
  </si>
  <si>
    <t>% of CapEx</t>
  </si>
  <si>
    <t>% of total CapEx</t>
  </si>
  <si>
    <t>Total CapEx</t>
  </si>
  <si>
    <t>Total CapEx (Partial)</t>
  </si>
  <si>
    <t>CapEx (for reference)</t>
  </si>
  <si>
    <t>Net Working Capital</t>
  </si>
  <si>
    <t>% of North America sales of total sales</t>
  </si>
  <si>
    <t>% of International sales of total sales</t>
  </si>
  <si>
    <t>% of AWS sales of total sales</t>
  </si>
  <si>
    <t>Total Change in NWC</t>
  </si>
  <si>
    <t>% of change in sales</t>
  </si>
  <si>
    <t>--</t>
  </si>
  <si>
    <t>TATAMOTORS</t>
  </si>
  <si>
    <t>Mar '192</t>
  </si>
  <si>
    <t>NWC</t>
  </si>
  <si>
    <t>TOTAL CURRENT LIABILLITIES</t>
  </si>
  <si>
    <t>TOTAL CRUUENT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</si>
</sst>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.00"/>
    <numFmt numFmtId="165" formatCode="_([$$-409]* #,##0.00_);_([$$-409]* \(#,##0.00\);_([$$-409]* &quot;-&quot;??_);_(@_)"/>
    <numFmt numFmtId="166" formatCode="0.0%;\(0.0%\)"/>
    <numFmt numFmtId="167" formatCode="0.0%"/>
    <numFmt numFmtId="168" formatCode="&quot;$&quot;#,##0"/>
    <numFmt numFmtId="169" formatCode="#,##0.0_);\(#,##0.0\)"/>
    <numFmt numFmtId="170" formatCode="#,##0.0_);\(#,##0.0\);@_)"/>
    <numFmt numFmtId="171" formatCode="&quot;Tranche&quot;\ 0"/>
    <numFmt numFmtId="172" formatCode="0&quot;A&quot;"/>
    <numFmt numFmtId="173" formatCode="0&quot;E&quot;"/>
    <numFmt numFmtId="174" formatCode="0%_);\(0%\);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6" fillId="0" borderId="2" xfId="0" applyFont="1" applyBorder="1"/>
    <xf numFmtId="0" fontId="0" fillId="0" borderId="2" xfId="0" applyBorder="1"/>
    <xf numFmtId="0" fontId="0" fillId="3" borderId="3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0" xfId="0" applyNumberFormat="1"/>
    <xf numFmtId="14" fontId="0" fillId="3" borderId="3" xfId="0" applyNumberForma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167" fontId="0" fillId="3" borderId="4" xfId="0" applyNumberFormat="1" applyFill="1" applyBorder="1" applyAlignment="1">
      <alignment horizontal="center"/>
    </xf>
    <xf numFmtId="0" fontId="2" fillId="4" borderId="5" xfId="0" applyFont="1" applyFill="1" applyBorder="1"/>
    <xf numFmtId="0" fontId="7" fillId="5" borderId="0" xfId="0" applyFont="1" applyFill="1"/>
    <xf numFmtId="3" fontId="8" fillId="5" borderId="0" xfId="0" applyNumberFormat="1" applyFont="1" applyFill="1"/>
    <xf numFmtId="0" fontId="9" fillId="5" borderId="0" xfId="0" applyFont="1" applyFill="1"/>
    <xf numFmtId="167" fontId="9" fillId="5" borderId="0" xfId="1" applyNumberFormat="1" applyFont="1" applyFill="1"/>
    <xf numFmtId="167" fontId="9" fillId="5" borderId="0" xfId="1" applyNumberFormat="1" applyFont="1" applyFill="1" applyBorder="1"/>
    <xf numFmtId="0" fontId="10" fillId="5" borderId="0" xfId="0" applyFont="1" applyFill="1"/>
    <xf numFmtId="0" fontId="7" fillId="5" borderId="5" xfId="0" applyFont="1" applyFill="1" applyBorder="1"/>
    <xf numFmtId="3" fontId="11" fillId="5" borderId="0" xfId="0" applyNumberFormat="1" applyFont="1" applyFill="1"/>
    <xf numFmtId="3" fontId="7" fillId="5" borderId="0" xfId="0" applyNumberFormat="1" applyFont="1" applyFill="1"/>
    <xf numFmtId="3" fontId="7" fillId="5" borderId="5" xfId="0" applyNumberFormat="1" applyFont="1" applyFill="1" applyBorder="1"/>
    <xf numFmtId="37" fontId="8" fillId="5" borderId="0" xfId="0" applyNumberFormat="1" applyFont="1" applyFill="1"/>
    <xf numFmtId="166" fontId="12" fillId="0" borderId="0" xfId="1" applyNumberFormat="1" applyFont="1"/>
    <xf numFmtId="166" fontId="12" fillId="0" borderId="5" xfId="1" applyNumberFormat="1" applyFont="1" applyBorder="1"/>
    <xf numFmtId="0" fontId="0" fillId="0" borderId="5" xfId="0" applyBorder="1"/>
    <xf numFmtId="3" fontId="13" fillId="0" borderId="0" xfId="0" applyNumberFormat="1" applyFont="1"/>
    <xf numFmtId="3" fontId="13" fillId="0" borderId="5" xfId="0" applyNumberFormat="1" applyFont="1" applyBorder="1"/>
    <xf numFmtId="3" fontId="7" fillId="0" borderId="0" xfId="0" applyNumberFormat="1" applyFont="1"/>
    <xf numFmtId="0" fontId="12" fillId="0" borderId="0" xfId="0" applyFont="1"/>
    <xf numFmtId="167" fontId="12" fillId="0" borderId="0" xfId="1" applyNumberFormat="1" applyFont="1"/>
    <xf numFmtId="167" fontId="12" fillId="0" borderId="5" xfId="1" applyNumberFormat="1" applyFont="1" applyBorder="1"/>
    <xf numFmtId="167" fontId="14" fillId="0" borderId="0" xfId="1" applyNumberFormat="1" applyFont="1" applyFill="1" applyBorder="1"/>
    <xf numFmtId="167" fontId="0" fillId="0" borderId="0" xfId="0" applyNumberForma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3" fontId="0" fillId="0" borderId="0" xfId="0" applyNumberFormat="1"/>
    <xf numFmtId="167" fontId="12" fillId="0" borderId="0" xfId="1" applyNumberFormat="1" applyFont="1" applyFill="1" applyBorder="1"/>
    <xf numFmtId="37" fontId="13" fillId="0" borderId="0" xfId="0" applyNumberFormat="1" applyFont="1"/>
    <xf numFmtId="37" fontId="13" fillId="0" borderId="5" xfId="0" applyNumberFormat="1" applyFont="1" applyBorder="1"/>
    <xf numFmtId="37" fontId="7" fillId="0" borderId="0" xfId="0" applyNumberFormat="1" applyFont="1"/>
    <xf numFmtId="166" fontId="12" fillId="0" borderId="0" xfId="1" applyNumberFormat="1" applyFont="1" applyBorder="1"/>
    <xf numFmtId="166" fontId="14" fillId="0" borderId="0" xfId="1" applyNumberFormat="1" applyFont="1" applyBorder="1"/>
    <xf numFmtId="0" fontId="0" fillId="0" borderId="9" xfId="0" applyBorder="1"/>
    <xf numFmtId="37" fontId="3" fillId="0" borderId="7" xfId="0" applyNumberFormat="1" applyFont="1" applyBorder="1"/>
    <xf numFmtId="37" fontId="3" fillId="0" borderId="8" xfId="0" applyNumberFormat="1" applyFont="1" applyBorder="1"/>
    <xf numFmtId="14" fontId="0" fillId="0" borderId="0" xfId="0" applyNumberFormat="1"/>
    <xf numFmtId="37" fontId="7" fillId="0" borderId="2" xfId="0" applyNumberFormat="1" applyFont="1" applyBorder="1"/>
    <xf numFmtId="37" fontId="10" fillId="0" borderId="0" xfId="0" applyNumberFormat="1" applyFont="1"/>
    <xf numFmtId="0" fontId="0" fillId="0" borderId="0" xfId="0" quotePrefix="1"/>
    <xf numFmtId="168" fontId="0" fillId="0" borderId="4" xfId="0" applyNumberFormat="1" applyBorder="1" applyAlignment="1">
      <alignment horizontal="right"/>
    </xf>
    <xf numFmtId="0" fontId="0" fillId="0" borderId="2" xfId="0" quotePrefix="1" applyBorder="1"/>
    <xf numFmtId="168" fontId="0" fillId="0" borderId="10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165" fontId="3" fillId="0" borderId="0" xfId="0" applyNumberFormat="1" applyFont="1"/>
    <xf numFmtId="167" fontId="0" fillId="0" borderId="0" xfId="0" applyNumberFormat="1" applyAlignment="1">
      <alignment horizontal="right"/>
    </xf>
    <xf numFmtId="167" fontId="0" fillId="3" borderId="4" xfId="0" applyNumberFormat="1" applyFill="1" applyBorder="1" applyAlignment="1">
      <alignment horizontal="right"/>
    </xf>
    <xf numFmtId="9" fontId="0" fillId="0" borderId="0" xfId="1" applyFont="1"/>
    <xf numFmtId="0" fontId="0" fillId="3" borderId="4" xfId="0" applyFill="1" applyBorder="1" applyAlignment="1">
      <alignment horizontal="right"/>
    </xf>
    <xf numFmtId="0" fontId="3" fillId="6" borderId="6" xfId="0" applyFont="1" applyFill="1" applyBorder="1"/>
    <xf numFmtId="0" fontId="0" fillId="6" borderId="7" xfId="0" applyFill="1" applyBorder="1"/>
    <xf numFmtId="10" fontId="3" fillId="6" borderId="8" xfId="0" applyNumberFormat="1" applyFont="1" applyFill="1" applyBorder="1"/>
    <xf numFmtId="0" fontId="0" fillId="0" borderId="0" xfId="0" applyAlignment="1">
      <alignment horizontal="left" indent="1"/>
    </xf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left"/>
    </xf>
    <xf numFmtId="39" fontId="8" fillId="7" borderId="3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169" fontId="16" fillId="7" borderId="3" xfId="0" applyNumberFormat="1" applyFont="1" applyFill="1" applyBorder="1" applyAlignment="1">
      <alignment horizontal="right"/>
    </xf>
    <xf numFmtId="170" fontId="13" fillId="0" borderId="0" xfId="0" applyNumberFormat="1" applyFont="1"/>
    <xf numFmtId="170" fontId="0" fillId="0" borderId="0" xfId="0" applyNumberFormat="1"/>
    <xf numFmtId="170" fontId="17" fillId="0" borderId="0" xfId="0" applyNumberFormat="1" applyFont="1"/>
    <xf numFmtId="0" fontId="3" fillId="0" borderId="0" xfId="0" applyFont="1" applyAlignment="1">
      <alignment horizontal="left"/>
    </xf>
    <xf numFmtId="169" fontId="0" fillId="0" borderId="0" xfId="0" applyNumberFormat="1"/>
    <xf numFmtId="170" fontId="3" fillId="0" borderId="0" xfId="0" applyNumberFormat="1" applyFont="1"/>
    <xf numFmtId="0" fontId="18" fillId="0" borderId="0" xfId="0" applyFont="1" applyAlignment="1">
      <alignment horizontal="right"/>
    </xf>
    <xf numFmtId="171" fontId="0" fillId="0" borderId="0" xfId="0" applyNumberFormat="1" applyAlignment="1">
      <alignment horizontal="left"/>
    </xf>
    <xf numFmtId="39" fontId="16" fillId="7" borderId="3" xfId="0" applyNumberFormat="1" applyFont="1" applyFill="1" applyBorder="1" applyAlignment="1">
      <alignment horizontal="right"/>
    </xf>
    <xf numFmtId="0" fontId="0" fillId="0" borderId="0" xfId="0" applyAlignment="1">
      <alignment horizontal="right" indent="1"/>
    </xf>
    <xf numFmtId="171" fontId="0" fillId="0" borderId="2" xfId="0" applyNumberFormat="1" applyBorder="1" applyAlignment="1">
      <alignment horizontal="left"/>
    </xf>
    <xf numFmtId="169" fontId="16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 indent="1"/>
    </xf>
    <xf numFmtId="0" fontId="3" fillId="6" borderId="7" xfId="0" applyFont="1" applyFill="1" applyBorder="1"/>
    <xf numFmtId="2" fontId="3" fillId="6" borderId="8" xfId="0" applyNumberFormat="1" applyFont="1" applyFill="1" applyBorder="1" applyAlignment="1">
      <alignment horizontal="right" indent="1"/>
    </xf>
    <xf numFmtId="37" fontId="16" fillId="7" borderId="3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37" fontId="19" fillId="0" borderId="0" xfId="0" applyNumberFormat="1" applyFont="1"/>
    <xf numFmtId="10" fontId="8" fillId="3" borderId="3" xfId="0" applyNumberFormat="1" applyFont="1" applyFill="1" applyBorder="1" applyAlignment="1">
      <alignment horizontal="center"/>
    </xf>
    <xf numFmtId="0" fontId="2" fillId="8" borderId="0" xfId="0" applyFont="1" applyFill="1"/>
    <xf numFmtId="172" fontId="2" fillId="8" borderId="0" xfId="0" applyNumberFormat="1" applyFont="1" applyFill="1"/>
    <xf numFmtId="173" fontId="2" fillId="8" borderId="0" xfId="0" applyNumberFormat="1" applyFont="1" applyFill="1"/>
    <xf numFmtId="37" fontId="8" fillId="0" borderId="0" xfId="0" applyNumberFormat="1" applyFont="1"/>
    <xf numFmtId="174" fontId="9" fillId="0" borderId="0" xfId="1" applyNumberFormat="1" applyFont="1"/>
    <xf numFmtId="37" fontId="0" fillId="0" borderId="0" xfId="0" applyNumberFormat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2" xfId="0" applyFont="1" applyBorder="1"/>
    <xf numFmtId="37" fontId="7" fillId="0" borderId="0" xfId="0" applyNumberFormat="1" applyFont="1" applyAlignment="1">
      <alignment horizontal="right"/>
    </xf>
    <xf numFmtId="39" fontId="0" fillId="0" borderId="0" xfId="0" applyNumberFormat="1"/>
    <xf numFmtId="10" fontId="17" fillId="3" borderId="3" xfId="0" applyNumberFormat="1" applyFont="1" applyFill="1" applyBorder="1" applyAlignment="1">
      <alignment horizontal="center"/>
    </xf>
    <xf numFmtId="37" fontId="8" fillId="0" borderId="0" xfId="0" applyNumberFormat="1" applyFont="1" applyAlignment="1">
      <alignment horizontal="right"/>
    </xf>
    <xf numFmtId="174" fontId="9" fillId="0" borderId="0" xfId="1" applyNumberFormat="1" applyFont="1" applyAlignment="1">
      <alignment horizontal="right"/>
    </xf>
    <xf numFmtId="174" fontId="23" fillId="0" borderId="0" xfId="1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3" fillId="6" borderId="11" xfId="0" applyFont="1" applyFill="1" applyBorder="1"/>
    <xf numFmtId="3" fontId="3" fillId="6" borderId="12" xfId="0" applyNumberFormat="1" applyFont="1" applyFill="1" applyBorder="1"/>
    <xf numFmtId="3" fontId="3" fillId="6" borderId="13" xfId="0" applyNumberFormat="1" applyFont="1" applyFill="1" applyBorder="1"/>
    <xf numFmtId="0" fontId="24" fillId="6" borderId="14" xfId="0" applyFont="1" applyFill="1" applyBorder="1"/>
    <xf numFmtId="9" fontId="25" fillId="6" borderId="2" xfId="1" applyFont="1" applyFill="1" applyBorder="1" applyAlignment="1">
      <alignment horizontal="right"/>
    </xf>
    <xf numFmtId="9" fontId="25" fillId="6" borderId="2" xfId="1" applyFont="1" applyFill="1" applyBorder="1"/>
    <xf numFmtId="9" fontId="25" fillId="6" borderId="9" xfId="1" applyFont="1" applyFill="1" applyBorder="1"/>
    <xf numFmtId="37" fontId="11" fillId="0" borderId="0" xfId="0" applyNumberFormat="1" applyFont="1"/>
    <xf numFmtId="9" fontId="25" fillId="6" borderId="9" xfId="1" applyFont="1" applyFill="1" applyBorder="1" applyAlignment="1">
      <alignment horizontal="right"/>
    </xf>
    <xf numFmtId="174" fontId="23" fillId="0" borderId="0" xfId="0" applyNumberFormat="1" applyFont="1"/>
    <xf numFmtId="37" fontId="17" fillId="0" borderId="0" xfId="0" applyNumberFormat="1" applyFont="1" applyAlignment="1">
      <alignment horizontal="right"/>
    </xf>
    <xf numFmtId="0" fontId="3" fillId="6" borderId="12" xfId="0" applyFont="1" applyFill="1" applyBorder="1"/>
    <xf numFmtId="37" fontId="3" fillId="6" borderId="12" xfId="0" applyNumberFormat="1" applyFont="1" applyFill="1" applyBorder="1"/>
    <xf numFmtId="37" fontId="3" fillId="6" borderId="13" xfId="0" applyNumberFormat="1" applyFont="1" applyFill="1" applyBorder="1"/>
    <xf numFmtId="0" fontId="24" fillId="6" borderId="15" xfId="0" applyFont="1" applyFill="1" applyBorder="1"/>
    <xf numFmtId="0" fontId="3" fillId="6" borderId="0" xfId="0" applyFont="1" applyFill="1"/>
    <xf numFmtId="174" fontId="24" fillId="6" borderId="0" xfId="1" applyNumberFormat="1" applyFont="1" applyFill="1" applyBorder="1"/>
    <xf numFmtId="174" fontId="24" fillId="6" borderId="5" xfId="1" applyNumberFormat="1" applyFont="1" applyFill="1" applyBorder="1"/>
    <xf numFmtId="0" fontId="3" fillId="6" borderId="14" xfId="0" applyFont="1" applyFill="1" applyBorder="1"/>
    <xf numFmtId="0" fontId="3" fillId="6" borderId="2" xfId="0" applyFont="1" applyFill="1" applyBorder="1"/>
    <xf numFmtId="37" fontId="3" fillId="6" borderId="2" xfId="0" applyNumberFormat="1" applyFont="1" applyFill="1" applyBorder="1"/>
    <xf numFmtId="0" fontId="0" fillId="6" borderId="2" xfId="0" applyFill="1" applyBorder="1"/>
    <xf numFmtId="0" fontId="0" fillId="6" borderId="9" xfId="0" applyFill="1" applyBorder="1"/>
    <xf numFmtId="37" fontId="22" fillId="6" borderId="12" xfId="0" applyNumberFormat="1" applyFont="1" applyFill="1" applyBorder="1" applyAlignment="1">
      <alignment horizontal="right"/>
    </xf>
    <xf numFmtId="37" fontId="26" fillId="6" borderId="12" xfId="0" applyNumberFormat="1" applyFont="1" applyFill="1" applyBorder="1" applyAlignment="1">
      <alignment horizontal="right"/>
    </xf>
    <xf numFmtId="37" fontId="26" fillId="6" borderId="13" xfId="0" applyNumberFormat="1" applyFont="1" applyFill="1" applyBorder="1" applyAlignment="1">
      <alignment horizontal="right"/>
    </xf>
    <xf numFmtId="174" fontId="25" fillId="6" borderId="0" xfId="1" applyNumberFormat="1" applyFont="1" applyFill="1" applyBorder="1"/>
    <xf numFmtId="174" fontId="27" fillId="6" borderId="0" xfId="0" applyNumberFormat="1" applyFont="1" applyFill="1"/>
    <xf numFmtId="174" fontId="27" fillId="6" borderId="5" xfId="0" applyNumberFormat="1" applyFont="1" applyFill="1" applyBorder="1"/>
    <xf numFmtId="174" fontId="25" fillId="6" borderId="2" xfId="1" applyNumberFormat="1" applyFont="1" applyFill="1" applyBorder="1"/>
    <xf numFmtId="0" fontId="24" fillId="6" borderId="2" xfId="0" applyFont="1" applyFill="1" applyBorder="1"/>
    <xf numFmtId="0" fontId="3" fillId="6" borderId="9" xfId="0" applyFont="1" applyFill="1" applyBorder="1"/>
    <xf numFmtId="0" fontId="0" fillId="0" borderId="0" xfId="0" quotePrefix="1" applyAlignment="1">
      <alignment horizontal="right"/>
    </xf>
    <xf numFmtId="37" fontId="3" fillId="6" borderId="9" xfId="0" applyNumberFormat="1" applyFont="1" applyFill="1" applyBorder="1"/>
    <xf numFmtId="174" fontId="27" fillId="6" borderId="2" xfId="0" applyNumberFormat="1" applyFont="1" applyFill="1" applyBorder="1"/>
    <xf numFmtId="174" fontId="27" fillId="6" borderId="9" xfId="0" applyNumberFormat="1" applyFont="1" applyFill="1" applyBorder="1"/>
    <xf numFmtId="174" fontId="7" fillId="5" borderId="0" xfId="0" applyNumberFormat="1" applyFont="1" applyFill="1"/>
    <xf numFmtId="174" fontId="13" fillId="0" borderId="0" xfId="0" applyNumberFormat="1" applyFont="1"/>
    <xf numFmtId="174" fontId="24" fillId="6" borderId="2" xfId="1" applyNumberFormat="1" applyFont="1" applyFill="1" applyBorder="1"/>
    <xf numFmtId="174" fontId="24" fillId="6" borderId="9" xfId="1" applyNumberFormat="1" applyFont="1" applyFill="1" applyBorder="1"/>
    <xf numFmtId="0" fontId="3" fillId="6" borderId="2" xfId="0" quotePrefix="1" applyFont="1" applyFill="1" applyBorder="1" applyAlignment="1">
      <alignment horizontal="right"/>
    </xf>
    <xf numFmtId="37" fontId="13" fillId="0" borderId="0" xfId="0" applyNumberFormat="1" applyFont="1" applyAlignment="1">
      <alignment horizontal="right"/>
    </xf>
    <xf numFmtId="174" fontId="14" fillId="0" borderId="0" xfId="1" applyNumberFormat="1" applyFont="1"/>
    <xf numFmtId="37" fontId="3" fillId="0" borderId="12" xfId="0" applyNumberFormat="1" applyFont="1" applyBorder="1"/>
    <xf numFmtId="37" fontId="3" fillId="0" borderId="13" xfId="0" applyNumberFormat="1" applyFont="1" applyBorder="1"/>
    <xf numFmtId="37" fontId="3" fillId="0" borderId="2" xfId="0" applyNumberFormat="1" applyFont="1" applyBorder="1"/>
    <xf numFmtId="37" fontId="3" fillId="0" borderId="9" xfId="0" applyNumberFormat="1" applyFont="1" applyBorder="1"/>
    <xf numFmtId="2" fontId="0" fillId="0" borderId="0" xfId="0" applyNumberFormat="1"/>
    <xf numFmtId="3" fontId="7" fillId="5" borderId="0" xfId="0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2024.09.13-Advanced-DCF-Part-2.xlsx" TargetMode="External"/><Relationship Id="rId1" Type="http://schemas.openxmlformats.org/officeDocument/2006/relationships/externalLinkPath" Target="/Users/Pratyush%20singh/Downloads/2024.09.13-Advanced-DCF-Part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esktop\2022.07.24%20-%20DCF%20Tutorial%20Empty%20Excel.xlsx" TargetMode="External"/><Relationship Id="rId1" Type="http://schemas.openxmlformats.org/officeDocument/2006/relationships/externalLinkPath" Target="/Users/Pratyush%20singh/Desktop/2022.07.24%20-%20DCF%20Tutorial%20Empty%20Exc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2024.10.31-DCF-Tutorial-Part-3.xlsx" TargetMode="External"/><Relationship Id="rId1" Type="http://schemas.openxmlformats.org/officeDocument/2006/relationships/externalLinkPath" Target="/Users/Pratyush%20singh/Downloads/2024.10.31-DCF-Tutorial-Part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Operating Model"/>
      <sheetName val="DCF&gt;&gt;&gt;"/>
      <sheetName val="Consolidated"/>
      <sheetName val="North America"/>
      <sheetName val="International"/>
      <sheetName val="AWS"/>
      <sheetName val="WACC"/>
      <sheetName val="Shares"/>
      <sheetName val="FS&gt;&gt;&gt;"/>
      <sheetName val="Segments"/>
      <sheetName val="IS"/>
      <sheetName val="CFS"/>
      <sheetName val="CapEx"/>
    </sheetNames>
    <sheetDataSet>
      <sheetData sheetId="0"/>
      <sheetData sheetId="1">
        <row r="10">
          <cell r="L10">
            <v>8.4389860337395248E-2</v>
          </cell>
        </row>
        <row r="11">
          <cell r="L11">
            <v>2.5000000000000001E-2</v>
          </cell>
        </row>
      </sheetData>
      <sheetData sheetId="2"/>
      <sheetData sheetId="3"/>
      <sheetData sheetId="4"/>
      <sheetData sheetId="5"/>
      <sheetData sheetId="6"/>
      <sheetData sheetId="7">
        <row r="22">
          <cell r="F22">
            <v>8.4389860337395248E-2</v>
          </cell>
        </row>
      </sheetData>
      <sheetData sheetId="8">
        <row r="14">
          <cell r="E14">
            <v>10876.066881000001</v>
          </cell>
        </row>
      </sheetData>
      <sheetData sheetId="9"/>
      <sheetData sheetId="10">
        <row r="6">
          <cell r="C6">
            <v>63708</v>
          </cell>
          <cell r="D6">
            <v>79785</v>
          </cell>
          <cell r="E6">
            <v>106110</v>
          </cell>
          <cell r="F6">
            <v>141366</v>
          </cell>
          <cell r="G6">
            <v>170773</v>
          </cell>
          <cell r="H6">
            <v>236282</v>
          </cell>
          <cell r="I6">
            <v>279833</v>
          </cell>
          <cell r="J6">
            <v>315880</v>
          </cell>
          <cell r="K6">
            <v>352828</v>
          </cell>
          <cell r="L6">
            <v>386647</v>
          </cell>
          <cell r="M6">
            <v>423461</v>
          </cell>
          <cell r="N6">
            <v>461471</v>
          </cell>
          <cell r="O6">
            <v>497416</v>
          </cell>
          <cell r="P6">
            <v>546306</v>
          </cell>
          <cell r="Q6">
            <v>590847</v>
          </cell>
        </row>
        <row r="8">
          <cell r="C8">
            <v>35418</v>
          </cell>
          <cell r="D8">
            <v>43983</v>
          </cell>
          <cell r="E8">
            <v>54297</v>
          </cell>
          <cell r="F8">
            <v>65866</v>
          </cell>
          <cell r="G8">
            <v>74723</v>
          </cell>
          <cell r="H8">
            <v>104412</v>
          </cell>
          <cell r="I8">
            <v>127787</v>
          </cell>
          <cell r="J8">
            <v>118007</v>
          </cell>
          <cell r="K8">
            <v>131200</v>
          </cell>
          <cell r="L8">
            <v>141444</v>
          </cell>
          <cell r="M8">
            <v>154680</v>
          </cell>
          <cell r="N8">
            <v>171709</v>
          </cell>
          <cell r="O8">
            <v>192631</v>
          </cell>
          <cell r="P8">
            <v>199416</v>
          </cell>
          <cell r="Q8">
            <v>215930</v>
          </cell>
        </row>
        <row r="9">
          <cell r="C9">
            <v>7880</v>
          </cell>
          <cell r="D9">
            <v>12219</v>
          </cell>
          <cell r="E9">
            <v>17459</v>
          </cell>
          <cell r="F9">
            <v>25655</v>
          </cell>
          <cell r="G9">
            <v>35026</v>
          </cell>
          <cell r="H9">
            <v>45370</v>
          </cell>
          <cell r="I9">
            <v>62202</v>
          </cell>
          <cell r="J9">
            <v>80096</v>
          </cell>
          <cell r="K9">
            <v>90757</v>
          </cell>
          <cell r="L9">
            <v>107555</v>
          </cell>
          <cell r="M9">
            <v>127628</v>
          </cell>
          <cell r="N9">
            <v>151647</v>
          </cell>
          <cell r="O9">
            <v>176580</v>
          </cell>
          <cell r="P9">
            <v>208724</v>
          </cell>
          <cell r="Q9">
            <v>249139</v>
          </cell>
        </row>
        <row r="12">
          <cell r="C12">
            <v>2751</v>
          </cell>
          <cell r="D12">
            <v>4099</v>
          </cell>
          <cell r="E12">
            <v>2837</v>
          </cell>
          <cell r="F12">
            <v>7267</v>
          </cell>
          <cell r="G12">
            <v>7033</v>
          </cell>
          <cell r="H12">
            <v>8651</v>
          </cell>
          <cell r="I12">
            <v>7271</v>
          </cell>
          <cell r="J12">
            <v>-2847</v>
          </cell>
          <cell r="K12">
            <v>14877</v>
          </cell>
          <cell r="L12">
            <v>23233.5</v>
          </cell>
          <cell r="M12">
            <v>31059.3</v>
          </cell>
          <cell r="N12">
            <v>34190</v>
          </cell>
        </row>
        <row r="14">
          <cell r="C14">
            <v>-91</v>
          </cell>
          <cell r="D14">
            <v>-477</v>
          </cell>
          <cell r="E14">
            <v>-3062</v>
          </cell>
          <cell r="F14">
            <v>-2142</v>
          </cell>
          <cell r="G14">
            <v>-1693</v>
          </cell>
          <cell r="H14">
            <v>717</v>
          </cell>
          <cell r="I14">
            <v>-924</v>
          </cell>
          <cell r="J14">
            <v>-7746</v>
          </cell>
          <cell r="K14">
            <v>-2656</v>
          </cell>
          <cell r="L14">
            <v>1765.17</v>
          </cell>
          <cell r="M14">
            <v>3899.91</v>
          </cell>
          <cell r="N14">
            <v>9726</v>
          </cell>
        </row>
        <row r="15">
          <cell r="C15">
            <v>1863</v>
          </cell>
          <cell r="D15">
            <v>3706</v>
          </cell>
          <cell r="E15">
            <v>4331</v>
          </cell>
          <cell r="F15">
            <v>7296</v>
          </cell>
          <cell r="G15">
            <v>9201</v>
          </cell>
          <cell r="H15">
            <v>13531</v>
          </cell>
          <cell r="I15">
            <v>18532</v>
          </cell>
          <cell r="J15">
            <v>22841</v>
          </cell>
          <cell r="K15">
            <v>24631</v>
          </cell>
          <cell r="L15">
            <v>37271.5</v>
          </cell>
          <cell r="M15">
            <v>42816.2</v>
          </cell>
          <cell r="N15">
            <v>53907.1</v>
          </cell>
          <cell r="O15">
            <v>70418.5</v>
          </cell>
          <cell r="P15">
            <v>85067.5</v>
          </cell>
          <cell r="Q15">
            <v>102298</v>
          </cell>
        </row>
      </sheetData>
      <sheetData sheetId="11">
        <row r="30">
          <cell r="C30">
            <v>1568</v>
          </cell>
          <cell r="D30">
            <v>3892</v>
          </cell>
          <cell r="E30">
            <v>3806</v>
          </cell>
          <cell r="F30">
            <v>11261</v>
          </cell>
          <cell r="G30">
            <v>13976</v>
          </cell>
          <cell r="H30">
            <v>24178</v>
          </cell>
          <cell r="I30">
            <v>38151</v>
          </cell>
          <cell r="J30">
            <v>-5936</v>
          </cell>
          <cell r="K30">
            <v>37557</v>
          </cell>
          <cell r="L30">
            <v>54103</v>
          </cell>
        </row>
        <row r="31">
          <cell r="C31">
            <v>950</v>
          </cell>
          <cell r="D31">
            <v>1425</v>
          </cell>
          <cell r="E31">
            <v>769</v>
          </cell>
          <cell r="F31">
            <v>1197</v>
          </cell>
          <cell r="G31">
            <v>2374</v>
          </cell>
          <cell r="H31">
            <v>2863</v>
          </cell>
          <cell r="I31">
            <v>4791</v>
          </cell>
          <cell r="J31">
            <v>-3217</v>
          </cell>
          <cell r="K31">
            <v>7120</v>
          </cell>
          <cell r="L31">
            <v>9602</v>
          </cell>
        </row>
      </sheetData>
      <sheetData sheetId="12">
        <row r="12">
          <cell r="C12">
            <v>5646</v>
          </cell>
          <cell r="D12">
            <v>7482</v>
          </cell>
          <cell r="E12">
            <v>10933</v>
          </cell>
          <cell r="F12">
            <v>15341</v>
          </cell>
          <cell r="G12">
            <v>21789</v>
          </cell>
          <cell r="H12">
            <v>25251</v>
          </cell>
          <cell r="I12">
            <v>34296</v>
          </cell>
          <cell r="J12">
            <v>41921</v>
          </cell>
          <cell r="K12">
            <v>48663</v>
          </cell>
          <cell r="L12">
            <v>49673</v>
          </cell>
        </row>
        <row r="19">
          <cell r="C19">
            <v>2557</v>
          </cell>
          <cell r="D19">
            <v>3916</v>
          </cell>
          <cell r="E19">
            <v>-173</v>
          </cell>
          <cell r="F19">
            <v>-1043</v>
          </cell>
          <cell r="G19">
            <v>-2438</v>
          </cell>
          <cell r="H19">
            <v>13481</v>
          </cell>
          <cell r="I19">
            <v>-19611</v>
          </cell>
          <cell r="J19">
            <v>-20886</v>
          </cell>
          <cell r="K19">
            <v>-11541</v>
          </cell>
          <cell r="L19">
            <v>-6898</v>
          </cell>
        </row>
        <row r="27">
          <cell r="C27">
            <v>-4589</v>
          </cell>
          <cell r="D27">
            <v>-6737</v>
          </cell>
          <cell r="E27">
            <v>-11955</v>
          </cell>
          <cell r="F27">
            <v>-13427</v>
          </cell>
          <cell r="G27">
            <v>-16861</v>
          </cell>
          <cell r="H27">
            <v>-40140</v>
          </cell>
          <cell r="I27">
            <v>-61053</v>
          </cell>
          <cell r="J27">
            <v>-63645</v>
          </cell>
          <cell r="K27">
            <v>-52729</v>
          </cell>
          <cell r="L27">
            <v>-59612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IS"/>
      <sheetName val="CFS"/>
    </sheetNames>
    <sheetDataSet>
      <sheetData sheetId="0" refreshError="1"/>
      <sheetData sheetId="1" refreshError="1"/>
      <sheetData sheetId="2"/>
      <sheetData sheetId="3">
        <row r="5">
          <cell r="F5">
            <v>177866</v>
          </cell>
        </row>
      </sheetData>
      <sheetData sheetId="4">
        <row r="13">
          <cell r="G13">
            <v>11478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Operating Model"/>
      <sheetName val="DCF&gt;&gt;&gt;"/>
      <sheetName val="Consolidated"/>
      <sheetName val="North America"/>
      <sheetName val="International"/>
      <sheetName val="AWS"/>
      <sheetName val="WACC"/>
      <sheetName val="Shares"/>
      <sheetName val="Comps"/>
      <sheetName val="FS&gt;&gt;&gt;"/>
      <sheetName val="Segments"/>
      <sheetName val="IS"/>
      <sheetName val="CFS"/>
      <sheetName val="Ca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F13"/>
        </row>
      </sheetData>
      <sheetData sheetId="10"/>
      <sheetData sheetId="11"/>
      <sheetData sheetId="12"/>
      <sheetData sheetId="13"/>
      <sheetData sheetId="1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D6FE5F-5CCD-4ECB-A997-7E3D8F8F1F7D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1" tableColumnId="2"/>
      <queryTableField id="3" name="Mar '20" tableColumnId="3"/>
      <queryTableField id="4" name="Mar '19" tableColumnId="4"/>
      <queryTableField id="5" name="Mar '18" tableColumnId="5"/>
      <queryTableField id="6" name="Mar '17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65D593-BD4B-4D21-9E1F-624B8C4CC199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2" tableColumnId="2"/>
      <queryTableField id="3" dataBound="0" tableColumnId="3"/>
      <queryTableField id="4" name="Mar '20" tableColumnId="4"/>
      <queryTableField id="5" name="Mar '19" tableColumnId="5"/>
      <queryTableField id="6" name="Mar '18" tableColumnId="6"/>
    </queryTableFields>
    <queryTableDeletedFields count="1">
      <deletedField name="Mar '2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6C1BFB-1A7F-4A8D-8367-BBD047BDE5BD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2" tableColumnId="2"/>
      <queryTableField id="3" name="Mar '21" tableColumnId="3"/>
      <queryTableField id="4" name="Mar '20" tableColumnId="4"/>
      <queryTableField id="5" name="Mar '19" tableColumnId="5"/>
      <queryTableField id="6" name="Mar '18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C4EEC6-B65F-4505-9E68-298AB3E4B245}" name="Sheet15" displayName="Sheet15" ref="A1:F17" tableType="queryTable" totalsRowShown="0">
  <autoFilter ref="A1:F17" xr:uid="{63C4EEC6-B65F-4505-9E68-298AB3E4B245}"/>
  <tableColumns count="6">
    <tableColumn id="7" xr3:uid="{8469B4C2-5FD0-4EB2-9043-61C9AFBFDA41}" uniqueName="7" name="Mar '24" queryTableFieldId="1" dataDxfId="17"/>
    <tableColumn id="2" xr3:uid="{07807E87-6766-4BF9-8E5D-89F3AACD2C5C}" uniqueName="2" name="Mar '21" queryTableFieldId="2" dataDxfId="16"/>
    <tableColumn id="3" xr3:uid="{179D3503-B32C-4848-9647-DB59B6FA61CB}" uniqueName="3" name="Mar '20" queryTableFieldId="3" dataDxfId="15"/>
    <tableColumn id="4" xr3:uid="{41674935-8792-49E6-81E5-18F37ED85B28}" uniqueName="4" name="Mar '19" queryTableFieldId="4" dataDxfId="14"/>
    <tableColumn id="5" xr3:uid="{BC3A66AB-1B2D-41E2-9E9F-7A14D8AC0781}" uniqueName="5" name="Mar '18" queryTableFieldId="5" dataDxfId="13"/>
    <tableColumn id="6" xr3:uid="{47D4B7C5-F26B-40D8-860C-67A5FE8C09F2}" uniqueName="6" name="Mar '17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1B0823-AB18-4CA0-8BF0-9E31EB783D39}" name="Table2_2" displayName="Table2_2" ref="A1:F36" tableType="queryTable" totalsRowShown="0">
  <autoFilter ref="A1:F36" xr:uid="{8D1B0823-AB18-4CA0-8BF0-9E31EB783D39}"/>
  <tableColumns count="6">
    <tableColumn id="7" xr3:uid="{1E65E4EE-BB16-479D-B0BF-FC7E3D79DA3D}" uniqueName="7" name="Mar '24" queryTableFieldId="1" dataDxfId="11"/>
    <tableColumn id="2" xr3:uid="{A7BD020B-B678-4932-940D-B932D51A2E62}" uniqueName="2" name="Mar '22" queryTableFieldId="2" dataDxfId="10"/>
    <tableColumn id="3" xr3:uid="{4FB8B420-935F-4950-B5EF-644D22E61CB0}" uniqueName="3" name="Column1" queryTableFieldId="3" dataDxfId="9"/>
    <tableColumn id="4" xr3:uid="{0EA29550-B2A3-4CE0-B412-D8966709322C}" uniqueName="4" name="Mar '20" queryTableFieldId="4" dataDxfId="8"/>
    <tableColumn id="5" xr3:uid="{111A4E66-CC25-4BDD-A4D5-B425BD9AAB9F}" uniqueName="5" name="Mar '19" queryTableFieldId="5" dataDxfId="7"/>
    <tableColumn id="6" xr3:uid="{D6BC5D78-9187-4F3F-99B6-694C3BB49C3A}" uniqueName="6" name="Mar '192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9BBEE1-F664-4032-8E2A-6E0A3F64CF7B}" name="Table3_2" displayName="Table3_2" ref="A1:F10" tableType="queryTable" totalsRowShown="0">
  <autoFilter ref="A1:F10" xr:uid="{D09BBEE1-F664-4032-8E2A-6E0A3F64CF7B}"/>
  <tableColumns count="6">
    <tableColumn id="7" xr3:uid="{B7FE9437-30F6-44FE-9186-9E6A5684986B}" uniqueName="7" name="Mar '24" queryTableFieldId="1" dataDxfId="5"/>
    <tableColumn id="2" xr3:uid="{D256EE56-5237-4A7B-A2A4-7BDDE71E4D01}" uniqueName="2" name="Mar '22" queryTableFieldId="2" dataDxfId="4"/>
    <tableColumn id="3" xr3:uid="{2A7C15BD-6D42-48E3-8864-E0ECA4460E7C}" uniqueName="3" name="Mar '21" queryTableFieldId="3" dataDxfId="3"/>
    <tableColumn id="4" xr3:uid="{DC572B1C-113F-4A19-872C-D146444C0C8C}" uniqueName="4" name="Mar '20" queryTableFieldId="4" dataDxfId="2"/>
    <tableColumn id="5" xr3:uid="{A80E6F7A-7CC8-40A6-897C-B23750AC4FDA}" uniqueName="5" name="Mar '19" queryTableFieldId="5" dataDxfId="1"/>
    <tableColumn id="6" xr3:uid="{75CB87BC-EA07-4402-B9DC-48124E4F174C}" uniqueName="6" name="Mar '18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B809-01F9-423A-86DE-B06CCBE092C8}">
  <dimension ref="B2:N63"/>
  <sheetViews>
    <sheetView tabSelected="1" topLeftCell="A45" workbookViewId="0">
      <selection activeCell="I30" sqref="I30"/>
    </sheetView>
  </sheetViews>
  <sheetFormatPr defaultRowHeight="15" x14ac:dyDescent="0.25"/>
  <cols>
    <col min="3" max="3" width="13.42578125" bestFit="1" customWidth="1"/>
  </cols>
  <sheetData>
    <row r="2" spans="2:14" ht="21" x14ac:dyDescent="0.35">
      <c r="B2" s="4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4" x14ac:dyDescent="0.25">
      <c r="B4" t="s">
        <v>64</v>
      </c>
      <c r="C4" s="6" t="s">
        <v>170</v>
      </c>
      <c r="E4" t="s">
        <v>66</v>
      </c>
      <c r="G4" s="7"/>
      <c r="M4" s="8"/>
    </row>
    <row r="5" spans="2:14" x14ac:dyDescent="0.25">
      <c r="B5" t="s">
        <v>67</v>
      </c>
      <c r="C5" s="9">
        <v>44766</v>
      </c>
      <c r="E5" t="s">
        <v>68</v>
      </c>
      <c r="G5" s="7"/>
      <c r="I5" t="s">
        <v>69</v>
      </c>
      <c r="K5" s="10"/>
      <c r="M5" s="8"/>
    </row>
    <row r="7" spans="2:14" x14ac:dyDescent="0.25">
      <c r="B7" s="11" t="s">
        <v>70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2:14" x14ac:dyDescent="0.25">
      <c r="B8" s="1" t="s">
        <v>71</v>
      </c>
    </row>
    <row r="9" spans="2:14" x14ac:dyDescent="0.25">
      <c r="B9" t="s">
        <v>72</v>
      </c>
      <c r="D9" s="13">
        <f>[2]WACC!D22</f>
        <v>0</v>
      </c>
    </row>
    <row r="10" spans="2:14" x14ac:dyDescent="0.25">
      <c r="B10" t="s">
        <v>73</v>
      </c>
      <c r="D10" s="13">
        <v>0.03</v>
      </c>
    </row>
    <row r="11" spans="2:14" x14ac:dyDescent="0.25">
      <c r="J11">
        <v>1</v>
      </c>
      <c r="K11">
        <f>J11+1</f>
        <v>2</v>
      </c>
      <c r="L11">
        <f t="shared" ref="L11:N12" si="0">K11+1</f>
        <v>3</v>
      </c>
      <c r="M11">
        <f t="shared" si="0"/>
        <v>4</v>
      </c>
      <c r="N11">
        <f t="shared" si="0"/>
        <v>5</v>
      </c>
    </row>
    <row r="12" spans="2:14" x14ac:dyDescent="0.25">
      <c r="B12" s="11" t="s">
        <v>74</v>
      </c>
      <c r="C12" s="12"/>
      <c r="D12" s="12"/>
      <c r="E12" s="11">
        <v>2020</v>
      </c>
      <c r="F12" s="11">
        <f>E12+1</f>
        <v>2021</v>
      </c>
      <c r="G12" s="11">
        <f t="shared" ref="G12:K12" si="1">F12+1</f>
        <v>2022</v>
      </c>
      <c r="H12" s="11">
        <f t="shared" si="1"/>
        <v>2023</v>
      </c>
      <c r="I12" s="11">
        <f t="shared" si="1"/>
        <v>2024</v>
      </c>
      <c r="J12" s="11">
        <f t="shared" si="1"/>
        <v>2025</v>
      </c>
      <c r="K12" s="11">
        <f t="shared" si="1"/>
        <v>2026</v>
      </c>
      <c r="L12" s="11">
        <f t="shared" si="0"/>
        <v>2027</v>
      </c>
      <c r="M12" s="11">
        <f t="shared" si="0"/>
        <v>2028</v>
      </c>
      <c r="N12" s="11">
        <f t="shared" si="0"/>
        <v>2029</v>
      </c>
    </row>
    <row r="13" spans="2:14" x14ac:dyDescent="0.25">
      <c r="B13" s="15" t="s">
        <v>75</v>
      </c>
      <c r="C13" s="15"/>
      <c r="D13" s="15"/>
      <c r="E13" s="16">
        <f>IS!B2</f>
        <v>264041.09999999998</v>
      </c>
      <c r="F13" s="16">
        <f>IS!C2</f>
        <v>252437.9</v>
      </c>
      <c r="G13" s="16">
        <f>IS!D2</f>
        <v>281507.3</v>
      </c>
      <c r="H13" s="16">
        <f>IS!E2</f>
        <v>350600.2</v>
      </c>
      <c r="I13" s="16">
        <f>IS!F2</f>
        <v>443877.7</v>
      </c>
      <c r="J13" s="16"/>
      <c r="K13" s="16"/>
      <c r="L13" s="16"/>
      <c r="M13" s="16"/>
      <c r="N13" s="16"/>
    </row>
    <row r="14" spans="2:14" x14ac:dyDescent="0.25">
      <c r="B14" s="17" t="s">
        <v>76</v>
      </c>
      <c r="C14" s="15"/>
      <c r="D14" s="15"/>
      <c r="E14" s="18"/>
      <c r="F14" s="18">
        <f>F13/E13-1</f>
        <v>-4.3944673764803932E-2</v>
      </c>
      <c r="G14" s="18">
        <f t="shared" ref="G14:I14" si="2">G13/F13-1</f>
        <v>0.11515465783862089</v>
      </c>
      <c r="H14" s="18">
        <f t="shared" si="2"/>
        <v>0.24543910584201556</v>
      </c>
      <c r="I14" s="18">
        <f t="shared" si="2"/>
        <v>0.2660509035648011</v>
      </c>
      <c r="J14" s="19"/>
      <c r="K14" s="18"/>
      <c r="L14" s="18"/>
      <c r="M14" s="18"/>
      <c r="N14" s="18"/>
    </row>
    <row r="15" spans="2:14" x14ac:dyDescent="0.25">
      <c r="B15" s="20"/>
      <c r="C15" s="15"/>
      <c r="D15" s="15"/>
      <c r="E15" s="15"/>
      <c r="F15" s="15"/>
      <c r="G15" s="15"/>
      <c r="H15" s="15"/>
      <c r="I15" s="21"/>
      <c r="J15" s="15"/>
      <c r="K15" s="15"/>
      <c r="L15" s="15"/>
      <c r="M15" s="15"/>
      <c r="N15" s="15"/>
    </row>
    <row r="16" spans="2:14" x14ac:dyDescent="0.25">
      <c r="B16" s="15" t="s">
        <v>77</v>
      </c>
      <c r="C16" s="15"/>
      <c r="D16" s="15"/>
      <c r="E16" s="16">
        <f>IS!B4</f>
        <v>17987.099999999999</v>
      </c>
      <c r="F16" s="16">
        <f>IS!C4</f>
        <v>32287.4</v>
      </c>
      <c r="G16" s="16">
        <f>IS!D4</f>
        <v>24720.1</v>
      </c>
      <c r="H16" s="16">
        <f>IS!E4</f>
        <v>31919.7</v>
      </c>
      <c r="I16" s="16">
        <f>IS!F4</f>
        <v>59538.3</v>
      </c>
      <c r="J16" s="16"/>
      <c r="K16" s="16"/>
      <c r="L16" s="16"/>
      <c r="M16" s="16"/>
      <c r="N16" s="16"/>
    </row>
    <row r="17" spans="2:14" x14ac:dyDescent="0.25">
      <c r="B17" s="17" t="s">
        <v>78</v>
      </c>
      <c r="C17" s="15"/>
      <c r="D17" s="15"/>
      <c r="E17" s="18">
        <f>E16/E13</f>
        <v>6.81223491342825E-2</v>
      </c>
      <c r="F17" s="18">
        <f t="shared" ref="F17:I17" si="3">F16/F13</f>
        <v>0.12790234746842691</v>
      </c>
      <c r="G17" s="18">
        <f t="shared" si="3"/>
        <v>8.7813353330446486E-2</v>
      </c>
      <c r="H17" s="18">
        <f t="shared" si="3"/>
        <v>9.1043017088980549E-2</v>
      </c>
      <c r="I17" s="18">
        <f t="shared" si="3"/>
        <v>0.13413221704987657</v>
      </c>
      <c r="J17" s="19"/>
      <c r="K17" s="18"/>
      <c r="L17" s="18"/>
      <c r="M17" s="18"/>
      <c r="N17" s="18"/>
    </row>
    <row r="18" spans="2:14" x14ac:dyDescent="0.25">
      <c r="B18" s="15"/>
      <c r="C18" s="15"/>
      <c r="D18" s="15"/>
      <c r="E18" s="15"/>
      <c r="F18" s="15"/>
      <c r="G18" s="15"/>
      <c r="H18" s="15"/>
      <c r="I18" s="21"/>
      <c r="J18" s="15"/>
      <c r="K18" s="15"/>
      <c r="L18" s="15"/>
      <c r="M18" s="15"/>
      <c r="N18" s="15"/>
    </row>
    <row r="19" spans="2:14" x14ac:dyDescent="0.25">
      <c r="B19" s="15" t="s">
        <v>79</v>
      </c>
      <c r="C19" s="15"/>
      <c r="D19" s="15"/>
      <c r="E19" s="16">
        <f>IS!B12</f>
        <v>395.3</v>
      </c>
      <c r="F19" s="16">
        <f>IS!C12</f>
        <v>2541.9</v>
      </c>
      <c r="G19" s="16">
        <f>IS!D12</f>
        <v>4231.3</v>
      </c>
      <c r="H19" s="16">
        <f>IS!E12</f>
        <v>704.1</v>
      </c>
      <c r="I19" s="16">
        <f>IS!F12</f>
        <v>-3851.6</v>
      </c>
      <c r="J19" s="16"/>
      <c r="K19" s="16"/>
      <c r="L19" s="16"/>
      <c r="M19" s="16"/>
      <c r="N19" s="16"/>
    </row>
    <row r="20" spans="2:14" x14ac:dyDescent="0.25">
      <c r="B20" s="17" t="s">
        <v>80</v>
      </c>
      <c r="C20" s="15"/>
      <c r="D20" s="15"/>
      <c r="E20" s="18">
        <f>E19/E13</f>
        <v>1.4971154111992416E-3</v>
      </c>
      <c r="F20" s="18">
        <f t="shared" ref="F20:I20" si="4">F19/F13</f>
        <v>1.006940716905029E-2</v>
      </c>
      <c r="G20" s="18">
        <f t="shared" si="4"/>
        <v>1.503087131310627E-2</v>
      </c>
      <c r="H20" s="18">
        <f t="shared" si="4"/>
        <v>2.0082703888931039E-3</v>
      </c>
      <c r="I20" s="18">
        <f t="shared" si="4"/>
        <v>-8.6771649037561474E-3</v>
      </c>
      <c r="J20" s="19"/>
      <c r="K20" s="18"/>
      <c r="L20" s="18"/>
      <c r="M20" s="18"/>
      <c r="N20" s="18"/>
    </row>
    <row r="21" spans="2:14" x14ac:dyDescent="0.25">
      <c r="B21" s="15"/>
      <c r="C21" s="15"/>
      <c r="D21" s="15"/>
      <c r="E21" s="15"/>
      <c r="F21" s="15"/>
      <c r="G21" s="15"/>
      <c r="H21" s="15"/>
      <c r="I21" s="21"/>
      <c r="J21" s="15"/>
      <c r="K21" s="15"/>
      <c r="L21" s="15"/>
      <c r="M21" s="15"/>
      <c r="N21" s="15"/>
    </row>
    <row r="22" spans="2:14" x14ac:dyDescent="0.25">
      <c r="B22" s="11" t="s">
        <v>81</v>
      </c>
      <c r="C22" s="12"/>
      <c r="D22" s="12"/>
      <c r="E22" s="11">
        <f>E12</f>
        <v>2020</v>
      </c>
      <c r="F22" s="11">
        <f t="shared" ref="F22:N22" si="5">F12</f>
        <v>2021</v>
      </c>
      <c r="G22" s="11">
        <f t="shared" si="5"/>
        <v>2022</v>
      </c>
      <c r="H22" s="11">
        <f t="shared" si="5"/>
        <v>2023</v>
      </c>
      <c r="I22" s="11">
        <f t="shared" si="5"/>
        <v>2024</v>
      </c>
      <c r="J22" s="11">
        <f t="shared" si="5"/>
        <v>2025</v>
      </c>
      <c r="K22" s="11">
        <f t="shared" si="5"/>
        <v>2026</v>
      </c>
      <c r="L22" s="11">
        <f t="shared" si="5"/>
        <v>2027</v>
      </c>
      <c r="M22" s="11">
        <f t="shared" si="5"/>
        <v>2028</v>
      </c>
      <c r="N22" s="11">
        <f t="shared" si="5"/>
        <v>2029</v>
      </c>
    </row>
    <row r="23" spans="2:14" x14ac:dyDescent="0.25">
      <c r="B23" s="15" t="s">
        <v>82</v>
      </c>
      <c r="C23" s="15"/>
      <c r="D23" s="15"/>
      <c r="E23" s="16">
        <f>IS!B10</f>
        <v>21425.4</v>
      </c>
      <c r="F23" s="16">
        <f>IS!C10</f>
        <v>23546.7</v>
      </c>
      <c r="G23" s="16">
        <f>IS!D10</f>
        <v>24835.7</v>
      </c>
      <c r="H23" s="16">
        <f>IS!E10</f>
        <v>24860.400000000001</v>
      </c>
      <c r="I23" s="16">
        <f>IS!F10</f>
        <v>27270.1</v>
      </c>
      <c r="J23" s="22"/>
      <c r="K23" s="22"/>
      <c r="L23" s="22"/>
      <c r="M23" s="22"/>
      <c r="N23" s="22"/>
    </row>
    <row r="24" spans="2:14" x14ac:dyDescent="0.25">
      <c r="B24" s="17" t="s">
        <v>78</v>
      </c>
      <c r="C24" s="15"/>
      <c r="D24" s="15"/>
      <c r="E24" s="18">
        <f>E23/$E$13</f>
        <v>8.1144185507483507E-2</v>
      </c>
      <c r="F24" s="18">
        <f t="shared" ref="F24:I24" si="6">F23/$E$13</f>
        <v>8.917816203613757E-2</v>
      </c>
      <c r="G24" s="18">
        <f t="shared" si="6"/>
        <v>9.4059977783761711E-2</v>
      </c>
      <c r="H24" s="18">
        <f t="shared" si="6"/>
        <v>9.4153523826404309E-2</v>
      </c>
      <c r="I24" s="18">
        <f t="shared" si="6"/>
        <v>0.10327975455336309</v>
      </c>
      <c r="J24" s="19"/>
      <c r="K24" s="18"/>
      <c r="L24" s="18"/>
      <c r="M24" s="18"/>
      <c r="N24" s="18"/>
    </row>
    <row r="25" spans="2:14" x14ac:dyDescent="0.25">
      <c r="B25" s="15"/>
      <c r="C25" s="15"/>
      <c r="D25" s="15"/>
      <c r="E25" s="23"/>
      <c r="F25" s="23"/>
      <c r="G25" s="23"/>
      <c r="H25" s="23"/>
      <c r="I25" s="24"/>
      <c r="J25" s="23"/>
      <c r="K25" s="23"/>
      <c r="L25" s="23"/>
      <c r="M25" s="23"/>
      <c r="N25" s="23"/>
    </row>
    <row r="26" spans="2:14" x14ac:dyDescent="0.25">
      <c r="B26" s="15" t="s">
        <v>83</v>
      </c>
      <c r="C26" s="15"/>
      <c r="D26" s="15"/>
      <c r="E26" s="16">
        <v>0</v>
      </c>
      <c r="F26" s="16">
        <f>CAPX!C6</f>
        <v>3084.6000000000058</v>
      </c>
      <c r="G26" s="16">
        <f>CAPX!D6</f>
        <v>10568.399999999994</v>
      </c>
      <c r="H26" s="16">
        <f>CAPX!E6</f>
        <v>2785.6999999999825</v>
      </c>
      <c r="I26" s="16">
        <f>CAPX!F6</f>
        <v>-10609.899999999994</v>
      </c>
      <c r="J26" s="22"/>
      <c r="K26" s="22"/>
      <c r="L26" s="22"/>
      <c r="M26" s="22"/>
      <c r="N26" s="22"/>
    </row>
    <row r="27" spans="2:14" x14ac:dyDescent="0.25">
      <c r="B27" s="17" t="s">
        <v>78</v>
      </c>
      <c r="C27" s="15"/>
      <c r="D27" s="15"/>
      <c r="E27" s="18">
        <f>E26/$E$13</f>
        <v>0</v>
      </c>
      <c r="F27" s="18">
        <f t="shared" ref="F27:I27" si="7">F26/$E$13</f>
        <v>1.1682272191715632E-2</v>
      </c>
      <c r="G27" s="18">
        <f t="shared" si="7"/>
        <v>4.0025586925671777E-2</v>
      </c>
      <c r="H27" s="18">
        <f t="shared" si="7"/>
        <v>1.0550251457064763E-2</v>
      </c>
      <c r="I27" s="18">
        <f t="shared" si="7"/>
        <v>-4.0182759426468061E-2</v>
      </c>
      <c r="J27" s="19"/>
      <c r="K27" s="18"/>
      <c r="L27" s="18"/>
      <c r="M27" s="18"/>
      <c r="N27" s="18"/>
    </row>
    <row r="28" spans="2:14" x14ac:dyDescent="0.25">
      <c r="B28" s="15"/>
      <c r="C28" s="15"/>
      <c r="D28" s="15"/>
      <c r="E28" s="23"/>
      <c r="F28" s="23"/>
      <c r="G28" s="23"/>
      <c r="H28" s="23"/>
      <c r="I28" s="24"/>
      <c r="J28" s="23"/>
      <c r="K28" s="163"/>
      <c r="L28" s="23"/>
      <c r="M28" s="23"/>
      <c r="N28" s="23"/>
    </row>
    <row r="29" spans="2:14" x14ac:dyDescent="0.25">
      <c r="B29" s="15" t="s">
        <v>84</v>
      </c>
      <c r="C29" s="15"/>
      <c r="D29" s="15"/>
      <c r="E29" s="25">
        <v>0</v>
      </c>
      <c r="F29" s="25">
        <f>CAPX!E17</f>
        <v>10005.199999999997</v>
      </c>
      <c r="G29" s="25">
        <f>CAPX!F17</f>
        <v>7156.3000000000175</v>
      </c>
      <c r="H29" s="25">
        <f>CAPX!G17</f>
        <v>206.5</v>
      </c>
      <c r="I29" s="25">
        <f>CAPX!H17</f>
        <v>-1726</v>
      </c>
      <c r="J29" s="23"/>
      <c r="K29" s="23"/>
      <c r="L29" s="23"/>
      <c r="M29" s="23"/>
      <c r="N29" s="23"/>
    </row>
    <row r="30" spans="2:14" x14ac:dyDescent="0.25">
      <c r="B30" s="17" t="s">
        <v>78</v>
      </c>
      <c r="C30" s="15"/>
      <c r="D30" s="15"/>
      <c r="E30" s="26">
        <f>E29/$E$13</f>
        <v>0</v>
      </c>
      <c r="F30" s="26">
        <f t="shared" ref="F30:I30" si="8">F29/$E$13</f>
        <v>3.7892585661853391E-2</v>
      </c>
      <c r="G30" s="26">
        <f t="shared" si="8"/>
        <v>2.7102977528877203E-2</v>
      </c>
      <c r="H30" s="26">
        <f t="shared" si="8"/>
        <v>7.8207521480557385E-4</v>
      </c>
      <c r="I30" s="26">
        <f t="shared" si="8"/>
        <v>-6.5368611174548208E-3</v>
      </c>
      <c r="J30" s="19"/>
      <c r="K30" s="18"/>
      <c r="L30" s="18"/>
      <c r="M30" s="18"/>
      <c r="N30" s="18"/>
    </row>
    <row r="31" spans="2:14" x14ac:dyDescent="0.25">
      <c r="I31" s="28"/>
    </row>
    <row r="32" spans="2:14" x14ac:dyDescent="0.25">
      <c r="B32" s="11" t="s">
        <v>85</v>
      </c>
      <c r="C32" s="12"/>
      <c r="D32" s="12"/>
      <c r="E32" s="11">
        <f t="shared" ref="E32:N32" si="9">E22</f>
        <v>2020</v>
      </c>
      <c r="F32" s="11">
        <f t="shared" si="9"/>
        <v>2021</v>
      </c>
      <c r="G32" s="11">
        <f t="shared" si="9"/>
        <v>2022</v>
      </c>
      <c r="H32" s="11">
        <f t="shared" si="9"/>
        <v>2023</v>
      </c>
      <c r="I32" s="14">
        <f t="shared" si="9"/>
        <v>2024</v>
      </c>
      <c r="J32" s="11">
        <f t="shared" si="9"/>
        <v>2025</v>
      </c>
      <c r="K32" s="11">
        <f t="shared" si="9"/>
        <v>2026</v>
      </c>
      <c r="L32" s="11">
        <f t="shared" si="9"/>
        <v>2027</v>
      </c>
      <c r="M32" s="11">
        <f t="shared" si="9"/>
        <v>2028</v>
      </c>
      <c r="N32" s="11">
        <f t="shared" si="9"/>
        <v>2029</v>
      </c>
    </row>
    <row r="33" spans="2:14" x14ac:dyDescent="0.25">
      <c r="B33" t="s">
        <v>75</v>
      </c>
      <c r="E33" s="29"/>
      <c r="F33" s="29"/>
      <c r="G33" s="29"/>
      <c r="H33" s="29"/>
      <c r="I33" s="30"/>
      <c r="J33" s="31"/>
      <c r="K33" s="31"/>
      <c r="L33" s="31"/>
      <c r="M33" s="31"/>
      <c r="N33" s="31"/>
    </row>
    <row r="34" spans="2:14" x14ac:dyDescent="0.25">
      <c r="B34" s="32" t="s">
        <v>76</v>
      </c>
      <c r="E34" s="33"/>
      <c r="F34" s="33"/>
      <c r="G34" s="33"/>
      <c r="H34" s="33"/>
      <c r="I34" s="34"/>
      <c r="J34" s="35"/>
      <c r="K34" s="35"/>
      <c r="L34" s="35"/>
      <c r="M34" s="35"/>
      <c r="N34" s="35"/>
    </row>
    <row r="35" spans="2:14" x14ac:dyDescent="0.25">
      <c r="I35" s="28"/>
    </row>
    <row r="36" spans="2:14" x14ac:dyDescent="0.25">
      <c r="B36" t="s">
        <v>77</v>
      </c>
      <c r="E36" s="29"/>
      <c r="F36" s="29"/>
      <c r="G36" s="29"/>
      <c r="H36" s="29"/>
      <c r="I36" s="30"/>
      <c r="J36" s="31"/>
      <c r="K36" s="31"/>
      <c r="L36" s="31"/>
      <c r="M36" s="31"/>
      <c r="N36" s="31"/>
    </row>
    <row r="37" spans="2:14" x14ac:dyDescent="0.25">
      <c r="B37" s="32" t="s">
        <v>86</v>
      </c>
      <c r="E37" s="33"/>
      <c r="F37" s="33"/>
      <c r="G37" s="33"/>
      <c r="H37" s="33"/>
      <c r="I37" s="34"/>
      <c r="J37" s="35"/>
      <c r="K37" s="35"/>
      <c r="L37" s="35"/>
      <c r="M37" s="35"/>
      <c r="N37" s="35"/>
    </row>
    <row r="38" spans="2:14" x14ac:dyDescent="0.25">
      <c r="I38" s="28"/>
      <c r="K38" s="36"/>
      <c r="L38" s="36"/>
    </row>
    <row r="39" spans="2:14" x14ac:dyDescent="0.25">
      <c r="B39" t="s">
        <v>79</v>
      </c>
      <c r="E39" s="29"/>
      <c r="F39" s="29"/>
      <c r="G39" s="29"/>
      <c r="H39" s="29"/>
      <c r="I39" s="30"/>
      <c r="J39" s="31"/>
      <c r="K39" s="31"/>
      <c r="L39" s="31"/>
      <c r="M39" s="31"/>
      <c r="N39" s="31"/>
    </row>
    <row r="40" spans="2:14" x14ac:dyDescent="0.25">
      <c r="B40" s="32" t="s">
        <v>80</v>
      </c>
      <c r="E40" s="33"/>
      <c r="F40" s="33"/>
      <c r="G40" s="33"/>
      <c r="H40" s="33"/>
      <c r="I40" s="34"/>
      <c r="J40" s="35"/>
      <c r="K40" s="35"/>
      <c r="L40" s="35"/>
      <c r="M40" s="35"/>
      <c r="N40" s="35"/>
    </row>
    <row r="41" spans="2:14" x14ac:dyDescent="0.25">
      <c r="I41" s="28"/>
    </row>
    <row r="42" spans="2:14" x14ac:dyDescent="0.25">
      <c r="B42" s="37" t="s">
        <v>87</v>
      </c>
      <c r="C42" s="38"/>
      <c r="D42" s="38"/>
      <c r="E42" s="38"/>
      <c r="F42" s="38"/>
      <c r="G42" s="38"/>
      <c r="H42" s="38"/>
      <c r="I42" s="39"/>
      <c r="J42" s="40"/>
      <c r="K42" s="40"/>
      <c r="L42" s="40"/>
      <c r="M42" s="40"/>
      <c r="N42" s="41"/>
    </row>
    <row r="43" spans="2:14" x14ac:dyDescent="0.25">
      <c r="I43" s="28"/>
      <c r="K43" s="42"/>
    </row>
    <row r="44" spans="2:14" x14ac:dyDescent="0.25">
      <c r="B44" t="s">
        <v>82</v>
      </c>
      <c r="E44" s="29"/>
      <c r="F44" s="29"/>
      <c r="G44" s="29"/>
      <c r="H44" s="29"/>
      <c r="I44" s="30"/>
      <c r="J44" s="29"/>
      <c r="K44" s="29"/>
      <c r="L44" s="29"/>
      <c r="M44" s="29"/>
      <c r="N44" s="29"/>
    </row>
    <row r="45" spans="2:14" x14ac:dyDescent="0.25">
      <c r="B45" s="32" t="s">
        <v>78</v>
      </c>
      <c r="E45" s="33"/>
      <c r="F45" s="33"/>
      <c r="G45" s="33"/>
      <c r="H45" s="33"/>
      <c r="I45" s="34"/>
      <c r="J45" s="43"/>
      <c r="K45" s="43"/>
      <c r="L45" s="43"/>
      <c r="M45" s="43"/>
      <c r="N45" s="43"/>
    </row>
    <row r="46" spans="2:14" x14ac:dyDescent="0.25">
      <c r="I46" s="28"/>
    </row>
    <row r="47" spans="2:14" x14ac:dyDescent="0.25">
      <c r="B47" t="s">
        <v>83</v>
      </c>
      <c r="E47" s="29"/>
      <c r="F47" s="29"/>
      <c r="G47" s="29"/>
      <c r="H47" s="29"/>
      <c r="I47" s="30"/>
      <c r="J47" s="29"/>
      <c r="K47" s="29"/>
      <c r="L47" s="29"/>
      <c r="M47" s="29"/>
      <c r="N47" s="29"/>
    </row>
    <row r="48" spans="2:14" x14ac:dyDescent="0.25">
      <c r="B48" s="32" t="s">
        <v>78</v>
      </c>
      <c r="E48" s="33"/>
      <c r="F48" s="33"/>
      <c r="G48" s="33"/>
      <c r="H48" s="33"/>
      <c r="I48" s="34"/>
      <c r="J48" s="43"/>
      <c r="K48" s="43"/>
      <c r="L48" s="43"/>
      <c r="M48" s="43"/>
      <c r="N48" s="43"/>
    </row>
    <row r="49" spans="2:14" x14ac:dyDescent="0.25">
      <c r="I49" s="28"/>
    </row>
    <row r="50" spans="2:14" x14ac:dyDescent="0.25">
      <c r="B50" t="s">
        <v>84</v>
      </c>
      <c r="E50" s="44"/>
      <c r="F50" s="44"/>
      <c r="G50" s="44"/>
      <c r="H50" s="44"/>
      <c r="I50" s="45"/>
      <c r="J50" s="46"/>
      <c r="K50" s="46"/>
      <c r="L50" s="46"/>
      <c r="M50" s="46"/>
      <c r="N50" s="46"/>
    </row>
    <row r="51" spans="2:14" x14ac:dyDescent="0.25">
      <c r="B51" s="32" t="s">
        <v>78</v>
      </c>
      <c r="E51" s="47"/>
      <c r="F51" s="47"/>
      <c r="G51" s="47"/>
      <c r="H51" s="47"/>
      <c r="I51" s="27"/>
      <c r="J51" s="47"/>
      <c r="K51" s="48"/>
      <c r="L51" s="48"/>
      <c r="M51" s="48"/>
      <c r="N51" s="48"/>
    </row>
    <row r="52" spans="2:14" x14ac:dyDescent="0.25">
      <c r="I52" s="49"/>
    </row>
    <row r="53" spans="2:14" x14ac:dyDescent="0.25">
      <c r="B53" s="37" t="s">
        <v>88</v>
      </c>
      <c r="C53" s="38"/>
      <c r="D53" s="38"/>
      <c r="E53" s="38"/>
      <c r="F53" s="38"/>
      <c r="G53" s="38"/>
      <c r="H53" s="38"/>
      <c r="I53" s="39"/>
      <c r="J53" s="50"/>
      <c r="K53" s="50"/>
      <c r="L53" s="50"/>
      <c r="M53" s="50"/>
      <c r="N53" s="51"/>
    </row>
    <row r="54" spans="2:14" x14ac:dyDescent="0.25">
      <c r="B54" s="37" t="s">
        <v>89</v>
      </c>
      <c r="C54" s="38"/>
      <c r="D54" s="38"/>
      <c r="E54" s="38"/>
      <c r="F54" s="38"/>
      <c r="G54" s="38"/>
      <c r="H54" s="38"/>
      <c r="I54" s="39"/>
      <c r="J54" s="50"/>
      <c r="K54" s="50"/>
      <c r="L54" s="50"/>
      <c r="M54" s="50"/>
      <c r="N54" s="51"/>
    </row>
    <row r="55" spans="2:14" x14ac:dyDescent="0.25">
      <c r="J55" s="52"/>
    </row>
    <row r="56" spans="2:14" x14ac:dyDescent="0.25">
      <c r="B56" t="s">
        <v>90</v>
      </c>
      <c r="J56" s="52"/>
      <c r="N56" s="46"/>
    </row>
    <row r="57" spans="2:14" x14ac:dyDescent="0.25">
      <c r="B57" s="5" t="s">
        <v>91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3"/>
    </row>
    <row r="58" spans="2:14" x14ac:dyDescent="0.25">
      <c r="B58" s="1" t="s">
        <v>92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4"/>
    </row>
    <row r="59" spans="2:14" x14ac:dyDescent="0.25">
      <c r="B59" s="55" t="s">
        <v>93</v>
      </c>
      <c r="N59" s="56"/>
    </row>
    <row r="60" spans="2:14" x14ac:dyDescent="0.25">
      <c r="B60" s="57" t="s">
        <v>94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8"/>
    </row>
    <row r="61" spans="2:14" x14ac:dyDescent="0.25">
      <c r="B61" s="1" t="s">
        <v>95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54"/>
    </row>
    <row r="62" spans="2:14" x14ac:dyDescent="0.25">
      <c r="B62" s="5" t="s">
        <v>96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9"/>
    </row>
    <row r="63" spans="2:14" x14ac:dyDescent="0.25">
      <c r="B63" s="1" t="s">
        <v>97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C200-4129-4F1F-989A-E70DF0B1D6E7}">
  <dimension ref="B2:I22"/>
  <sheetViews>
    <sheetView topLeftCell="A4" workbookViewId="0">
      <selection activeCell="K11" sqref="K11"/>
    </sheetView>
  </sheetViews>
  <sheetFormatPr defaultRowHeight="15" x14ac:dyDescent="0.25"/>
  <sheetData>
    <row r="2" spans="2:9" ht="21" x14ac:dyDescent="0.35">
      <c r="B2" s="4" t="s">
        <v>72</v>
      </c>
      <c r="C2" s="5"/>
      <c r="D2" s="5"/>
      <c r="E2" s="5"/>
      <c r="F2" s="5"/>
      <c r="G2" s="5"/>
      <c r="H2" s="5"/>
      <c r="I2" s="5"/>
    </row>
    <row r="4" spans="2:9" x14ac:dyDescent="0.25">
      <c r="B4" s="11" t="s">
        <v>72</v>
      </c>
      <c r="C4" s="12"/>
      <c r="D4" s="12"/>
      <c r="E4" s="12"/>
      <c r="F4" s="12"/>
      <c r="G4" s="12"/>
      <c r="H4" s="12"/>
      <c r="I4" s="12"/>
    </row>
    <row r="5" spans="2:9" x14ac:dyDescent="0.25">
      <c r="B5" s="1" t="s">
        <v>98</v>
      </c>
    </row>
    <row r="6" spans="2:9" x14ac:dyDescent="0.25">
      <c r="B6" s="1" t="s">
        <v>99</v>
      </c>
    </row>
    <row r="8" spans="2:9" x14ac:dyDescent="0.25">
      <c r="B8" t="s">
        <v>100</v>
      </c>
      <c r="D8" s="42"/>
    </row>
    <row r="9" spans="2:9" x14ac:dyDescent="0.25">
      <c r="B9" t="s">
        <v>101</v>
      </c>
      <c r="D9" s="61"/>
    </row>
    <row r="10" spans="2:9" x14ac:dyDescent="0.25">
      <c r="B10" t="s">
        <v>102</v>
      </c>
      <c r="D10" s="62">
        <v>0.02</v>
      </c>
    </row>
    <row r="11" spans="2:9" x14ac:dyDescent="0.25">
      <c r="B11" t="s">
        <v>103</v>
      </c>
      <c r="D11" s="62">
        <v>0.21</v>
      </c>
    </row>
    <row r="13" spans="2:9" x14ac:dyDescent="0.25">
      <c r="B13" t="s">
        <v>95</v>
      </c>
      <c r="D13" s="42"/>
    </row>
    <row r="14" spans="2:9" x14ac:dyDescent="0.25">
      <c r="B14" t="s">
        <v>104</v>
      </c>
      <c r="D14" s="63"/>
    </row>
    <row r="15" spans="2:9" x14ac:dyDescent="0.25">
      <c r="B15" t="s">
        <v>105</v>
      </c>
      <c r="D15" s="36"/>
    </row>
    <row r="16" spans="2:9" x14ac:dyDescent="0.25">
      <c r="B16" t="s">
        <v>106</v>
      </c>
      <c r="D16" s="62">
        <v>2.758E-2</v>
      </c>
    </row>
    <row r="17" spans="2:4" x14ac:dyDescent="0.25">
      <c r="B17" t="s">
        <v>107</v>
      </c>
      <c r="D17" s="64">
        <v>1.25</v>
      </c>
    </row>
    <row r="18" spans="2:4" x14ac:dyDescent="0.25">
      <c r="B18" t="s">
        <v>108</v>
      </c>
      <c r="D18" s="62">
        <v>4.24E-2</v>
      </c>
    </row>
    <row r="20" spans="2:4" x14ac:dyDescent="0.25">
      <c r="B20" t="s">
        <v>109</v>
      </c>
      <c r="D20" s="42"/>
    </row>
    <row r="22" spans="2:4" x14ac:dyDescent="0.25">
      <c r="B22" s="65" t="s">
        <v>72</v>
      </c>
      <c r="C22" s="66"/>
      <c r="D22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255F-2320-438C-B00C-266EF95566F2}">
  <dimension ref="B3:E41"/>
  <sheetViews>
    <sheetView topLeftCell="A31" workbookViewId="0">
      <selection activeCell="G15" sqref="G15"/>
    </sheetView>
  </sheetViews>
  <sheetFormatPr defaultRowHeight="15" x14ac:dyDescent="0.25"/>
  <cols>
    <col min="2" max="2" width="43.140625" customWidth="1"/>
    <col min="3" max="3" width="11.85546875" bestFit="1" customWidth="1"/>
    <col min="4" max="4" width="13.28515625" customWidth="1"/>
    <col min="5" max="5" width="14.42578125" bestFit="1" customWidth="1"/>
  </cols>
  <sheetData>
    <row r="3" spans="2:5" ht="21" x14ac:dyDescent="0.35">
      <c r="B3" s="4" t="s">
        <v>110</v>
      </c>
      <c r="C3" s="5"/>
      <c r="D3" s="5"/>
      <c r="E3" s="5"/>
    </row>
    <row r="4" spans="2:5" x14ac:dyDescent="0.25">
      <c r="B4" s="68"/>
    </row>
    <row r="5" spans="2:5" x14ac:dyDescent="0.25">
      <c r="B5" s="69" t="s">
        <v>111</v>
      </c>
      <c r="C5" s="70"/>
      <c r="D5" s="70"/>
      <c r="E5" s="70"/>
    </row>
    <row r="6" spans="2:5" x14ac:dyDescent="0.25">
      <c r="B6" s="71"/>
      <c r="C6" s="72"/>
      <c r="D6" s="72"/>
      <c r="E6" s="72"/>
    </row>
    <row r="7" spans="2:5" x14ac:dyDescent="0.25">
      <c r="B7" s="73" t="s">
        <v>112</v>
      </c>
      <c r="E7" s="74">
        <f>[3]Comps!F13</f>
        <v>0</v>
      </c>
    </row>
    <row r="8" spans="2:5" x14ac:dyDescent="0.25">
      <c r="B8" s="75" t="s">
        <v>113</v>
      </c>
      <c r="E8" s="76">
        <v>10495.566881000001</v>
      </c>
    </row>
    <row r="9" spans="2:5" x14ac:dyDescent="0.25">
      <c r="B9" s="73" t="s">
        <v>114</v>
      </c>
      <c r="E9" s="77">
        <f>E31</f>
        <v>0</v>
      </c>
    </row>
    <row r="10" spans="2:5" x14ac:dyDescent="0.25">
      <c r="B10" s="73" t="s">
        <v>115</v>
      </c>
      <c r="E10" s="78">
        <f>SUMPRODUCT(D20:D29,E20:E29)</f>
        <v>0</v>
      </c>
    </row>
    <row r="11" spans="2:5" x14ac:dyDescent="0.25">
      <c r="B11" s="73" t="s">
        <v>116</v>
      </c>
      <c r="E11" s="78" t="e">
        <f>E10/E7</f>
        <v>#DIV/0!</v>
      </c>
    </row>
    <row r="12" spans="2:5" x14ac:dyDescent="0.25">
      <c r="B12" s="73" t="s">
        <v>117</v>
      </c>
      <c r="E12" s="78" t="e">
        <f>E9-E11</f>
        <v>#DIV/0!</v>
      </c>
    </row>
    <row r="13" spans="2:5" x14ac:dyDescent="0.25">
      <c r="B13" s="73" t="s">
        <v>118</v>
      </c>
      <c r="E13" s="76">
        <f>380.5+E40</f>
        <v>380.5</v>
      </c>
    </row>
    <row r="14" spans="2:5" x14ac:dyDescent="0.25">
      <c r="B14" s="73"/>
      <c r="E14" s="79"/>
    </row>
    <row r="15" spans="2:5" x14ac:dyDescent="0.25">
      <c r="B15" s="80" t="s">
        <v>119</v>
      </c>
      <c r="D15" s="81"/>
      <c r="E15" s="82" t="e">
        <f>E8+E12+E13</f>
        <v>#DIV/0!</v>
      </c>
    </row>
    <row r="16" spans="2:5" x14ac:dyDescent="0.25">
      <c r="B16" s="80"/>
      <c r="D16" s="81"/>
      <c r="E16" s="78"/>
    </row>
    <row r="17" spans="2:5" x14ac:dyDescent="0.25">
      <c r="B17" s="69" t="s">
        <v>120</v>
      </c>
      <c r="C17" s="70"/>
      <c r="D17" s="70"/>
      <c r="E17" s="70"/>
    </row>
    <row r="18" spans="2:5" x14ac:dyDescent="0.25">
      <c r="B18" s="71"/>
      <c r="C18" s="72"/>
      <c r="D18" s="72"/>
      <c r="E18" s="72"/>
    </row>
    <row r="19" spans="2:5" x14ac:dyDescent="0.25">
      <c r="C19" s="83" t="s">
        <v>121</v>
      </c>
      <c r="D19" s="83" t="s">
        <v>122</v>
      </c>
      <c r="E19" s="83" t="s">
        <v>123</v>
      </c>
    </row>
    <row r="20" spans="2:5" x14ac:dyDescent="0.25">
      <c r="B20" s="84">
        <v>1</v>
      </c>
      <c r="C20" s="76"/>
      <c r="D20" s="85"/>
      <c r="E20" s="86" t="b">
        <f t="shared" ref="E20:E29" si="0">IF(D20&lt;$E$6,C20)</f>
        <v>0</v>
      </c>
    </row>
    <row r="21" spans="2:5" x14ac:dyDescent="0.25">
      <c r="B21" s="84">
        <f t="shared" ref="B21:B29" si="1">B20+1</f>
        <v>2</v>
      </c>
      <c r="C21" s="76"/>
      <c r="D21" s="76"/>
      <c r="E21" s="86" t="b">
        <f t="shared" si="0"/>
        <v>0</v>
      </c>
    </row>
    <row r="22" spans="2:5" x14ac:dyDescent="0.25">
      <c r="B22" s="84">
        <f t="shared" si="1"/>
        <v>3</v>
      </c>
      <c r="C22" s="76"/>
      <c r="D22" s="76"/>
      <c r="E22" s="86" t="b">
        <f t="shared" si="0"/>
        <v>0</v>
      </c>
    </row>
    <row r="23" spans="2:5" x14ac:dyDescent="0.25">
      <c r="B23" s="84">
        <f t="shared" si="1"/>
        <v>4</v>
      </c>
      <c r="C23" s="76"/>
      <c r="D23" s="76"/>
      <c r="E23" s="86" t="b">
        <f t="shared" si="0"/>
        <v>0</v>
      </c>
    </row>
    <row r="24" spans="2:5" x14ac:dyDescent="0.25">
      <c r="B24" s="84">
        <f t="shared" si="1"/>
        <v>5</v>
      </c>
      <c r="C24" s="76"/>
      <c r="D24" s="76"/>
      <c r="E24" s="86" t="b">
        <f t="shared" si="0"/>
        <v>0</v>
      </c>
    </row>
    <row r="25" spans="2:5" x14ac:dyDescent="0.25">
      <c r="B25" s="84">
        <f t="shared" si="1"/>
        <v>6</v>
      </c>
      <c r="C25" s="76"/>
      <c r="D25" s="76"/>
      <c r="E25" s="86" t="b">
        <f t="shared" si="0"/>
        <v>0</v>
      </c>
    </row>
    <row r="26" spans="2:5" x14ac:dyDescent="0.25">
      <c r="B26" s="84">
        <f t="shared" si="1"/>
        <v>7</v>
      </c>
      <c r="C26" s="76"/>
      <c r="D26" s="76"/>
      <c r="E26" s="86" t="b">
        <f t="shared" si="0"/>
        <v>0</v>
      </c>
    </row>
    <row r="27" spans="2:5" x14ac:dyDescent="0.25">
      <c r="B27" s="84">
        <f t="shared" si="1"/>
        <v>8</v>
      </c>
      <c r="C27" s="76"/>
      <c r="D27" s="76"/>
      <c r="E27" s="86" t="b">
        <f t="shared" si="0"/>
        <v>0</v>
      </c>
    </row>
    <row r="28" spans="2:5" x14ac:dyDescent="0.25">
      <c r="B28" s="84">
        <f t="shared" si="1"/>
        <v>9</v>
      </c>
      <c r="C28" s="76"/>
      <c r="D28" s="76"/>
      <c r="E28" s="86" t="b">
        <f t="shared" si="0"/>
        <v>0</v>
      </c>
    </row>
    <row r="29" spans="2:5" x14ac:dyDescent="0.25">
      <c r="B29" s="84">
        <f t="shared" si="1"/>
        <v>10</v>
      </c>
      <c r="C29" s="76"/>
      <c r="D29" s="76"/>
      <c r="E29" s="86" t="b">
        <f t="shared" si="0"/>
        <v>0</v>
      </c>
    </row>
    <row r="30" spans="2:5" x14ac:dyDescent="0.25">
      <c r="B30" s="87"/>
      <c r="C30" s="88"/>
      <c r="D30" s="88"/>
      <c r="E30" s="89"/>
    </row>
    <row r="31" spans="2:5" x14ac:dyDescent="0.25">
      <c r="B31" s="65" t="s">
        <v>124</v>
      </c>
      <c r="C31" s="90"/>
      <c r="D31" s="90"/>
      <c r="E31" s="91">
        <f>SUM(E20:E29)</f>
        <v>0</v>
      </c>
    </row>
    <row r="33" spans="2:5" x14ac:dyDescent="0.25">
      <c r="B33" s="69" t="s">
        <v>125</v>
      </c>
      <c r="C33" s="70"/>
      <c r="D33" s="70"/>
      <c r="E33" s="70"/>
    </row>
    <row r="34" spans="2:5" x14ac:dyDescent="0.25">
      <c r="E34" s="1"/>
    </row>
    <row r="35" spans="2:5" x14ac:dyDescent="0.25">
      <c r="B35" t="s">
        <v>126</v>
      </c>
      <c r="E35" s="92">
        <v>0</v>
      </c>
    </row>
    <row r="36" spans="2:5" x14ac:dyDescent="0.25">
      <c r="B36" t="s">
        <v>127</v>
      </c>
      <c r="E36" s="92">
        <v>0</v>
      </c>
    </row>
    <row r="37" spans="2:5" x14ac:dyDescent="0.25">
      <c r="B37" t="s">
        <v>128</v>
      </c>
      <c r="E37" s="93">
        <f>IFERROR(E35/E38,0)</f>
        <v>0</v>
      </c>
    </row>
    <row r="38" spans="2:5" x14ac:dyDescent="0.25">
      <c r="B38" t="s">
        <v>129</v>
      </c>
      <c r="E38" s="93">
        <f>E35*E36/1000</f>
        <v>0</v>
      </c>
    </row>
    <row r="40" spans="2:5" x14ac:dyDescent="0.25">
      <c r="B40" t="s">
        <v>130</v>
      </c>
      <c r="C40" s="1"/>
      <c r="E40" s="94">
        <f>IF(E7&gt;E37,E38,0)</f>
        <v>0</v>
      </c>
    </row>
    <row r="41" spans="2:5" x14ac:dyDescent="0.25">
      <c r="B41" s="32" t="s">
        <v>131</v>
      </c>
      <c r="C41" s="32"/>
      <c r="E41" s="95">
        <f>-E35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EF5E-CCF9-494D-A2B0-1F59AD726EE4}">
  <dimension ref="A1:F16"/>
  <sheetViews>
    <sheetView workbookViewId="0">
      <selection activeCell="I12" sqref="I12"/>
    </sheetView>
  </sheetViews>
  <sheetFormatPr defaultRowHeight="15" x14ac:dyDescent="0.25"/>
  <cols>
    <col min="1" max="1" width="34.28515625" bestFit="1" customWidth="1"/>
    <col min="2" max="6" width="9.855468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264041.09999999998</v>
      </c>
      <c r="C2">
        <v>252437.9</v>
      </c>
      <c r="D2">
        <v>281507.3</v>
      </c>
      <c r="E2" s="2">
        <v>350600.2</v>
      </c>
      <c r="F2">
        <v>443877.7</v>
      </c>
    </row>
    <row r="3" spans="1:6" x14ac:dyDescent="0.25">
      <c r="A3" t="s">
        <v>8</v>
      </c>
      <c r="B3">
        <v>243080.9</v>
      </c>
      <c r="C3">
        <v>217507.3</v>
      </c>
      <c r="D3">
        <v>253733.5</v>
      </c>
      <c r="E3" s="3">
        <v>314047.3</v>
      </c>
      <c r="F3">
        <v>378389.4</v>
      </c>
    </row>
    <row r="4" spans="1:6" x14ac:dyDescent="0.25">
      <c r="A4" t="s">
        <v>9</v>
      </c>
      <c r="B4">
        <v>17987.099999999999</v>
      </c>
      <c r="C4">
        <v>32287.4</v>
      </c>
      <c r="D4">
        <v>24720.1</v>
      </c>
      <c r="E4" s="2">
        <v>31919.7</v>
      </c>
      <c r="F4">
        <v>59538.3</v>
      </c>
    </row>
    <row r="5" spans="1:6" x14ac:dyDescent="0.25">
      <c r="A5" t="s">
        <v>10</v>
      </c>
      <c r="B5">
        <v>6.8099999999999994E-2</v>
      </c>
      <c r="C5">
        <v>0.12790000000000001</v>
      </c>
      <c r="D5">
        <v>8.7800000000000003E-2</v>
      </c>
      <c r="E5" s="3">
        <v>9.0999999999999998E-2</v>
      </c>
      <c r="F5">
        <v>0.1341</v>
      </c>
    </row>
    <row r="6" spans="1:6" x14ac:dyDescent="0.25">
      <c r="A6" t="s">
        <v>11</v>
      </c>
      <c r="B6">
        <v>271749.7</v>
      </c>
      <c r="C6">
        <v>249151.2</v>
      </c>
      <c r="D6">
        <v>287881.09999999998</v>
      </c>
      <c r="E6" s="2">
        <v>349133.1</v>
      </c>
      <c r="F6">
        <v>415645.3</v>
      </c>
    </row>
    <row r="7" spans="1:6" x14ac:dyDescent="0.25">
      <c r="A7" t="s">
        <v>12</v>
      </c>
      <c r="B7">
        <v>20960.2</v>
      </c>
      <c r="C7">
        <v>34930.6</v>
      </c>
      <c r="D7">
        <v>27773.7</v>
      </c>
      <c r="E7" s="3">
        <v>36552.9</v>
      </c>
      <c r="F7">
        <v>65488.3</v>
      </c>
    </row>
    <row r="8" spans="1:6" x14ac:dyDescent="0.25">
      <c r="A8" t="s">
        <v>13</v>
      </c>
      <c r="B8">
        <v>7.9399999999999998E-2</v>
      </c>
      <c r="C8">
        <v>0.1384</v>
      </c>
      <c r="D8">
        <v>9.8699999999999996E-2</v>
      </c>
      <c r="E8" s="2">
        <v>0.1043</v>
      </c>
      <c r="F8">
        <v>0.14749999999999999</v>
      </c>
    </row>
    <row r="9" spans="1:6" x14ac:dyDescent="0.25">
      <c r="A9" t="s">
        <v>14</v>
      </c>
      <c r="B9">
        <v>7243.3</v>
      </c>
      <c r="C9">
        <v>8097.2</v>
      </c>
      <c r="D9">
        <v>9311.9</v>
      </c>
      <c r="E9" s="3">
        <v>10225.5</v>
      </c>
      <c r="F9">
        <v>9985.7999999999993</v>
      </c>
    </row>
    <row r="10" spans="1:6" x14ac:dyDescent="0.25">
      <c r="A10" t="s">
        <v>15</v>
      </c>
      <c r="B10">
        <v>21425.4</v>
      </c>
      <c r="C10">
        <v>23546.7</v>
      </c>
      <c r="D10">
        <v>24835.7</v>
      </c>
      <c r="E10" s="2">
        <v>24860.400000000001</v>
      </c>
      <c r="F10">
        <v>27270.1</v>
      </c>
    </row>
    <row r="11" spans="1:6" x14ac:dyDescent="0.25">
      <c r="A11" t="s">
        <v>16</v>
      </c>
      <c r="B11">
        <v>-10580</v>
      </c>
      <c r="C11">
        <v>-10474.299999999999</v>
      </c>
      <c r="D11">
        <v>-7003.4</v>
      </c>
      <c r="E11" s="3">
        <v>3057.6</v>
      </c>
      <c r="F11">
        <v>27255.3</v>
      </c>
    </row>
    <row r="12" spans="1:6" x14ac:dyDescent="0.25">
      <c r="A12" t="s">
        <v>17</v>
      </c>
      <c r="B12">
        <v>395.3</v>
      </c>
      <c r="C12">
        <v>2541.9</v>
      </c>
      <c r="D12">
        <v>4231.3</v>
      </c>
      <c r="E12" s="2">
        <v>704.1</v>
      </c>
      <c r="F12">
        <v>-3851.6</v>
      </c>
    </row>
    <row r="13" spans="1:6" x14ac:dyDescent="0.25">
      <c r="A13" t="s">
        <v>18</v>
      </c>
      <c r="B13">
        <v>-10975.2</v>
      </c>
      <c r="C13">
        <v>-13016.1</v>
      </c>
      <c r="D13">
        <v>-11234.7</v>
      </c>
      <c r="E13" s="3">
        <v>2353.5</v>
      </c>
      <c r="F13">
        <v>31107</v>
      </c>
    </row>
    <row r="14" spans="1:6" x14ac:dyDescent="0.25">
      <c r="A14" t="s">
        <v>19</v>
      </c>
      <c r="B14">
        <v>-12070.9</v>
      </c>
      <c r="C14">
        <v>-13451.4</v>
      </c>
      <c r="D14">
        <v>-11441.5</v>
      </c>
      <c r="E14" s="2">
        <v>2414.3000000000002</v>
      </c>
      <c r="F14">
        <v>31399.1</v>
      </c>
    </row>
    <row r="15" spans="1:6" x14ac:dyDescent="0.25">
      <c r="A15" t="s">
        <v>20</v>
      </c>
      <c r="B15">
        <v>-4.2000000000000003E-2</v>
      </c>
      <c r="C15">
        <v>-5.21E-2</v>
      </c>
      <c r="D15">
        <v>-4.0300000000000002E-2</v>
      </c>
      <c r="E15" s="3">
        <v>6.7999999999999996E-3</v>
      </c>
      <c r="F15">
        <v>7.0999999999999994E-2</v>
      </c>
    </row>
    <row r="16" spans="1:6" x14ac:dyDescent="0.25">
      <c r="A16" t="s">
        <v>21</v>
      </c>
      <c r="B16">
        <v>-32.799999999999997</v>
      </c>
      <c r="C16">
        <v>-36.5</v>
      </c>
      <c r="D16">
        <v>-31.1</v>
      </c>
      <c r="E16" s="2">
        <v>6.6</v>
      </c>
      <c r="F16">
        <v>85.3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2012-EAB6-4BAE-ADDB-868EC0379BB3}">
  <dimension ref="A1:K35"/>
  <sheetViews>
    <sheetView workbookViewId="0">
      <selection activeCell="B25" sqref="B25"/>
    </sheetView>
  </sheetViews>
  <sheetFormatPr defaultRowHeight="15" x14ac:dyDescent="0.25"/>
  <cols>
    <col min="1" max="1" width="48.85546875" bestFit="1" customWidth="1"/>
    <col min="2" max="2" width="9.85546875" bestFit="1" customWidth="1"/>
    <col min="4" max="6" width="9.85546875" bestFit="1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22</v>
      </c>
      <c r="D1" t="s">
        <v>3</v>
      </c>
      <c r="E1" t="s">
        <v>4</v>
      </c>
      <c r="F1" t="s">
        <v>171</v>
      </c>
      <c r="K1" t="s">
        <v>2</v>
      </c>
    </row>
    <row r="2" spans="1:11" x14ac:dyDescent="0.25">
      <c r="A2" t="s">
        <v>23</v>
      </c>
      <c r="B2">
        <v>63078.5</v>
      </c>
      <c r="C2">
        <v>55246.7</v>
      </c>
      <c r="D2">
        <v>44554.9</v>
      </c>
      <c r="E2">
        <v>47819.3</v>
      </c>
      <c r="F2" s="2">
        <v>87464.2</v>
      </c>
    </row>
    <row r="3" spans="1:11" x14ac:dyDescent="0.25">
      <c r="A3" t="s">
        <v>24</v>
      </c>
      <c r="B3">
        <v>719.5</v>
      </c>
      <c r="C3">
        <v>765.8</v>
      </c>
      <c r="D3">
        <v>765.9</v>
      </c>
      <c r="E3">
        <v>766</v>
      </c>
      <c r="F3" s="3">
        <v>766.5</v>
      </c>
    </row>
    <row r="4" spans="1:11" x14ac:dyDescent="0.25">
      <c r="A4" t="s">
        <v>25</v>
      </c>
      <c r="B4">
        <v>719.5</v>
      </c>
      <c r="C4">
        <v>765.8</v>
      </c>
      <c r="D4">
        <v>765.9</v>
      </c>
      <c r="E4">
        <v>3266</v>
      </c>
      <c r="F4" s="2">
        <v>3314.4</v>
      </c>
    </row>
    <row r="5" spans="1:11" x14ac:dyDescent="0.25">
      <c r="A5" t="s">
        <v>26</v>
      </c>
      <c r="B5">
        <v>61491.5</v>
      </c>
      <c r="C5">
        <v>54480.9</v>
      </c>
      <c r="D5">
        <v>43789</v>
      </c>
      <c r="E5">
        <v>44553.3</v>
      </c>
      <c r="F5" s="3">
        <v>84149.8</v>
      </c>
    </row>
    <row r="6" spans="1:11" x14ac:dyDescent="0.25">
      <c r="A6" t="s">
        <v>27</v>
      </c>
      <c r="B6">
        <v>61491.5</v>
      </c>
      <c r="C6">
        <v>54480.9</v>
      </c>
      <c r="D6">
        <v>43789</v>
      </c>
      <c r="E6">
        <v>44553.3</v>
      </c>
      <c r="F6" s="2">
        <v>84149.8</v>
      </c>
    </row>
    <row r="7" spans="1:11" x14ac:dyDescent="0.25">
      <c r="A7" t="s">
        <v>28</v>
      </c>
      <c r="B7">
        <v>813.6</v>
      </c>
      <c r="C7">
        <v>1573.5</v>
      </c>
      <c r="D7">
        <v>4271.1000000000004</v>
      </c>
      <c r="E7">
        <v>7277.7</v>
      </c>
      <c r="F7" s="3">
        <v>8175.9</v>
      </c>
    </row>
    <row r="8" spans="1:11" x14ac:dyDescent="0.25">
      <c r="A8" t="s">
        <v>29</v>
      </c>
      <c r="B8">
        <v>117775.1</v>
      </c>
      <c r="C8">
        <v>128556.4</v>
      </c>
      <c r="D8">
        <v>131104.79999999999</v>
      </c>
      <c r="E8">
        <v>125954.5</v>
      </c>
      <c r="F8" s="2">
        <v>101405.1</v>
      </c>
    </row>
    <row r="9" spans="1:11" x14ac:dyDescent="0.25">
      <c r="A9" t="s">
        <v>30</v>
      </c>
      <c r="B9">
        <v>1941.9</v>
      </c>
      <c r="C9">
        <v>1555.9</v>
      </c>
      <c r="D9">
        <v>1558.4</v>
      </c>
      <c r="E9">
        <v>1407</v>
      </c>
      <c r="F9" s="3">
        <v>1143.4000000000001</v>
      </c>
    </row>
    <row r="10" spans="1:11" x14ac:dyDescent="0.25">
      <c r="A10" t="s">
        <v>31</v>
      </c>
      <c r="B10">
        <v>17780.900000000001</v>
      </c>
      <c r="C10">
        <v>20281</v>
      </c>
      <c r="D10">
        <v>18831.3</v>
      </c>
      <c r="E10">
        <v>22655.3</v>
      </c>
      <c r="F10" s="2">
        <v>21576.6</v>
      </c>
    </row>
    <row r="11" spans="1:11" x14ac:dyDescent="0.25">
      <c r="A11" t="s">
        <v>32</v>
      </c>
      <c r="B11">
        <v>140454.1</v>
      </c>
      <c r="C11">
        <v>157749.20000000001</v>
      </c>
      <c r="D11">
        <v>150682.79999999999</v>
      </c>
      <c r="E11">
        <v>155027.29999999999</v>
      </c>
      <c r="F11" s="3">
        <v>173617</v>
      </c>
    </row>
    <row r="12" spans="1:11" x14ac:dyDescent="0.25">
      <c r="A12" t="s">
        <v>33</v>
      </c>
      <c r="B12">
        <v>63626.9</v>
      </c>
      <c r="C12">
        <v>68179.8</v>
      </c>
      <c r="D12">
        <v>59970.400000000001</v>
      </c>
      <c r="E12">
        <v>72055.8</v>
      </c>
      <c r="F12" s="2">
        <v>88043</v>
      </c>
    </row>
    <row r="13" spans="1:11" x14ac:dyDescent="0.25">
      <c r="A13" t="s">
        <v>34</v>
      </c>
      <c r="B13">
        <v>50135.6</v>
      </c>
      <c r="C13">
        <v>55058.5</v>
      </c>
      <c r="D13">
        <v>38028.300000000003</v>
      </c>
      <c r="E13">
        <v>34196.199999999997</v>
      </c>
      <c r="F13" s="3">
        <v>36931</v>
      </c>
    </row>
    <row r="14" spans="1:11" x14ac:dyDescent="0.25">
      <c r="A14" t="s">
        <v>35</v>
      </c>
      <c r="B14">
        <v>10329</v>
      </c>
      <c r="C14">
        <v>12848</v>
      </c>
      <c r="D14">
        <v>10766.3</v>
      </c>
      <c r="E14">
        <v>11810.7</v>
      </c>
      <c r="F14" s="2">
        <v>12291.5</v>
      </c>
    </row>
    <row r="15" spans="1:11" x14ac:dyDescent="0.25">
      <c r="A15" t="s">
        <v>36</v>
      </c>
      <c r="B15">
        <v>322121.3</v>
      </c>
      <c r="C15">
        <v>343125.8</v>
      </c>
      <c r="D15">
        <v>330619.90000000002</v>
      </c>
      <c r="E15">
        <v>336081.4</v>
      </c>
      <c r="F15" s="3">
        <v>370664</v>
      </c>
    </row>
    <row r="16" spans="1:11" x14ac:dyDescent="0.25">
      <c r="A16" t="s">
        <v>37</v>
      </c>
      <c r="B16">
        <v>161952.4</v>
      </c>
      <c r="C16">
        <v>158867.79999999999</v>
      </c>
      <c r="D16">
        <v>148299.4</v>
      </c>
      <c r="E16">
        <v>145513.70000000001</v>
      </c>
      <c r="F16" s="2">
        <v>156123.6</v>
      </c>
    </row>
    <row r="17" spans="1:6" x14ac:dyDescent="0.25">
      <c r="A17" t="s">
        <v>38</v>
      </c>
      <c r="B17">
        <v>84158.2</v>
      </c>
      <c r="C17">
        <v>86130.7</v>
      </c>
      <c r="D17">
        <v>87586.2</v>
      </c>
      <c r="E17">
        <v>84442.5</v>
      </c>
      <c r="F17" s="3">
        <v>81184.2</v>
      </c>
    </row>
    <row r="18" spans="1:6" x14ac:dyDescent="0.25">
      <c r="A18" t="s">
        <v>39</v>
      </c>
      <c r="B18">
        <v>42171.9</v>
      </c>
      <c r="C18">
        <v>51773.2</v>
      </c>
      <c r="D18">
        <v>50462.1</v>
      </c>
      <c r="E18">
        <v>46796.7</v>
      </c>
      <c r="F18" s="2">
        <v>39241.1</v>
      </c>
    </row>
    <row r="19" spans="1:6" x14ac:dyDescent="0.25">
      <c r="A19" t="s">
        <v>40</v>
      </c>
      <c r="B19">
        <v>8599.6</v>
      </c>
      <c r="C19">
        <v>8377.1</v>
      </c>
      <c r="D19">
        <v>3529</v>
      </c>
      <c r="E19">
        <v>5219.8999999999996</v>
      </c>
      <c r="F19" s="3">
        <v>10937.3</v>
      </c>
    </row>
    <row r="20" spans="1:6" x14ac:dyDescent="0.25">
      <c r="A20" t="s">
        <v>41</v>
      </c>
      <c r="B20">
        <v>202534</v>
      </c>
      <c r="C20">
        <v>196238.2</v>
      </c>
      <c r="D20">
        <v>183642.4</v>
      </c>
      <c r="E20">
        <v>184552.9</v>
      </c>
      <c r="F20" s="2">
        <v>202271.8</v>
      </c>
    </row>
    <row r="21" spans="1:6" x14ac:dyDescent="0.25">
      <c r="A21" t="s">
        <v>42</v>
      </c>
      <c r="B21">
        <v>5446.9</v>
      </c>
      <c r="C21">
        <v>5569.1</v>
      </c>
      <c r="D21">
        <v>6670.3</v>
      </c>
      <c r="E21">
        <v>7540.9</v>
      </c>
      <c r="F21" s="3">
        <v>8717.7999999999993</v>
      </c>
    </row>
    <row r="22" spans="1:6" x14ac:dyDescent="0.25">
      <c r="A22" t="s">
        <v>43</v>
      </c>
      <c r="B22">
        <v>5457.9</v>
      </c>
      <c r="C22">
        <v>4520.3999999999996</v>
      </c>
      <c r="D22">
        <v>3870.9</v>
      </c>
      <c r="E22">
        <v>5184.7</v>
      </c>
      <c r="F22" s="2">
        <v>13099</v>
      </c>
    </row>
    <row r="23" spans="1:6" x14ac:dyDescent="0.25">
      <c r="A23" t="s">
        <v>44</v>
      </c>
      <c r="B23">
        <v>782.8</v>
      </c>
      <c r="C23">
        <v>1204.5999999999999</v>
      </c>
      <c r="D23">
        <v>843.4</v>
      </c>
      <c r="E23">
        <v>870.7</v>
      </c>
      <c r="F23" s="3">
        <v>441.6</v>
      </c>
    </row>
    <row r="24" spans="1:6" x14ac:dyDescent="0.25">
      <c r="A24" t="s">
        <v>45</v>
      </c>
      <c r="B24">
        <v>28117</v>
      </c>
      <c r="C24">
        <v>25272.6</v>
      </c>
      <c r="D24">
        <v>23151.3</v>
      </c>
      <c r="E24">
        <v>24602.5</v>
      </c>
      <c r="F24" s="2">
        <v>23029.5</v>
      </c>
    </row>
    <row r="25" spans="1:6" x14ac:dyDescent="0.25">
      <c r="A25" t="s">
        <v>46</v>
      </c>
      <c r="B25">
        <v>119587.3</v>
      </c>
      <c r="C25">
        <v>146887.6</v>
      </c>
      <c r="D25">
        <v>146977.5</v>
      </c>
      <c r="E25">
        <v>151528.5</v>
      </c>
      <c r="F25" s="3">
        <v>168392.2</v>
      </c>
    </row>
    <row r="26" spans="1:6" x14ac:dyDescent="0.25">
      <c r="A26" t="s">
        <v>47</v>
      </c>
      <c r="B26">
        <v>10861.5</v>
      </c>
      <c r="C26">
        <v>19051.2</v>
      </c>
      <c r="D26">
        <v>22709.200000000001</v>
      </c>
      <c r="E26">
        <v>18838.3</v>
      </c>
      <c r="F26" s="2">
        <v>14253.2</v>
      </c>
    </row>
    <row r="27" spans="1:6" x14ac:dyDescent="0.25">
      <c r="A27" t="s">
        <v>48</v>
      </c>
      <c r="B27">
        <v>11172.7</v>
      </c>
      <c r="C27">
        <v>12679.1</v>
      </c>
      <c r="D27">
        <v>12442.1</v>
      </c>
      <c r="E27">
        <v>15738</v>
      </c>
      <c r="F27" s="3">
        <v>16951.8</v>
      </c>
    </row>
    <row r="28" spans="1:6" x14ac:dyDescent="0.25">
      <c r="A28" t="s">
        <v>49</v>
      </c>
      <c r="B28">
        <v>33727</v>
      </c>
      <c r="C28">
        <v>46792.5</v>
      </c>
      <c r="D28">
        <v>40669.199999999997</v>
      </c>
      <c r="E28">
        <v>37015.599999999999</v>
      </c>
      <c r="F28" s="2">
        <v>45806.7</v>
      </c>
    </row>
    <row r="29" spans="1:6" x14ac:dyDescent="0.25">
      <c r="A29" t="s">
        <v>50</v>
      </c>
      <c r="B29">
        <v>935.3</v>
      </c>
      <c r="C29">
        <v>1749.4</v>
      </c>
      <c r="D29">
        <v>1671.9</v>
      </c>
      <c r="E29">
        <v>2302.8000000000002</v>
      </c>
      <c r="F29" s="3">
        <v>196.7</v>
      </c>
    </row>
    <row r="30" spans="1:6" x14ac:dyDescent="0.25">
      <c r="A30" t="s">
        <v>51</v>
      </c>
      <c r="B30">
        <v>25433.9</v>
      </c>
      <c r="C30">
        <v>30526.9</v>
      </c>
      <c r="D30">
        <v>34244.699999999997</v>
      </c>
      <c r="E30">
        <v>36878.400000000001</v>
      </c>
      <c r="F30" s="2">
        <v>43395.4</v>
      </c>
    </row>
    <row r="31" spans="1:6" x14ac:dyDescent="0.25">
      <c r="A31" t="s">
        <v>52</v>
      </c>
      <c r="B31">
        <v>322121.3</v>
      </c>
      <c r="C31">
        <v>343125.8</v>
      </c>
      <c r="D31">
        <v>330619.90000000002</v>
      </c>
      <c r="E31">
        <v>336081.4</v>
      </c>
      <c r="F31" s="3">
        <v>370664</v>
      </c>
    </row>
    <row r="32" spans="1:6" x14ac:dyDescent="0.25">
      <c r="A32" t="s">
        <v>53</v>
      </c>
      <c r="B32">
        <v>15590.8</v>
      </c>
      <c r="C32">
        <v>17773.8</v>
      </c>
      <c r="D32">
        <v>18470.5</v>
      </c>
      <c r="E32">
        <v>39477.300000000003</v>
      </c>
      <c r="F32" s="2">
        <v>43055.3</v>
      </c>
    </row>
    <row r="33" spans="1:6" x14ac:dyDescent="0.25">
      <c r="A33" t="s">
        <v>54</v>
      </c>
      <c r="B33">
        <v>111.3</v>
      </c>
      <c r="C33">
        <v>111.3</v>
      </c>
      <c r="D33">
        <v>111.3</v>
      </c>
      <c r="E33">
        <v>111.3</v>
      </c>
      <c r="F33" s="3">
        <v>111.3</v>
      </c>
    </row>
    <row r="34" spans="1:6" x14ac:dyDescent="0.25">
      <c r="A34" t="s">
        <v>55</v>
      </c>
      <c r="B34">
        <v>711.6</v>
      </c>
      <c r="C34">
        <v>868.9</v>
      </c>
      <c r="D34">
        <v>975.4</v>
      </c>
      <c r="E34">
        <v>1131.5</v>
      </c>
      <c r="F34" s="2">
        <v>1342.2</v>
      </c>
    </row>
    <row r="35" spans="1:6" x14ac:dyDescent="0.25">
      <c r="A35" t="s">
        <v>56</v>
      </c>
      <c r="B35">
        <v>10861.5</v>
      </c>
      <c r="C35">
        <v>19051.2</v>
      </c>
      <c r="D35">
        <v>22023.599999999999</v>
      </c>
      <c r="E35">
        <v>18703.900000000001</v>
      </c>
      <c r="F35" s="3">
        <v>13988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8BE4-35A9-455D-A30C-070237CB5545}">
  <dimension ref="A1:F10"/>
  <sheetViews>
    <sheetView workbookViewId="0">
      <selection activeCell="F2" sqref="F2:F10"/>
    </sheetView>
  </sheetViews>
  <sheetFormatPr defaultRowHeight="15" x14ac:dyDescent="0.25"/>
  <cols>
    <col min="1" max="1" width="35.7109375" bestFit="1" customWidth="1"/>
    <col min="2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57</v>
      </c>
      <c r="B2">
        <v>26632.9</v>
      </c>
      <c r="C2">
        <v>29000.5</v>
      </c>
      <c r="D2">
        <v>14282.8</v>
      </c>
      <c r="E2" s="2">
        <v>35388</v>
      </c>
      <c r="F2">
        <v>67915.399999999994</v>
      </c>
    </row>
    <row r="3" spans="1:6" x14ac:dyDescent="0.25">
      <c r="A3" t="s">
        <v>16</v>
      </c>
      <c r="B3">
        <v>-10580</v>
      </c>
      <c r="C3">
        <v>-10474.299999999999</v>
      </c>
      <c r="D3">
        <v>-7003.4</v>
      </c>
      <c r="E3" s="3">
        <v>3057.6</v>
      </c>
      <c r="F3">
        <v>27255.3</v>
      </c>
    </row>
    <row r="4" spans="1:6" x14ac:dyDescent="0.25">
      <c r="A4" t="s">
        <v>14</v>
      </c>
      <c r="B4">
        <v>7243.3</v>
      </c>
      <c r="C4">
        <v>8097.2</v>
      </c>
      <c r="D4">
        <v>9311.9</v>
      </c>
      <c r="E4" s="2">
        <v>10225.5</v>
      </c>
      <c r="F4">
        <v>9985.7999999999993</v>
      </c>
    </row>
    <row r="5" spans="1:6" x14ac:dyDescent="0.25">
      <c r="A5" t="s">
        <v>17</v>
      </c>
      <c r="B5">
        <v>395.3</v>
      </c>
      <c r="C5">
        <v>2541.9</v>
      </c>
      <c r="D5">
        <v>4231.3</v>
      </c>
      <c r="E5" s="3">
        <v>704.1</v>
      </c>
      <c r="F5">
        <v>-3851.6</v>
      </c>
    </row>
    <row r="6" spans="1:6" x14ac:dyDescent="0.25">
      <c r="A6" t="s">
        <v>58</v>
      </c>
      <c r="B6">
        <v>-34170.199999999997</v>
      </c>
      <c r="C6">
        <v>-26126.3</v>
      </c>
      <c r="D6">
        <v>-4775.1000000000004</v>
      </c>
      <c r="E6" s="2">
        <v>-16804.2</v>
      </c>
      <c r="F6">
        <v>-22828.1</v>
      </c>
    </row>
    <row r="7" spans="1:6" x14ac:dyDescent="0.25">
      <c r="A7" t="s">
        <v>59</v>
      </c>
      <c r="B7">
        <v>3389.6</v>
      </c>
      <c r="C7">
        <v>9904.2000000000007</v>
      </c>
      <c r="D7">
        <v>-3380.2</v>
      </c>
      <c r="E7" s="3">
        <v>-26242.9</v>
      </c>
      <c r="F7">
        <v>-37006</v>
      </c>
    </row>
    <row r="8" spans="1:6" x14ac:dyDescent="0.25">
      <c r="A8" t="s">
        <v>60</v>
      </c>
      <c r="B8">
        <v>-4147.7</v>
      </c>
      <c r="C8">
        <v>12778.5</v>
      </c>
      <c r="D8">
        <v>6127.5</v>
      </c>
      <c r="E8" s="2">
        <v>-7659.1</v>
      </c>
      <c r="F8">
        <v>8081.3</v>
      </c>
    </row>
    <row r="9" spans="1:6" x14ac:dyDescent="0.25">
      <c r="A9" t="s">
        <v>61</v>
      </c>
      <c r="B9">
        <v>21559.8</v>
      </c>
      <c r="C9">
        <v>18467.8</v>
      </c>
      <c r="D9">
        <v>31700</v>
      </c>
      <c r="E9" s="3">
        <v>38159</v>
      </c>
      <c r="F9">
        <v>31887</v>
      </c>
    </row>
    <row r="10" spans="1:6" x14ac:dyDescent="0.25">
      <c r="A10" t="s">
        <v>62</v>
      </c>
      <c r="B10">
        <v>18467.8</v>
      </c>
      <c r="C10">
        <v>31700</v>
      </c>
      <c r="D10">
        <v>38159</v>
      </c>
      <c r="E10" s="2">
        <v>31887</v>
      </c>
      <c r="F10">
        <v>40014.800000000003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38AB-D2BB-42B5-801C-4C106506A3EE}">
  <dimension ref="A5:H17"/>
  <sheetViews>
    <sheetView workbookViewId="0">
      <selection activeCell="D5" sqref="D5"/>
    </sheetView>
  </sheetViews>
  <sheetFormatPr defaultRowHeight="15" x14ac:dyDescent="0.25"/>
  <sheetData>
    <row r="5" spans="1:8" x14ac:dyDescent="0.25">
      <c r="B5">
        <f>BS!B16</f>
        <v>161952.4</v>
      </c>
      <c r="C5">
        <f>BS!C16</f>
        <v>158867.79999999999</v>
      </c>
      <c r="D5">
        <f>BS!D16</f>
        <v>148299.4</v>
      </c>
      <c r="E5">
        <f>BS!E16</f>
        <v>145513.70000000001</v>
      </c>
      <c r="F5">
        <f>BS!F16</f>
        <v>156123.6</v>
      </c>
    </row>
    <row r="6" spans="1:8" x14ac:dyDescent="0.25">
      <c r="C6">
        <f>B5-C5</f>
        <v>3084.6000000000058</v>
      </c>
      <c r="D6">
        <f t="shared" ref="D6:F6" si="0">C5-D5</f>
        <v>10568.399999999994</v>
      </c>
      <c r="E6">
        <f t="shared" si="0"/>
        <v>2785.6999999999825</v>
      </c>
      <c r="F6">
        <f t="shared" si="0"/>
        <v>-10609.899999999994</v>
      </c>
    </row>
    <row r="11" spans="1:8" x14ac:dyDescent="0.25">
      <c r="B11" t="s">
        <v>172</v>
      </c>
    </row>
    <row r="13" spans="1:8" x14ac:dyDescent="0.25">
      <c r="A13" t="s">
        <v>174</v>
      </c>
      <c r="D13">
        <f>BS!B25</f>
        <v>119587.3</v>
      </c>
      <c r="E13">
        <f>BS!C25</f>
        <v>146887.6</v>
      </c>
      <c r="F13">
        <f>BS!D25</f>
        <v>146977.5</v>
      </c>
      <c r="G13">
        <f>BS!E25</f>
        <v>151528.5</v>
      </c>
      <c r="H13">
        <f>BS!F25</f>
        <v>168392.2</v>
      </c>
    </row>
    <row r="14" spans="1:8" x14ac:dyDescent="0.25">
      <c r="A14" t="s">
        <v>173</v>
      </c>
      <c r="D14">
        <f>BS!B11</f>
        <v>140454.1</v>
      </c>
      <c r="E14">
        <f>BS!C11</f>
        <v>157749.20000000001</v>
      </c>
      <c r="F14">
        <f>BS!D11</f>
        <v>150682.79999999999</v>
      </c>
      <c r="G14">
        <f>BS!E11</f>
        <v>155027.29999999999</v>
      </c>
      <c r="H14">
        <f>BS!F11</f>
        <v>173617</v>
      </c>
    </row>
    <row r="16" spans="1:8" x14ac:dyDescent="0.25">
      <c r="D16">
        <f>D13-D14</f>
        <v>-20866.800000000003</v>
      </c>
      <c r="E16">
        <f t="shared" ref="E16:H16" si="1">E13-E14</f>
        <v>-10861.600000000006</v>
      </c>
      <c r="F16">
        <f t="shared" si="1"/>
        <v>-3705.2999999999884</v>
      </c>
      <c r="G16">
        <f t="shared" si="1"/>
        <v>-3498.7999999999884</v>
      </c>
      <c r="H16">
        <f t="shared" si="1"/>
        <v>-5224.7999999999884</v>
      </c>
    </row>
    <row r="17" spans="5:8" x14ac:dyDescent="0.25">
      <c r="E17">
        <f>E16-D16</f>
        <v>10005.199999999997</v>
      </c>
      <c r="F17">
        <f t="shared" ref="F17:H17" si="2">F16-E16</f>
        <v>7156.3000000000175</v>
      </c>
      <c r="G17">
        <f t="shared" si="2"/>
        <v>206.5</v>
      </c>
      <c r="H17">
        <f t="shared" si="2"/>
        <v>-1726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7B8B-6024-47C1-A7C4-07D2C77B8E9A}">
  <dimension ref="B2:Q163"/>
  <sheetViews>
    <sheetView workbookViewId="0">
      <selection activeCell="S10" sqref="S10"/>
    </sheetView>
  </sheetViews>
  <sheetFormatPr defaultRowHeight="15" x14ac:dyDescent="0.25"/>
  <cols>
    <col min="2" max="2" width="35.7109375" bestFit="1" customWidth="1"/>
    <col min="3" max="4" width="7.5703125" bestFit="1" customWidth="1"/>
    <col min="5" max="11" width="8.28515625" bestFit="1" customWidth="1"/>
    <col min="12" max="12" width="10.7109375" bestFit="1" customWidth="1"/>
    <col min="13" max="16" width="8.28515625" bestFit="1" customWidth="1"/>
    <col min="17" max="17" width="9.85546875" bestFit="1" customWidth="1"/>
  </cols>
  <sheetData>
    <row r="2" spans="2:17" ht="21" x14ac:dyDescent="0.35">
      <c r="B2" s="4" t="s">
        <v>85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4" spans="2:17" x14ac:dyDescent="0.25">
      <c r="B4" t="s">
        <v>64</v>
      </c>
      <c r="L4" s="6" t="s">
        <v>65</v>
      </c>
    </row>
    <row r="5" spans="2:17" x14ac:dyDescent="0.25">
      <c r="B5" t="s">
        <v>67</v>
      </c>
      <c r="L5" s="9">
        <v>45548</v>
      </c>
    </row>
    <row r="6" spans="2:17" x14ac:dyDescent="0.25">
      <c r="B6" t="s">
        <v>141</v>
      </c>
      <c r="L6" s="9">
        <v>45657</v>
      </c>
    </row>
    <row r="8" spans="2:17" x14ac:dyDescent="0.25">
      <c r="B8" s="11" t="s">
        <v>70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10" spans="2:17" x14ac:dyDescent="0.25">
      <c r="B10" t="s">
        <v>72</v>
      </c>
      <c r="L10" s="96">
        <f>[1]WACC!F22</f>
        <v>8.4389860337395248E-2</v>
      </c>
    </row>
    <row r="11" spans="2:17" x14ac:dyDescent="0.25">
      <c r="B11" t="s">
        <v>73</v>
      </c>
      <c r="L11" s="109">
        <v>2.5000000000000001E-2</v>
      </c>
    </row>
    <row r="13" spans="2:17" x14ac:dyDescent="0.25">
      <c r="B13" s="11" t="s">
        <v>142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5" spans="2:17" x14ac:dyDescent="0.25">
      <c r="B15" s="97" t="s">
        <v>75</v>
      </c>
      <c r="C15" s="98">
        <v>2015</v>
      </c>
      <c r="D15" s="98">
        <f t="shared" ref="D15:Q15" si="0">C15+1</f>
        <v>2016</v>
      </c>
      <c r="E15" s="98">
        <f t="shared" si="0"/>
        <v>2017</v>
      </c>
      <c r="F15" s="98">
        <f t="shared" si="0"/>
        <v>2018</v>
      </c>
      <c r="G15" s="98">
        <f t="shared" si="0"/>
        <v>2019</v>
      </c>
      <c r="H15" s="98">
        <f t="shared" si="0"/>
        <v>2020</v>
      </c>
      <c r="I15" s="98">
        <f t="shared" si="0"/>
        <v>2021</v>
      </c>
      <c r="J15" s="98">
        <f t="shared" si="0"/>
        <v>2022</v>
      </c>
      <c r="K15" s="98">
        <f t="shared" si="0"/>
        <v>2023</v>
      </c>
      <c r="L15" s="99">
        <f t="shared" si="0"/>
        <v>2024</v>
      </c>
      <c r="M15" s="99">
        <f t="shared" si="0"/>
        <v>2025</v>
      </c>
      <c r="N15" s="99">
        <f t="shared" si="0"/>
        <v>2026</v>
      </c>
      <c r="O15" s="99">
        <f t="shared" si="0"/>
        <v>2027</v>
      </c>
      <c r="P15" s="99">
        <f t="shared" si="0"/>
        <v>2028</v>
      </c>
      <c r="Q15" s="99">
        <f t="shared" si="0"/>
        <v>2029</v>
      </c>
    </row>
    <row r="17" spans="2:17" x14ac:dyDescent="0.25">
      <c r="B17" t="s">
        <v>143</v>
      </c>
      <c r="C17" s="110">
        <f>[1]Segments!C6</f>
        <v>63708</v>
      </c>
      <c r="D17" s="100">
        <f>[1]Segments!D6</f>
        <v>79785</v>
      </c>
      <c r="E17" s="100">
        <f>[1]Segments!E6</f>
        <v>106110</v>
      </c>
      <c r="F17" s="100">
        <f>[1]Segments!F6</f>
        <v>141366</v>
      </c>
      <c r="G17" s="100">
        <f>[1]Segments!G6</f>
        <v>170773</v>
      </c>
      <c r="H17" s="100">
        <f>[1]Segments!H6</f>
        <v>236282</v>
      </c>
      <c r="I17" s="100">
        <f>[1]Segments!I6</f>
        <v>279833</v>
      </c>
      <c r="J17" s="100">
        <f>[1]Segments!J6</f>
        <v>315880</v>
      </c>
      <c r="K17" s="100">
        <f>[1]Segments!K6</f>
        <v>352828</v>
      </c>
      <c r="L17" s="100">
        <f>[1]Segments!L6</f>
        <v>386647</v>
      </c>
      <c r="M17" s="100">
        <f>[1]Segments!M6</f>
        <v>423461</v>
      </c>
      <c r="N17" s="100">
        <f>[1]Segments!N6</f>
        <v>461471</v>
      </c>
      <c r="O17" s="100">
        <f>[1]Segments!O6</f>
        <v>497416</v>
      </c>
      <c r="P17" s="100">
        <f>[1]Segments!P6</f>
        <v>546306</v>
      </c>
      <c r="Q17" s="100">
        <f>[1]Segments!Q6</f>
        <v>590847</v>
      </c>
    </row>
    <row r="18" spans="2:17" x14ac:dyDescent="0.25">
      <c r="B18" s="32" t="s">
        <v>76</v>
      </c>
      <c r="C18" s="111" t="str">
        <f>IF(ISERROR(C17/B17-1),"--",C17/B17-1)</f>
        <v>--</v>
      </c>
      <c r="D18" s="101">
        <f>IF(ISERROR(D17/C17-1),"--",D17/C17-1)</f>
        <v>0.25235449237144469</v>
      </c>
      <c r="E18" s="101">
        <f t="shared" ref="E18:Q18" si="1">IF(ISERROR(E17/D17-1),"--",E17/D17-1)</f>
        <v>0.32994923857868019</v>
      </c>
      <c r="F18" s="101">
        <f t="shared" si="1"/>
        <v>0.33225897653378578</v>
      </c>
      <c r="G18" s="101">
        <f t="shared" si="1"/>
        <v>0.20802031605902416</v>
      </c>
      <c r="H18" s="101">
        <f t="shared" si="1"/>
        <v>0.38360279435273736</v>
      </c>
      <c r="I18" s="101">
        <f t="shared" si="1"/>
        <v>0.1843178913332375</v>
      </c>
      <c r="J18" s="101">
        <f t="shared" si="1"/>
        <v>0.12881611532592663</v>
      </c>
      <c r="K18" s="101">
        <f t="shared" si="1"/>
        <v>0.11696846903887548</v>
      </c>
      <c r="L18" s="101">
        <f t="shared" si="1"/>
        <v>9.5851236296438991E-2</v>
      </c>
      <c r="M18" s="101">
        <f t="shared" si="1"/>
        <v>9.5213463443399204E-2</v>
      </c>
      <c r="N18" s="101">
        <f t="shared" si="1"/>
        <v>8.9760332120313313E-2</v>
      </c>
      <c r="O18" s="112">
        <f t="shared" si="1"/>
        <v>7.7892218579282302E-2</v>
      </c>
      <c r="P18" s="112">
        <f t="shared" si="1"/>
        <v>9.8287952136642209E-2</v>
      </c>
      <c r="Q18" s="112">
        <f t="shared" si="1"/>
        <v>8.1531229750359646E-2</v>
      </c>
    </row>
    <row r="19" spans="2:17" x14ac:dyDescent="0.25">
      <c r="B19" s="32" t="s">
        <v>144</v>
      </c>
      <c r="C19" s="111">
        <f>C17/C$29</f>
        <v>0.59536848401024245</v>
      </c>
      <c r="D19" s="111">
        <f t="shared" ref="D19:Q19" si="2">D17/D$29</f>
        <v>0.58671049438549272</v>
      </c>
      <c r="E19" s="111">
        <f t="shared" si="2"/>
        <v>0.59657270079722935</v>
      </c>
      <c r="F19" s="111">
        <f t="shared" si="2"/>
        <v>0.6070154194952917</v>
      </c>
      <c r="G19" s="111">
        <f t="shared" si="2"/>
        <v>0.60876865272598946</v>
      </c>
      <c r="H19" s="111">
        <f t="shared" si="2"/>
        <v>0.61202805752414102</v>
      </c>
      <c r="I19" s="111">
        <f t="shared" si="2"/>
        <v>0.59561493501794294</v>
      </c>
      <c r="J19" s="111">
        <f t="shared" si="2"/>
        <v>0.61457285552245888</v>
      </c>
      <c r="K19" s="111">
        <f t="shared" si="2"/>
        <v>0.61384343711126765</v>
      </c>
      <c r="L19" s="111">
        <f t="shared" si="2"/>
        <v>0.60827410225188239</v>
      </c>
      <c r="M19" s="111">
        <f t="shared" si="2"/>
        <v>0.59999943324232152</v>
      </c>
      <c r="N19" s="111">
        <f t="shared" si="2"/>
        <v>0.58799072916706485</v>
      </c>
      <c r="O19" s="111">
        <f t="shared" si="2"/>
        <v>0.57396780852662099</v>
      </c>
      <c r="P19" s="111">
        <f t="shared" si="2"/>
        <v>0.57238020799500444</v>
      </c>
      <c r="Q19" s="111">
        <f t="shared" si="2"/>
        <v>0.55955871489777598</v>
      </c>
    </row>
    <row r="20" spans="2:17" x14ac:dyDescent="0.25">
      <c r="C20" s="11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</row>
    <row r="21" spans="2:17" x14ac:dyDescent="0.25">
      <c r="B21" t="s">
        <v>145</v>
      </c>
      <c r="C21" s="110">
        <f>[1]Segments!C8</f>
        <v>35418</v>
      </c>
      <c r="D21" s="100">
        <f>[1]Segments!D8</f>
        <v>43983</v>
      </c>
      <c r="E21" s="100">
        <f>[1]Segments!E8</f>
        <v>54297</v>
      </c>
      <c r="F21" s="100">
        <f>[1]Segments!F8</f>
        <v>65866</v>
      </c>
      <c r="G21" s="100">
        <f>[1]Segments!G8</f>
        <v>74723</v>
      </c>
      <c r="H21" s="100">
        <f>[1]Segments!H8</f>
        <v>104412</v>
      </c>
      <c r="I21" s="100">
        <f>[1]Segments!I8</f>
        <v>127787</v>
      </c>
      <c r="J21" s="100">
        <f>[1]Segments!J8</f>
        <v>118007</v>
      </c>
      <c r="K21" s="100">
        <f>[1]Segments!K8</f>
        <v>131200</v>
      </c>
      <c r="L21" s="100">
        <f>[1]Segments!L8</f>
        <v>141444</v>
      </c>
      <c r="M21" s="100">
        <f>[1]Segments!M8</f>
        <v>154680</v>
      </c>
      <c r="N21" s="100">
        <f>[1]Segments!N8</f>
        <v>171709</v>
      </c>
      <c r="O21" s="100">
        <f>[1]Segments!O8</f>
        <v>192631</v>
      </c>
      <c r="P21" s="100">
        <f>[1]Segments!P8</f>
        <v>199416</v>
      </c>
      <c r="Q21" s="100">
        <f>[1]Segments!Q8</f>
        <v>215930</v>
      </c>
    </row>
    <row r="22" spans="2:17" x14ac:dyDescent="0.25">
      <c r="B22" s="32" t="s">
        <v>76</v>
      </c>
      <c r="C22" s="111" t="str">
        <f>IF(ISERROR(C21/B21-1),"--",C21/B21-1)</f>
        <v>--</v>
      </c>
      <c r="D22" s="101">
        <f>IF(ISERROR(D21/C21-1),"--",D21/C21-1)</f>
        <v>0.24182619007284423</v>
      </c>
      <c r="E22" s="101">
        <f t="shared" ref="E22:Q22" si="3">IF(ISERROR(E21/D21-1),"--",E21/D21-1)</f>
        <v>0.23449969306322904</v>
      </c>
      <c r="F22" s="101">
        <f t="shared" si="3"/>
        <v>0.21306886199974207</v>
      </c>
      <c r="G22" s="101">
        <f t="shared" si="3"/>
        <v>0.13446998451401337</v>
      </c>
      <c r="H22" s="101">
        <f t="shared" si="3"/>
        <v>0.39732077138230526</v>
      </c>
      <c r="I22" s="101">
        <f t="shared" si="3"/>
        <v>0.22387273493468185</v>
      </c>
      <c r="J22" s="101">
        <f t="shared" si="3"/>
        <v>-7.6533606704907386E-2</v>
      </c>
      <c r="K22" s="101">
        <f t="shared" si="3"/>
        <v>0.11179845263416577</v>
      </c>
      <c r="L22" s="101">
        <f t="shared" si="3"/>
        <v>7.8079268292682968E-2</v>
      </c>
      <c r="M22" s="101">
        <f t="shared" si="3"/>
        <v>9.3577670314753503E-2</v>
      </c>
      <c r="N22" s="101">
        <f t="shared" si="3"/>
        <v>0.11009180243082484</v>
      </c>
      <c r="O22" s="112">
        <f t="shared" si="3"/>
        <v>0.12184568077386748</v>
      </c>
      <c r="P22" s="112">
        <f t="shared" si="3"/>
        <v>3.5222783456452911E-2</v>
      </c>
      <c r="Q22" s="112">
        <f t="shared" si="3"/>
        <v>8.2811810486620896E-2</v>
      </c>
    </row>
    <row r="23" spans="2:17" x14ac:dyDescent="0.25">
      <c r="B23" s="32" t="s">
        <v>144</v>
      </c>
      <c r="C23" s="111">
        <f>C21/C$29</f>
        <v>0.33099078556342637</v>
      </c>
      <c r="D23" s="111">
        <f t="shared" ref="D23:Q23" si="4">D21/D$29</f>
        <v>0.32343532837697719</v>
      </c>
      <c r="E23" s="111">
        <f t="shared" si="4"/>
        <v>0.30526913519166116</v>
      </c>
      <c r="F23" s="111">
        <f t="shared" si="4"/>
        <v>0.28282385878129734</v>
      </c>
      <c r="G23" s="111">
        <f t="shared" si="4"/>
        <v>0.26637126499882363</v>
      </c>
      <c r="H23" s="111">
        <f t="shared" si="4"/>
        <v>0.27045256744995649</v>
      </c>
      <c r="I23" s="111">
        <f t="shared" si="4"/>
        <v>0.27199024311334929</v>
      </c>
      <c r="J23" s="111">
        <f t="shared" si="4"/>
        <v>0.22959319666214642</v>
      </c>
      <c r="K23" s="111">
        <f t="shared" si="4"/>
        <v>0.22825926215889419</v>
      </c>
      <c r="L23" s="111">
        <f t="shared" si="4"/>
        <v>0.22252008193239634</v>
      </c>
      <c r="M23" s="111">
        <f t="shared" si="4"/>
        <v>0.21916519427744771</v>
      </c>
      <c r="N23" s="111">
        <f t="shared" si="4"/>
        <v>0.21878579610538373</v>
      </c>
      <c r="O23" s="111">
        <f t="shared" si="4"/>
        <v>0.22227671189565984</v>
      </c>
      <c r="P23" s="111">
        <f t="shared" si="4"/>
        <v>0.20893376890887488</v>
      </c>
      <c r="Q23" s="111">
        <f t="shared" si="4"/>
        <v>0.20449543334886489</v>
      </c>
    </row>
    <row r="24" spans="2:17" x14ac:dyDescent="0.25">
      <c r="C24" s="113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</row>
    <row r="25" spans="2:17" x14ac:dyDescent="0.25">
      <c r="B25" t="s">
        <v>146</v>
      </c>
      <c r="C25" s="110">
        <f>[1]Segments!C9</f>
        <v>7880</v>
      </c>
      <c r="D25" s="100">
        <f>[1]Segments!D9</f>
        <v>12219</v>
      </c>
      <c r="E25" s="100">
        <f>[1]Segments!E9</f>
        <v>17459</v>
      </c>
      <c r="F25" s="100">
        <f>[1]Segments!F9</f>
        <v>25655</v>
      </c>
      <c r="G25" s="100">
        <f>[1]Segments!G9</f>
        <v>35026</v>
      </c>
      <c r="H25" s="100">
        <f>[1]Segments!H9</f>
        <v>45370</v>
      </c>
      <c r="I25" s="100">
        <f>[1]Segments!I9</f>
        <v>62202</v>
      </c>
      <c r="J25" s="100">
        <f>[1]Segments!J9</f>
        <v>80096</v>
      </c>
      <c r="K25" s="100">
        <f>[1]Segments!K9</f>
        <v>90757</v>
      </c>
      <c r="L25" s="100">
        <f>[1]Segments!L9</f>
        <v>107555</v>
      </c>
      <c r="M25" s="100">
        <f>[1]Segments!M9</f>
        <v>127628</v>
      </c>
      <c r="N25" s="100">
        <f>[1]Segments!N9</f>
        <v>151647</v>
      </c>
      <c r="O25" s="100">
        <f>[1]Segments!O9</f>
        <v>176580</v>
      </c>
      <c r="P25" s="100">
        <f>[1]Segments!P9</f>
        <v>208724</v>
      </c>
      <c r="Q25" s="100">
        <f>[1]Segments!Q9</f>
        <v>249139</v>
      </c>
    </row>
    <row r="26" spans="2:17" x14ac:dyDescent="0.25">
      <c r="B26" s="32" t="s">
        <v>76</v>
      </c>
      <c r="C26" s="111" t="str">
        <f>IF(ISERROR(C25/B25-1),"--",C25/B25-1)</f>
        <v>--</v>
      </c>
      <c r="D26" s="101">
        <f>IF(ISERROR(D25/C25-1),"--",D25/C25-1)</f>
        <v>0.55063451776649752</v>
      </c>
      <c r="E26" s="101">
        <f t="shared" ref="E26:Q26" si="5">IF(ISERROR(E25/D25-1),"--",E25/D25-1)</f>
        <v>0.42884033063262139</v>
      </c>
      <c r="F26" s="101">
        <f t="shared" si="5"/>
        <v>0.46944269431238905</v>
      </c>
      <c r="G26" s="101">
        <f t="shared" si="5"/>
        <v>0.36526992788930035</v>
      </c>
      <c r="H26" s="101">
        <f t="shared" si="5"/>
        <v>0.29532347399074976</v>
      </c>
      <c r="I26" s="101">
        <f t="shared" si="5"/>
        <v>0.37099404893101173</v>
      </c>
      <c r="J26" s="101">
        <f t="shared" si="5"/>
        <v>0.28767563743931057</v>
      </c>
      <c r="K26" s="101">
        <f t="shared" si="5"/>
        <v>0.13310277666799841</v>
      </c>
      <c r="L26" s="101">
        <f t="shared" si="5"/>
        <v>0.18508765164119567</v>
      </c>
      <c r="M26" s="101">
        <f t="shared" si="5"/>
        <v>0.18663009622983595</v>
      </c>
      <c r="N26" s="101">
        <f t="shared" si="5"/>
        <v>0.1881953803240668</v>
      </c>
      <c r="O26" s="112">
        <f t="shared" si="5"/>
        <v>0.16441472630516918</v>
      </c>
      <c r="P26" s="112">
        <f t="shared" si="5"/>
        <v>0.1820364707214861</v>
      </c>
      <c r="Q26" s="112">
        <f t="shared" si="5"/>
        <v>0.19362890707345581</v>
      </c>
    </row>
    <row r="27" spans="2:17" x14ac:dyDescent="0.25">
      <c r="B27" s="32" t="s">
        <v>144</v>
      </c>
      <c r="C27" s="111">
        <f>C25/C$29</f>
        <v>7.3640730426331236E-2</v>
      </c>
      <c r="D27" s="111">
        <f t="shared" ref="D27:Q27" si="6">D25/D$29</f>
        <v>8.9854177237530058E-2</v>
      </c>
      <c r="E27" s="111">
        <f t="shared" si="6"/>
        <v>9.8158164011109481E-2</v>
      </c>
      <c r="F27" s="111">
        <f t="shared" si="6"/>
        <v>0.11016072172341093</v>
      </c>
      <c r="G27" s="111">
        <f t="shared" si="6"/>
        <v>0.12486008227518697</v>
      </c>
      <c r="H27" s="111">
        <f t="shared" si="6"/>
        <v>0.11751937502590244</v>
      </c>
      <c r="I27" s="111">
        <f t="shared" si="6"/>
        <v>0.13239482186870771</v>
      </c>
      <c r="J27" s="111">
        <f t="shared" si="6"/>
        <v>0.15583394781539467</v>
      </c>
      <c r="K27" s="111">
        <f t="shared" si="6"/>
        <v>0.15789730072983812</v>
      </c>
      <c r="L27" s="111">
        <f t="shared" si="6"/>
        <v>0.16920581581572133</v>
      </c>
      <c r="M27" s="111">
        <f t="shared" si="6"/>
        <v>0.18083537248023079</v>
      </c>
      <c r="N27" s="111">
        <f t="shared" si="6"/>
        <v>0.19322347472755141</v>
      </c>
      <c r="O27" s="111">
        <f t="shared" si="6"/>
        <v>0.20375547957771914</v>
      </c>
      <c r="P27" s="111">
        <f t="shared" si="6"/>
        <v>0.21868602309612067</v>
      </c>
      <c r="Q27" s="111">
        <f t="shared" si="6"/>
        <v>0.23594585175335916</v>
      </c>
    </row>
    <row r="28" spans="2:17" x14ac:dyDescent="0.25"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</row>
    <row r="29" spans="2:17" x14ac:dyDescent="0.25">
      <c r="B29" s="115" t="s">
        <v>124</v>
      </c>
      <c r="C29" s="116">
        <f>C17+C21+C25</f>
        <v>107006</v>
      </c>
      <c r="D29" s="116">
        <f t="shared" ref="D29:Q29" si="7">D17+D21+D25</f>
        <v>135987</v>
      </c>
      <c r="E29" s="116">
        <f t="shared" si="7"/>
        <v>177866</v>
      </c>
      <c r="F29" s="116">
        <f t="shared" si="7"/>
        <v>232887</v>
      </c>
      <c r="G29" s="116">
        <f t="shared" si="7"/>
        <v>280522</v>
      </c>
      <c r="H29" s="116">
        <f t="shared" si="7"/>
        <v>386064</v>
      </c>
      <c r="I29" s="116">
        <f t="shared" si="7"/>
        <v>469822</v>
      </c>
      <c r="J29" s="116">
        <f t="shared" si="7"/>
        <v>513983</v>
      </c>
      <c r="K29" s="116">
        <f t="shared" si="7"/>
        <v>574785</v>
      </c>
      <c r="L29" s="116">
        <f t="shared" si="7"/>
        <v>635646</v>
      </c>
      <c r="M29" s="116">
        <f t="shared" si="7"/>
        <v>705769</v>
      </c>
      <c r="N29" s="116">
        <f t="shared" si="7"/>
        <v>784827</v>
      </c>
      <c r="O29" s="116">
        <f t="shared" si="7"/>
        <v>866627</v>
      </c>
      <c r="P29" s="116">
        <f t="shared" si="7"/>
        <v>954446</v>
      </c>
      <c r="Q29" s="117">
        <f t="shared" si="7"/>
        <v>1055916</v>
      </c>
    </row>
    <row r="30" spans="2:17" x14ac:dyDescent="0.25">
      <c r="B30" s="118" t="s">
        <v>76</v>
      </c>
      <c r="C30" s="119" t="str">
        <f>IF(ISERROR(C29/B29-1),"--",C29/B29-1)</f>
        <v>--</v>
      </c>
      <c r="D30" s="120">
        <f>IF(ISERROR(D29/C29-1),"--",D29/C29-1)</f>
        <v>0.27083528026465808</v>
      </c>
      <c r="E30" s="120">
        <f t="shared" ref="E30:Q30" si="8">IF(ISERROR(E29/D29-1),"--",E29/D29-1)</f>
        <v>0.30796326119408479</v>
      </c>
      <c r="F30" s="120">
        <f t="shared" si="8"/>
        <v>0.3093396152159491</v>
      </c>
      <c r="G30" s="120">
        <f t="shared" si="8"/>
        <v>0.20454125820676983</v>
      </c>
      <c r="H30" s="120">
        <f t="shared" si="8"/>
        <v>0.37623430604373276</v>
      </c>
      <c r="I30" s="120">
        <f t="shared" si="8"/>
        <v>0.21695366571345676</v>
      </c>
      <c r="J30" s="120">
        <f t="shared" si="8"/>
        <v>9.399517263985091E-2</v>
      </c>
      <c r="K30" s="120">
        <f t="shared" si="8"/>
        <v>0.1182957412988368</v>
      </c>
      <c r="L30" s="120">
        <f t="shared" si="8"/>
        <v>0.10588480910253395</v>
      </c>
      <c r="M30" s="120">
        <f t="shared" si="8"/>
        <v>0.11031769255214385</v>
      </c>
      <c r="N30" s="120">
        <f t="shared" si="8"/>
        <v>0.11201682136789803</v>
      </c>
      <c r="O30" s="120">
        <f t="shared" si="8"/>
        <v>0.10422679138204982</v>
      </c>
      <c r="P30" s="120">
        <f t="shared" si="8"/>
        <v>0.10133425337544288</v>
      </c>
      <c r="Q30" s="121">
        <f t="shared" si="8"/>
        <v>0.10631298156207891</v>
      </c>
    </row>
    <row r="31" spans="2:17" x14ac:dyDescent="0.25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2:17" x14ac:dyDescent="0.25">
      <c r="B32" s="97" t="s">
        <v>77</v>
      </c>
      <c r="C32" s="98">
        <v>2015</v>
      </c>
      <c r="D32" s="98">
        <v>2016</v>
      </c>
      <c r="E32" s="98">
        <v>2017</v>
      </c>
      <c r="F32" s="98">
        <v>2018</v>
      </c>
      <c r="G32" s="98">
        <v>2019</v>
      </c>
      <c r="H32" s="98">
        <v>2020</v>
      </c>
      <c r="I32" s="98">
        <v>2021</v>
      </c>
      <c r="J32" s="98">
        <v>2022</v>
      </c>
      <c r="K32" s="98">
        <v>2023</v>
      </c>
      <c r="L32" s="99">
        <v>2024</v>
      </c>
      <c r="M32" s="99">
        <v>2025</v>
      </c>
      <c r="N32" s="99">
        <v>2026</v>
      </c>
      <c r="O32" s="99">
        <v>2027</v>
      </c>
      <c r="P32" s="99">
        <v>2028</v>
      </c>
      <c r="Q32" s="99">
        <v>2029</v>
      </c>
    </row>
    <row r="34" spans="2:17" x14ac:dyDescent="0.25">
      <c r="B34" t="s">
        <v>143</v>
      </c>
      <c r="C34" s="100">
        <f>[1]Segments!C12</f>
        <v>2751</v>
      </c>
      <c r="D34" s="100">
        <f>[1]Segments!D12</f>
        <v>4099</v>
      </c>
      <c r="E34" s="100">
        <f>[1]Segments!E12</f>
        <v>2837</v>
      </c>
      <c r="F34" s="100">
        <f>[1]Segments!F12</f>
        <v>7267</v>
      </c>
      <c r="G34" s="100">
        <f>[1]Segments!G12</f>
        <v>7033</v>
      </c>
      <c r="H34" s="100">
        <f>[1]Segments!H12</f>
        <v>8651</v>
      </c>
      <c r="I34" s="100">
        <f>[1]Segments!I12</f>
        <v>7271</v>
      </c>
      <c r="J34" s="100">
        <f>[1]Segments!J12</f>
        <v>-2847</v>
      </c>
      <c r="K34" s="100">
        <f>[1]Segments!K12</f>
        <v>14877</v>
      </c>
      <c r="L34" s="100">
        <f>[1]Segments!L12</f>
        <v>23233.5</v>
      </c>
      <c r="M34" s="100">
        <f>[1]Segments!M12</f>
        <v>31059.3</v>
      </c>
      <c r="N34" s="100">
        <f>[1]Segments!N12</f>
        <v>34190</v>
      </c>
      <c r="O34" s="122">
        <f>O35*O17</f>
        <v>36853.134953225665</v>
      </c>
      <c r="P34" s="122">
        <f t="shared" ref="P34:Q34" si="9">P35*P17</f>
        <v>40475.354117593524</v>
      </c>
      <c r="Q34" s="122">
        <f t="shared" si="9"/>
        <v>43775.359513382209</v>
      </c>
    </row>
    <row r="35" spans="2:17" x14ac:dyDescent="0.25">
      <c r="B35" s="32" t="s">
        <v>78</v>
      </c>
      <c r="C35" s="101">
        <f>C34/C17</f>
        <v>4.3181390092296101E-2</v>
      </c>
      <c r="D35" s="101">
        <f t="shared" ref="D35:N35" si="10">D34/D17</f>
        <v>5.1375571849345117E-2</v>
      </c>
      <c r="E35" s="101">
        <f t="shared" si="10"/>
        <v>2.6736405616812741E-2</v>
      </c>
      <c r="F35" s="101">
        <f t="shared" si="10"/>
        <v>5.1405571353790869E-2</v>
      </c>
      <c r="G35" s="101">
        <f t="shared" si="10"/>
        <v>4.1183325232911523E-2</v>
      </c>
      <c r="H35" s="101">
        <f t="shared" si="10"/>
        <v>3.6613030192735797E-2</v>
      </c>
      <c r="I35" s="101">
        <f t="shared" si="10"/>
        <v>2.5983354357777676E-2</v>
      </c>
      <c r="J35" s="101">
        <f t="shared" si="10"/>
        <v>-9.0129162973280989E-3</v>
      </c>
      <c r="K35" s="101">
        <f t="shared" si="10"/>
        <v>4.2165020916707291E-2</v>
      </c>
      <c r="L35" s="101">
        <f t="shared" si="10"/>
        <v>6.0089694217205877E-2</v>
      </c>
      <c r="M35" s="101">
        <f t="shared" si="10"/>
        <v>7.3346305799117273E-2</v>
      </c>
      <c r="N35" s="101">
        <f t="shared" si="10"/>
        <v>7.4089162699281216E-2</v>
      </c>
      <c r="O35" s="112">
        <f>N35</f>
        <v>7.4089162699281216E-2</v>
      </c>
      <c r="P35" s="112">
        <f t="shared" ref="P35:Q35" si="11">O35</f>
        <v>7.4089162699281216E-2</v>
      </c>
      <c r="Q35" s="112">
        <f t="shared" si="11"/>
        <v>7.4089162699281216E-2</v>
      </c>
    </row>
    <row r="36" spans="2:17" x14ac:dyDescent="0.25">
      <c r="B36" s="32" t="s">
        <v>147</v>
      </c>
      <c r="C36" s="101">
        <f>C34/C$46</f>
        <v>0.60822462967057267</v>
      </c>
      <c r="D36" s="101">
        <f t="shared" ref="D36:Q36" si="12">D34/D$46</f>
        <v>0.55936135371179041</v>
      </c>
      <c r="E36" s="101">
        <f t="shared" si="12"/>
        <v>0.69094008767657089</v>
      </c>
      <c r="F36" s="101">
        <f t="shared" si="12"/>
        <v>0.58505756380323648</v>
      </c>
      <c r="G36" s="101">
        <f t="shared" si="12"/>
        <v>0.48366687297985006</v>
      </c>
      <c r="H36" s="101">
        <f t="shared" si="12"/>
        <v>0.3777894231189135</v>
      </c>
      <c r="I36" s="101">
        <f t="shared" si="12"/>
        <v>0.29225451183729251</v>
      </c>
      <c r="J36" s="101">
        <f t="shared" si="12"/>
        <v>-0.23244611365120835</v>
      </c>
      <c r="K36" s="101">
        <f t="shared" si="12"/>
        <v>0.40369586453923806</v>
      </c>
      <c r="L36" s="101">
        <f t="shared" si="12"/>
        <v>0.37310802266960247</v>
      </c>
      <c r="M36" s="101">
        <f t="shared" si="12"/>
        <v>0.39934601437652334</v>
      </c>
      <c r="N36" s="101">
        <f t="shared" si="12"/>
        <v>0.3495084494357672</v>
      </c>
      <c r="O36" s="101">
        <f t="shared" si="12"/>
        <v>0.31183187614074648</v>
      </c>
      <c r="P36" s="101">
        <f t="shared" si="12"/>
        <v>0.29578978128778427</v>
      </c>
      <c r="Q36" s="101">
        <f t="shared" si="12"/>
        <v>0.27652693961717978</v>
      </c>
    </row>
    <row r="37" spans="2:17" x14ac:dyDescent="0.25"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 x14ac:dyDescent="0.25">
      <c r="B38" t="s">
        <v>145</v>
      </c>
      <c r="C38" s="100">
        <f>[1]Segments!C14</f>
        <v>-91</v>
      </c>
      <c r="D38" s="100">
        <f>[1]Segments!D14</f>
        <v>-477</v>
      </c>
      <c r="E38" s="100">
        <f>[1]Segments!E14</f>
        <v>-3062</v>
      </c>
      <c r="F38" s="100">
        <f>[1]Segments!F14</f>
        <v>-2142</v>
      </c>
      <c r="G38" s="100">
        <f>[1]Segments!G14</f>
        <v>-1693</v>
      </c>
      <c r="H38" s="100">
        <f>[1]Segments!H14</f>
        <v>717</v>
      </c>
      <c r="I38" s="100">
        <f>[1]Segments!I14</f>
        <v>-924</v>
      </c>
      <c r="J38" s="100">
        <f>[1]Segments!J14</f>
        <v>-7746</v>
      </c>
      <c r="K38" s="100">
        <f>[1]Segments!K14</f>
        <v>-2656</v>
      </c>
      <c r="L38" s="100">
        <f>[1]Segments!L14</f>
        <v>1765.17</v>
      </c>
      <c r="M38" s="100">
        <f>[1]Segments!M14</f>
        <v>3899.91</v>
      </c>
      <c r="N38" s="100">
        <f>[1]Segments!N14</f>
        <v>9726</v>
      </c>
      <c r="O38" s="122">
        <f>O39*O21</f>
        <v>10911.071091206635</v>
      </c>
      <c r="P38" s="122">
        <f t="shared" ref="P38:Q38" si="13">P39*P21</f>
        <v>11295.38938553017</v>
      </c>
      <c r="Q38" s="122">
        <f t="shared" si="13"/>
        <v>12230.781030697284</v>
      </c>
    </row>
    <row r="39" spans="2:17" x14ac:dyDescent="0.25">
      <c r="B39" s="32" t="s">
        <v>78</v>
      </c>
      <c r="C39" s="101">
        <f>C38/C21</f>
        <v>-2.5693150375515274E-3</v>
      </c>
      <c r="D39" s="101">
        <f t="shared" ref="D39:N39" si="14">D38/D21</f>
        <v>-1.0845099242889298E-2</v>
      </c>
      <c r="E39" s="101">
        <f t="shared" si="14"/>
        <v>-5.6393539237895279E-2</v>
      </c>
      <c r="F39" s="101">
        <f t="shared" si="14"/>
        <v>-3.2520572070567515E-2</v>
      </c>
      <c r="G39" s="101">
        <f t="shared" si="14"/>
        <v>-2.2657013235549965E-2</v>
      </c>
      <c r="H39" s="101">
        <f t="shared" si="14"/>
        <v>6.8670267785312031E-3</v>
      </c>
      <c r="I39" s="101">
        <f t="shared" si="14"/>
        <v>-7.2307824739605746E-3</v>
      </c>
      <c r="J39" s="101">
        <f t="shared" si="14"/>
        <v>-6.5640173887989692E-2</v>
      </c>
      <c r="K39" s="101">
        <f t="shared" si="14"/>
        <v>-2.0243902439024391E-2</v>
      </c>
      <c r="L39" s="101">
        <f t="shared" si="14"/>
        <v>1.247963858488165E-2</v>
      </c>
      <c r="M39" s="101">
        <f t="shared" si="14"/>
        <v>2.5212761830876649E-2</v>
      </c>
      <c r="N39" s="101">
        <f t="shared" si="14"/>
        <v>5.6642342567949262E-2</v>
      </c>
      <c r="O39" s="112">
        <f>N39</f>
        <v>5.6642342567949262E-2</v>
      </c>
      <c r="P39" s="112">
        <f t="shared" ref="P39:Q39" si="15">O39</f>
        <v>5.6642342567949262E-2</v>
      </c>
      <c r="Q39" s="112">
        <f t="shared" si="15"/>
        <v>5.6642342567949262E-2</v>
      </c>
    </row>
    <row r="40" spans="2:17" x14ac:dyDescent="0.25">
      <c r="B40" s="32" t="s">
        <v>147</v>
      </c>
      <c r="C40" s="101">
        <f>C38/C$46</f>
        <v>-2.0119389785540572E-2</v>
      </c>
      <c r="D40" s="101">
        <f t="shared" ref="D40:Q40" si="16">D38/D$46</f>
        <v>-6.5092794759825323E-2</v>
      </c>
      <c r="E40" s="101">
        <f t="shared" si="16"/>
        <v>-0.7457379444715051</v>
      </c>
      <c r="F40" s="101">
        <f t="shared" si="16"/>
        <v>-0.17244988326221722</v>
      </c>
      <c r="G40" s="101">
        <f t="shared" si="16"/>
        <v>-0.11642940650574238</v>
      </c>
      <c r="H40" s="101">
        <f t="shared" si="16"/>
        <v>3.1311410978645357E-2</v>
      </c>
      <c r="I40" s="101">
        <f t="shared" si="16"/>
        <v>-3.7139756421078016E-2</v>
      </c>
      <c r="J40" s="101">
        <f t="shared" si="16"/>
        <v>-0.63242978445460485</v>
      </c>
      <c r="K40" s="101">
        <f t="shared" si="16"/>
        <v>-7.2072072072072071E-2</v>
      </c>
      <c r="L40" s="101">
        <f t="shared" si="16"/>
        <v>2.8346959707995018E-2</v>
      </c>
      <c r="M40" s="101">
        <f t="shared" si="16"/>
        <v>5.0143226503081111E-2</v>
      </c>
      <c r="N40" s="101">
        <f t="shared" si="16"/>
        <v>9.9424369090736237E-2</v>
      </c>
      <c r="O40" s="101">
        <f t="shared" si="16"/>
        <v>9.2323754095666746E-2</v>
      </c>
      <c r="P40" s="101">
        <f t="shared" si="16"/>
        <v>8.254555960645843E-2</v>
      </c>
      <c r="Q40" s="101">
        <f t="shared" si="16"/>
        <v>7.7261283177186682E-2</v>
      </c>
    </row>
    <row r="41" spans="2:17" x14ac:dyDescent="0.25"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 x14ac:dyDescent="0.25">
      <c r="B42" t="s">
        <v>146</v>
      </c>
      <c r="C42" s="100">
        <f>[1]Segments!C15</f>
        <v>1863</v>
      </c>
      <c r="D42" s="100">
        <f>[1]Segments!D15</f>
        <v>3706</v>
      </c>
      <c r="E42" s="100">
        <f>[1]Segments!E15</f>
        <v>4331</v>
      </c>
      <c r="F42" s="100">
        <f>[1]Segments!F15</f>
        <v>7296</v>
      </c>
      <c r="G42" s="100">
        <f>[1]Segments!G15</f>
        <v>9201</v>
      </c>
      <c r="H42" s="100">
        <f>[1]Segments!H15</f>
        <v>13531</v>
      </c>
      <c r="I42" s="100">
        <f>[1]Segments!I15</f>
        <v>18532</v>
      </c>
      <c r="J42" s="100">
        <f>[1]Segments!J15</f>
        <v>22841</v>
      </c>
      <c r="K42" s="100">
        <f>[1]Segments!K15</f>
        <v>24631</v>
      </c>
      <c r="L42" s="100">
        <f>[1]Segments!L15</f>
        <v>37271.5</v>
      </c>
      <c r="M42" s="100">
        <f>[1]Segments!M15</f>
        <v>42816.2</v>
      </c>
      <c r="N42" s="100">
        <f>[1]Segments!N15</f>
        <v>53907.1</v>
      </c>
      <c r="O42" s="100">
        <f>[1]Segments!O15</f>
        <v>70418.5</v>
      </c>
      <c r="P42" s="100">
        <f>[1]Segments!P15</f>
        <v>85067.5</v>
      </c>
      <c r="Q42" s="100">
        <f>[1]Segments!Q15</f>
        <v>102298</v>
      </c>
    </row>
    <row r="43" spans="2:17" x14ac:dyDescent="0.25">
      <c r="B43" s="32" t="s">
        <v>78</v>
      </c>
      <c r="C43" s="101">
        <f>C42/C25</f>
        <v>0.23642131979695433</v>
      </c>
      <c r="D43" s="101">
        <f t="shared" ref="D43:Q43" si="17">D42/D25</f>
        <v>0.30329814223749896</v>
      </c>
      <c r="E43" s="101">
        <f t="shared" si="17"/>
        <v>0.24806689959333295</v>
      </c>
      <c r="F43" s="101">
        <f t="shared" si="17"/>
        <v>0.28438900799064509</v>
      </c>
      <c r="G43" s="101">
        <f t="shared" si="17"/>
        <v>0.26269057271740992</v>
      </c>
      <c r="H43" s="101">
        <f t="shared" si="17"/>
        <v>0.29823672029975756</v>
      </c>
      <c r="I43" s="101">
        <f t="shared" si="17"/>
        <v>0.29793254236198191</v>
      </c>
      <c r="J43" s="101">
        <f t="shared" si="17"/>
        <v>0.28517029564522572</v>
      </c>
      <c r="K43" s="101">
        <f t="shared" si="17"/>
        <v>0.27139504390845887</v>
      </c>
      <c r="L43" s="101">
        <f t="shared" si="17"/>
        <v>0.34653433127237226</v>
      </c>
      <c r="M43" s="101">
        <f t="shared" si="17"/>
        <v>0.33547654119785625</v>
      </c>
      <c r="N43" s="101">
        <f t="shared" si="17"/>
        <v>0.3554775234590859</v>
      </c>
      <c r="O43" s="112">
        <f t="shared" si="17"/>
        <v>0.39879091629856156</v>
      </c>
      <c r="P43" s="112">
        <f t="shared" si="17"/>
        <v>0.40755974396811101</v>
      </c>
      <c r="Q43" s="112">
        <f t="shared" si="17"/>
        <v>0.41060612750312075</v>
      </c>
    </row>
    <row r="44" spans="2:17" x14ac:dyDescent="0.25">
      <c r="B44" s="32" t="s">
        <v>147</v>
      </c>
      <c r="C44" s="101">
        <f>C42/C$46</f>
        <v>0.41189476011496795</v>
      </c>
      <c r="D44" s="101">
        <f t="shared" ref="D44:Q44" si="18">D42/D$46</f>
        <v>0.50573144104803491</v>
      </c>
      <c r="E44" s="101">
        <f t="shared" si="18"/>
        <v>1.0547978567949343</v>
      </c>
      <c r="F44" s="101">
        <f t="shared" si="18"/>
        <v>0.58739231945898074</v>
      </c>
      <c r="G44" s="101">
        <f t="shared" si="18"/>
        <v>0.63276253352589229</v>
      </c>
      <c r="H44" s="101">
        <f t="shared" si="18"/>
        <v>0.59089916590244118</v>
      </c>
      <c r="I44" s="101">
        <f t="shared" si="18"/>
        <v>0.74488524458378558</v>
      </c>
      <c r="J44" s="101">
        <f t="shared" si="18"/>
        <v>1.8648758981058131</v>
      </c>
      <c r="K44" s="101">
        <f t="shared" si="18"/>
        <v>0.668376207532834</v>
      </c>
      <c r="L44" s="101">
        <f t="shared" si="18"/>
        <v>0.59854501762240253</v>
      </c>
      <c r="M44" s="101">
        <f t="shared" si="18"/>
        <v>0.55051075912039549</v>
      </c>
      <c r="N44" s="101">
        <f t="shared" si="18"/>
        <v>0.55106718147349654</v>
      </c>
      <c r="O44" s="101">
        <f t="shared" si="18"/>
        <v>0.59584436976358679</v>
      </c>
      <c r="P44" s="101">
        <f t="shared" si="18"/>
        <v>0.6216646591057573</v>
      </c>
      <c r="Q44" s="101">
        <f t="shared" si="18"/>
        <v>0.64621177720563361</v>
      </c>
    </row>
    <row r="45" spans="2:17" x14ac:dyDescent="0.25"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</row>
    <row r="46" spans="2:17" x14ac:dyDescent="0.25">
      <c r="B46" s="115" t="s">
        <v>124</v>
      </c>
      <c r="C46" s="116">
        <f>C34+C38+C42</f>
        <v>4523</v>
      </c>
      <c r="D46" s="116">
        <f t="shared" ref="D46:Q46" si="19">D34+D38+D42</f>
        <v>7328</v>
      </c>
      <c r="E46" s="116">
        <f t="shared" si="19"/>
        <v>4106</v>
      </c>
      <c r="F46" s="116">
        <f t="shared" si="19"/>
        <v>12421</v>
      </c>
      <c r="G46" s="116">
        <f t="shared" si="19"/>
        <v>14541</v>
      </c>
      <c r="H46" s="116">
        <f t="shared" si="19"/>
        <v>22899</v>
      </c>
      <c r="I46" s="116">
        <f t="shared" si="19"/>
        <v>24879</v>
      </c>
      <c r="J46" s="116">
        <f t="shared" si="19"/>
        <v>12248</v>
      </c>
      <c r="K46" s="116">
        <f t="shared" si="19"/>
        <v>36852</v>
      </c>
      <c r="L46" s="116">
        <f t="shared" si="19"/>
        <v>62270.17</v>
      </c>
      <c r="M46" s="116">
        <f t="shared" si="19"/>
        <v>77775.41</v>
      </c>
      <c r="N46" s="116">
        <f t="shared" si="19"/>
        <v>97823.1</v>
      </c>
      <c r="O46" s="116">
        <f t="shared" si="19"/>
        <v>118182.7060444323</v>
      </c>
      <c r="P46" s="116">
        <f t="shared" si="19"/>
        <v>136838.2435031237</v>
      </c>
      <c r="Q46" s="117">
        <f t="shared" si="19"/>
        <v>158304.14054407948</v>
      </c>
    </row>
    <row r="47" spans="2:17" x14ac:dyDescent="0.25">
      <c r="B47" s="118" t="s">
        <v>78</v>
      </c>
      <c r="C47" s="119">
        <f>C46/C29</f>
        <v>4.2268657832271087E-2</v>
      </c>
      <c r="D47" s="119">
        <f t="shared" ref="D47:Q47" si="20">D46/D29</f>
        <v>5.3887503952583703E-2</v>
      </c>
      <c r="E47" s="119">
        <f t="shared" si="20"/>
        <v>2.3084794170892695E-2</v>
      </c>
      <c r="F47" s="119">
        <f t="shared" si="20"/>
        <v>5.3334879147397665E-2</v>
      </c>
      <c r="G47" s="119">
        <f t="shared" si="20"/>
        <v>5.1835506662579051E-2</v>
      </c>
      <c r="H47" s="119">
        <f t="shared" si="20"/>
        <v>5.9313999751336569E-2</v>
      </c>
      <c r="I47" s="119">
        <f t="shared" si="20"/>
        <v>5.2954097509269465E-2</v>
      </c>
      <c r="J47" s="119">
        <f t="shared" si="20"/>
        <v>2.3829581912242232E-2</v>
      </c>
      <c r="K47" s="119">
        <f t="shared" si="20"/>
        <v>6.4114407996033296E-2</v>
      </c>
      <c r="L47" s="119">
        <f t="shared" si="20"/>
        <v>9.7963599236052773E-2</v>
      </c>
      <c r="M47" s="119">
        <f t="shared" si="20"/>
        <v>0.1101995270407173</v>
      </c>
      <c r="N47" s="119">
        <f t="shared" si="20"/>
        <v>0.12464288308123957</v>
      </c>
      <c r="O47" s="119">
        <f t="shared" si="20"/>
        <v>0.1363709024118015</v>
      </c>
      <c r="P47" s="119">
        <f t="shared" si="20"/>
        <v>0.14336928805099891</v>
      </c>
      <c r="Q47" s="123">
        <f t="shared" si="20"/>
        <v>0.14992114954606189</v>
      </c>
    </row>
    <row r="49" spans="2:17" x14ac:dyDescent="0.25">
      <c r="B49" s="97" t="s">
        <v>103</v>
      </c>
      <c r="C49" s="98">
        <v>2015</v>
      </c>
      <c r="D49" s="98">
        <v>2016</v>
      </c>
      <c r="E49" s="98">
        <v>2017</v>
      </c>
      <c r="F49" s="98">
        <v>2018</v>
      </c>
      <c r="G49" s="98">
        <v>2019</v>
      </c>
      <c r="H49" s="98">
        <v>2020</v>
      </c>
      <c r="I49" s="98">
        <v>2021</v>
      </c>
      <c r="J49" s="98">
        <v>2022</v>
      </c>
      <c r="K49" s="98">
        <v>2023</v>
      </c>
      <c r="L49" s="99">
        <v>2024</v>
      </c>
      <c r="M49" s="99">
        <v>2025</v>
      </c>
      <c r="N49" s="99">
        <v>2026</v>
      </c>
      <c r="O49" s="99">
        <v>2027</v>
      </c>
      <c r="P49" s="99">
        <v>2028</v>
      </c>
      <c r="Q49" s="99">
        <v>2029</v>
      </c>
    </row>
    <row r="51" spans="2:17" x14ac:dyDescent="0.25">
      <c r="B51" t="s">
        <v>79</v>
      </c>
      <c r="C51" s="100">
        <f>[1]IS!C31</f>
        <v>950</v>
      </c>
      <c r="D51" s="100">
        <f>[1]IS!D31</f>
        <v>1425</v>
      </c>
      <c r="E51" s="100">
        <f>[1]IS!E31</f>
        <v>769</v>
      </c>
      <c r="F51" s="100">
        <f>[1]IS!F31</f>
        <v>1197</v>
      </c>
      <c r="G51" s="100">
        <f>[1]IS!G31</f>
        <v>2374</v>
      </c>
      <c r="H51" s="100">
        <f>[1]IS!H31</f>
        <v>2863</v>
      </c>
      <c r="I51" s="100">
        <f>[1]IS!I31</f>
        <v>4791</v>
      </c>
      <c r="J51" s="100">
        <f>[1]IS!J31</f>
        <v>-3217</v>
      </c>
      <c r="K51" s="100">
        <f>[1]IS!K31</f>
        <v>7120</v>
      </c>
      <c r="L51" s="100">
        <f>[1]IS!L31</f>
        <v>9602</v>
      </c>
      <c r="M51" s="100"/>
      <c r="N51" s="100"/>
      <c r="O51" s="100"/>
      <c r="P51" s="100"/>
      <c r="Q51" s="100"/>
    </row>
    <row r="52" spans="2:17" x14ac:dyDescent="0.25">
      <c r="B52" s="32" t="s">
        <v>133</v>
      </c>
      <c r="C52" s="101">
        <f>IF(C51&lt;0,"--",[1]IS!C31/[1]IS!C30)</f>
        <v>0.60586734693877553</v>
      </c>
      <c r="D52" s="101">
        <f>IF(D51&lt;0,"--",[1]IS!D31/[1]IS!D30)</f>
        <v>0.36613566289825283</v>
      </c>
      <c r="E52" s="101">
        <f>IF(E51&lt;0,"--",[1]IS!E31/[1]IS!E30)</f>
        <v>0.20204939569101418</v>
      </c>
      <c r="F52" s="101">
        <f>IF(F51&lt;0,"--",[1]IS!F31/[1]IS!F30)</f>
        <v>0.10629606606873279</v>
      </c>
      <c r="G52" s="101">
        <f>IF(G51&lt;0,"--",[1]IS!G31/[1]IS!G30)</f>
        <v>0.16986262163709215</v>
      </c>
      <c r="H52" s="101">
        <f>IF(H51&lt;0,"--",[1]IS!H31/[1]IS!H30)</f>
        <v>0.1184134337000579</v>
      </c>
      <c r="I52" s="101">
        <f>IF(I51&lt;0,"--",[1]IS!I31/[1]IS!I30)</f>
        <v>0.12557993237398757</v>
      </c>
      <c r="J52" s="111" t="str">
        <f>IF(J51&lt;0,"--",[1]IS!J31/[1]IS!J30)</f>
        <v>--</v>
      </c>
      <c r="K52" s="101">
        <f>IF(K51&lt;0,"--",[1]IS!K31/[1]IS!K30)</f>
        <v>0.18957850733551668</v>
      </c>
      <c r="L52" s="101">
        <f>IF(L51&lt;0,"--",[1]IS!L31/[1]IS!L30)</f>
        <v>0.17747629521468311</v>
      </c>
      <c r="M52" s="124">
        <f>AVERAGE(H52:L52)</f>
        <v>0.15276204215606132</v>
      </c>
      <c r="N52" s="124">
        <f t="shared" ref="N52:Q52" si="21">AVERAGE(I52:M52)</f>
        <v>0.16134919427006217</v>
      </c>
      <c r="O52" s="124">
        <f t="shared" si="21"/>
        <v>0.1702915097440808</v>
      </c>
      <c r="P52" s="124">
        <f t="shared" si="21"/>
        <v>0.1702915097440808</v>
      </c>
      <c r="Q52" s="124">
        <f t="shared" si="21"/>
        <v>0.16643411022579363</v>
      </c>
    </row>
    <row r="54" spans="2:17" x14ac:dyDescent="0.25">
      <c r="B54" s="97" t="s">
        <v>82</v>
      </c>
      <c r="C54" s="98">
        <v>2015</v>
      </c>
      <c r="D54" s="98">
        <f t="shared" ref="D54:Q54" si="22">C54+1</f>
        <v>2016</v>
      </c>
      <c r="E54" s="98">
        <f t="shared" si="22"/>
        <v>2017</v>
      </c>
      <c r="F54" s="98">
        <f t="shared" si="22"/>
        <v>2018</v>
      </c>
      <c r="G54" s="98">
        <f t="shared" si="22"/>
        <v>2019</v>
      </c>
      <c r="H54" s="98">
        <f t="shared" si="22"/>
        <v>2020</v>
      </c>
      <c r="I54" s="98">
        <f t="shared" si="22"/>
        <v>2021</v>
      </c>
      <c r="J54" s="98">
        <f t="shared" si="22"/>
        <v>2022</v>
      </c>
      <c r="K54" s="98">
        <f t="shared" si="22"/>
        <v>2023</v>
      </c>
      <c r="L54" s="99">
        <f t="shared" si="22"/>
        <v>2024</v>
      </c>
      <c r="M54" s="99">
        <f t="shared" si="22"/>
        <v>2025</v>
      </c>
      <c r="N54" s="99">
        <f t="shared" si="22"/>
        <v>2026</v>
      </c>
      <c r="O54" s="99">
        <f t="shared" si="22"/>
        <v>2027</v>
      </c>
      <c r="P54" s="99">
        <f t="shared" si="22"/>
        <v>2028</v>
      </c>
      <c r="Q54" s="99">
        <f t="shared" si="22"/>
        <v>2029</v>
      </c>
    </row>
    <row r="56" spans="2:17" x14ac:dyDescent="0.25">
      <c r="B56" t="s">
        <v>143</v>
      </c>
      <c r="I56" s="46">
        <f>I58*I$75</f>
        <v>13823.792570605438</v>
      </c>
      <c r="J56" s="46">
        <f>J58*J$75</f>
        <v>19451.788035628309</v>
      </c>
      <c r="K56" s="46">
        <f>K58*K$75</f>
        <v>22021.919404466502</v>
      </c>
      <c r="L56" s="46">
        <f>L59*L$17</f>
        <v>22347.588303847355</v>
      </c>
      <c r="M56" s="46">
        <f t="shared" ref="M56:Q56" si="23">M59*M$17</f>
        <v>25660.826941858202</v>
      </c>
      <c r="N56" s="46">
        <f t="shared" si="23"/>
        <v>27813.123509098012</v>
      </c>
      <c r="O56" s="46">
        <f t="shared" si="23"/>
        <v>29623.91757187941</v>
      </c>
      <c r="P56" s="46">
        <f t="shared" si="23"/>
        <v>32855.579912787827</v>
      </c>
      <c r="Q56" s="46">
        <f t="shared" si="23"/>
        <v>35444.42800582941</v>
      </c>
    </row>
    <row r="57" spans="2:17" x14ac:dyDescent="0.25">
      <c r="B57" t="s">
        <v>148</v>
      </c>
      <c r="I57" s="125">
        <v>9234</v>
      </c>
      <c r="J57" s="125">
        <v>11565</v>
      </c>
      <c r="K57" s="125">
        <v>13678</v>
      </c>
      <c r="L57" s="110"/>
      <c r="M57" s="110"/>
      <c r="N57" s="110"/>
      <c r="P57" s="110"/>
      <c r="Q57" s="110"/>
    </row>
    <row r="58" spans="2:17" x14ac:dyDescent="0.25">
      <c r="B58" s="32" t="s">
        <v>149</v>
      </c>
      <c r="I58" s="101">
        <f>I57/I$73</f>
        <v>0.40307302806757167</v>
      </c>
      <c r="J58" s="101">
        <f>J57/J$73</f>
        <v>0.4640105922002889</v>
      </c>
      <c r="K58" s="101">
        <f>K57/K$73</f>
        <v>0.45253928866832094</v>
      </c>
    </row>
    <row r="59" spans="2:17" x14ac:dyDescent="0.25">
      <c r="B59" s="32" t="s">
        <v>150</v>
      </c>
      <c r="I59" s="101">
        <f>I56/I17</f>
        <v>4.9400151413898426E-2</v>
      </c>
      <c r="J59" s="101">
        <f t="shared" ref="J59:K59" si="24">J56/J17</f>
        <v>6.1579675939053787E-2</v>
      </c>
      <c r="K59" s="101">
        <f t="shared" si="24"/>
        <v>6.241545286787472E-2</v>
      </c>
      <c r="L59" s="124">
        <f>AVERAGE(I59:K59)</f>
        <v>5.7798426740275639E-2</v>
      </c>
      <c r="M59" s="124">
        <f t="shared" ref="M59:Q59" si="25">AVERAGE(J59:L59)</f>
        <v>6.0597851849068046E-2</v>
      </c>
      <c r="N59" s="124">
        <f t="shared" si="25"/>
        <v>6.0270577152406135E-2</v>
      </c>
      <c r="O59" s="124">
        <f t="shared" si="25"/>
        <v>5.9555618580583274E-2</v>
      </c>
      <c r="P59" s="124">
        <f t="shared" si="25"/>
        <v>6.0141349194019152E-2</v>
      </c>
      <c r="Q59" s="124">
        <f t="shared" si="25"/>
        <v>5.9989181642336187E-2</v>
      </c>
    </row>
    <row r="61" spans="2:17" x14ac:dyDescent="0.25">
      <c r="B61" t="s">
        <v>145</v>
      </c>
      <c r="I61" s="46">
        <f>I63*I$75</f>
        <v>4524.0958575232435</v>
      </c>
      <c r="J61" s="46">
        <f t="shared" ref="J61:K61" si="26">J63*J$75</f>
        <v>5858.2427780452572</v>
      </c>
      <c r="K61" s="46">
        <f t="shared" si="26"/>
        <v>6465.8596526054598</v>
      </c>
      <c r="L61" s="46">
        <f>L64*L$21</f>
        <v>6333.3464994478427</v>
      </c>
      <c r="M61" s="46">
        <f t="shared" ref="M61:Q61" si="27">M64*M$21</f>
        <v>7409.2751380164646</v>
      </c>
      <c r="N61" s="46">
        <f t="shared" si="27"/>
        <v>8125.2405079920536</v>
      </c>
      <c r="O61" s="46">
        <f t="shared" si="27"/>
        <v>8989.2443340027894</v>
      </c>
      <c r="P61" s="46">
        <f t="shared" si="27"/>
        <v>9431.4536387874577</v>
      </c>
      <c r="Q61" s="46">
        <f t="shared" si="27"/>
        <v>10168.922194020122</v>
      </c>
    </row>
    <row r="62" spans="2:17" x14ac:dyDescent="0.25">
      <c r="B62" t="s">
        <v>151</v>
      </c>
      <c r="I62" s="125">
        <v>3022</v>
      </c>
      <c r="J62" s="125">
        <v>3483</v>
      </c>
      <c r="K62" s="125">
        <v>4016</v>
      </c>
    </row>
    <row r="63" spans="2:17" x14ac:dyDescent="0.25">
      <c r="B63" s="32" t="s">
        <v>149</v>
      </c>
      <c r="I63" s="101">
        <f>I62/I$73</f>
        <v>0.13191322187786458</v>
      </c>
      <c r="J63" s="101">
        <f>J62/J$73</f>
        <v>0.13974482426576793</v>
      </c>
      <c r="K63" s="101">
        <f>K62/K$73</f>
        <v>0.13287014061207611</v>
      </c>
      <c r="M63" s="32"/>
    </row>
    <row r="64" spans="2:17" x14ac:dyDescent="0.25">
      <c r="B64" s="32" t="s">
        <v>152</v>
      </c>
      <c r="I64" s="101">
        <f>I61/I21</f>
        <v>3.5403412377810292E-2</v>
      </c>
      <c r="J64" s="101">
        <f>J61/J21</f>
        <v>4.9643180303246902E-2</v>
      </c>
      <c r="K64" s="101">
        <f>K61/K21</f>
        <v>4.9282466864370884E-2</v>
      </c>
      <c r="L64" s="124">
        <f>AVERAGE(I64:K64)</f>
        <v>4.4776353181809357E-2</v>
      </c>
      <c r="M64" s="124">
        <f t="shared" ref="M64:Q64" si="28">AVERAGE(J64:L64)</f>
        <v>4.7900666783142386E-2</v>
      </c>
      <c r="N64" s="124">
        <f t="shared" si="28"/>
        <v>4.7319828943107545E-2</v>
      </c>
      <c r="O64" s="124">
        <f t="shared" si="28"/>
        <v>4.6665616302686432E-2</v>
      </c>
      <c r="P64" s="124">
        <f t="shared" si="28"/>
        <v>4.7295370676312121E-2</v>
      </c>
      <c r="Q64" s="124">
        <f t="shared" si="28"/>
        <v>4.7093605307368697E-2</v>
      </c>
    </row>
    <row r="66" spans="2:17" x14ac:dyDescent="0.25">
      <c r="B66" t="s">
        <v>146</v>
      </c>
      <c r="I66" s="46">
        <f>I68*I$75</f>
        <v>15948.111571871317</v>
      </c>
      <c r="J66" s="46">
        <f t="shared" ref="J66:K66" si="29">J68*J$75</f>
        <v>16610.969186326434</v>
      </c>
      <c r="K66" s="46">
        <f t="shared" si="29"/>
        <v>20175.220942928041</v>
      </c>
      <c r="L66" s="46">
        <f>L69*L$25</f>
        <v>24597.106072990468</v>
      </c>
      <c r="M66" s="46">
        <f t="shared" ref="M66:Q66" si="30">M69*M$25</f>
        <v>28009.277861442701</v>
      </c>
      <c r="N66" s="46">
        <f t="shared" si="30"/>
        <v>33890.724153058196</v>
      </c>
      <c r="O66" s="46">
        <f t="shared" si="30"/>
        <v>39532.605399858847</v>
      </c>
      <c r="P66" s="46">
        <f t="shared" si="30"/>
        <v>46394.049540512453</v>
      </c>
      <c r="Q66" s="46">
        <f t="shared" si="30"/>
        <v>55610.999153529621</v>
      </c>
    </row>
    <row r="67" spans="2:17" x14ac:dyDescent="0.25">
      <c r="B67" t="s">
        <v>153</v>
      </c>
      <c r="I67" s="125">
        <v>10653</v>
      </c>
      <c r="J67" s="125">
        <v>9876</v>
      </c>
      <c r="K67" s="125">
        <v>12531</v>
      </c>
      <c r="L67" s="125"/>
      <c r="M67" s="125"/>
      <c r="N67" s="125"/>
      <c r="P67" s="125"/>
      <c r="Q67" s="125"/>
    </row>
    <row r="68" spans="2:17" x14ac:dyDescent="0.25">
      <c r="B68" s="32" t="s">
        <v>149</v>
      </c>
      <c r="I68" s="101">
        <f>I67/I$73</f>
        <v>0.46501375005456369</v>
      </c>
      <c r="J68" s="101">
        <f>J67/J$73</f>
        <v>0.39624458353394321</v>
      </c>
      <c r="K68" s="101">
        <f>K67/K$73</f>
        <v>0.41459057071960298</v>
      </c>
    </row>
    <row r="69" spans="2:17" x14ac:dyDescent="0.25">
      <c r="B69" s="32" t="s">
        <v>154</v>
      </c>
      <c r="I69" s="101">
        <f>I66/I25</f>
        <v>0.25639226346212851</v>
      </c>
      <c r="J69" s="101">
        <f>J66/J25</f>
        <v>0.20738824893036401</v>
      </c>
      <c r="K69" s="101">
        <f>K66/K25</f>
        <v>0.22229933716328262</v>
      </c>
      <c r="L69" s="124">
        <f>AVERAGE(I69:K69)</f>
        <v>0.22869328318525839</v>
      </c>
      <c r="M69" s="124">
        <f t="shared" ref="M69:Q69" si="31">AVERAGE(J69:L69)</f>
        <v>0.21946028975963502</v>
      </c>
      <c r="N69" s="124">
        <f t="shared" si="31"/>
        <v>0.22348430336939204</v>
      </c>
      <c r="O69" s="124">
        <f t="shared" si="31"/>
        <v>0.22387929210476185</v>
      </c>
      <c r="P69" s="124">
        <f t="shared" si="31"/>
        <v>0.22227462841126297</v>
      </c>
      <c r="Q69" s="124">
        <f t="shared" si="31"/>
        <v>0.22321274129513893</v>
      </c>
    </row>
    <row r="70" spans="2:17" x14ac:dyDescent="0.25">
      <c r="B70" s="32"/>
    </row>
    <row r="71" spans="2:17" x14ac:dyDescent="0.25">
      <c r="B71" s="115" t="s">
        <v>155</v>
      </c>
      <c r="C71" s="126"/>
      <c r="D71" s="126"/>
      <c r="E71" s="126"/>
      <c r="F71" s="126"/>
      <c r="G71" s="126"/>
      <c r="H71" s="126"/>
      <c r="I71" s="127">
        <f>I56+I61+I66</f>
        <v>34296</v>
      </c>
      <c r="J71" s="127">
        <f>J56+J61+J66</f>
        <v>41921</v>
      </c>
      <c r="K71" s="127">
        <f>K56+K61+K66</f>
        <v>48663</v>
      </c>
      <c r="L71" s="127">
        <f t="shared" ref="L71:Q71" si="32">L56+L61+L66</f>
        <v>53278.040876285668</v>
      </c>
      <c r="M71" s="127">
        <f t="shared" si="32"/>
        <v>61079.379941317369</v>
      </c>
      <c r="N71" s="127">
        <f t="shared" si="32"/>
        <v>69829.088170148258</v>
      </c>
      <c r="O71" s="127">
        <f t="shared" si="32"/>
        <v>78145.767305741043</v>
      </c>
      <c r="P71" s="127">
        <f t="shared" si="32"/>
        <v>88681.083092087734</v>
      </c>
      <c r="Q71" s="128">
        <f t="shared" si="32"/>
        <v>101224.34935337916</v>
      </c>
    </row>
    <row r="72" spans="2:17" x14ac:dyDescent="0.25">
      <c r="B72" s="129" t="s">
        <v>144</v>
      </c>
      <c r="C72" s="130"/>
      <c r="D72" s="130"/>
      <c r="E72" s="130"/>
      <c r="F72" s="130"/>
      <c r="G72" s="130"/>
      <c r="H72" s="130"/>
      <c r="I72" s="131">
        <f>I71/I$29</f>
        <v>7.2997858763531723E-2</v>
      </c>
      <c r="J72" s="131">
        <f t="shared" ref="J72:Q72" si="33">J71/J$29</f>
        <v>8.1561063303650122E-2</v>
      </c>
      <c r="K72" s="131">
        <f t="shared" si="33"/>
        <v>8.4662960933218512E-2</v>
      </c>
      <c r="L72" s="131">
        <f t="shared" si="33"/>
        <v>8.3817157468599926E-2</v>
      </c>
      <c r="M72" s="131">
        <f t="shared" si="33"/>
        <v>8.6543018949992653E-2</v>
      </c>
      <c r="N72" s="131">
        <f t="shared" si="33"/>
        <v>8.8973860698151636E-2</v>
      </c>
      <c r="O72" s="131">
        <f t="shared" si="33"/>
        <v>9.0172320162816344E-2</v>
      </c>
      <c r="P72" s="131">
        <f t="shared" si="33"/>
        <v>9.2913672530544139E-2</v>
      </c>
      <c r="Q72" s="132">
        <f t="shared" si="33"/>
        <v>9.5864016979929426E-2</v>
      </c>
    </row>
    <row r="73" spans="2:17" x14ac:dyDescent="0.25">
      <c r="B73" s="133" t="s">
        <v>156</v>
      </c>
      <c r="C73" s="134"/>
      <c r="D73" s="134"/>
      <c r="E73" s="134"/>
      <c r="F73" s="134"/>
      <c r="G73" s="134"/>
      <c r="H73" s="134"/>
      <c r="I73" s="135">
        <f>I57+I62+I67</f>
        <v>22909</v>
      </c>
      <c r="J73" s="135">
        <f>J57+J62+J67</f>
        <v>24924</v>
      </c>
      <c r="K73" s="135">
        <f>K57+K62+K67</f>
        <v>30225</v>
      </c>
      <c r="L73" s="136"/>
      <c r="M73" s="136"/>
      <c r="N73" s="136"/>
      <c r="O73" s="136"/>
      <c r="P73" s="136"/>
      <c r="Q73" s="137"/>
    </row>
    <row r="74" spans="2:17" x14ac:dyDescent="0.25">
      <c r="B74" s="32"/>
      <c r="I74" s="102"/>
      <c r="J74" s="102"/>
      <c r="K74" s="102"/>
    </row>
    <row r="75" spans="2:17" x14ac:dyDescent="0.25">
      <c r="B75" s="115" t="s">
        <v>157</v>
      </c>
      <c r="C75" s="138">
        <f>[1]CFS!C12</f>
        <v>5646</v>
      </c>
      <c r="D75" s="138">
        <f>[1]CFS!D12</f>
        <v>7482</v>
      </c>
      <c r="E75" s="138">
        <f>[1]CFS!E12</f>
        <v>10933</v>
      </c>
      <c r="F75" s="138">
        <f>[1]CFS!F12</f>
        <v>15341</v>
      </c>
      <c r="G75" s="138">
        <f>[1]CFS!G12</f>
        <v>21789</v>
      </c>
      <c r="H75" s="138">
        <f>[1]CFS!H12</f>
        <v>25251</v>
      </c>
      <c r="I75" s="138">
        <f>[1]CFS!I12</f>
        <v>34296</v>
      </c>
      <c r="J75" s="138">
        <f>[1]CFS!J12</f>
        <v>41921</v>
      </c>
      <c r="K75" s="138">
        <f>[1]CFS!K12</f>
        <v>48663</v>
      </c>
      <c r="L75" s="138">
        <f>[1]CFS!L12</f>
        <v>49673</v>
      </c>
      <c r="M75" s="139">
        <f>M76*M$29</f>
        <v>54029.981256774641</v>
      </c>
      <c r="N75" s="139">
        <f>N76*N$29</f>
        <v>61832.178815252708</v>
      </c>
      <c r="O75" s="139">
        <f>O76*O$29</f>
        <v>69279.715031460539</v>
      </c>
      <c r="P75" s="139">
        <f>P76*P$29</f>
        <v>75991.021748701343</v>
      </c>
      <c r="Q75" s="140">
        <f>Q76*Q$29</f>
        <v>83004.429599953422</v>
      </c>
    </row>
    <row r="76" spans="2:17" x14ac:dyDescent="0.25">
      <c r="B76" s="129" t="s">
        <v>78</v>
      </c>
      <c r="C76" s="141">
        <f t="shared" ref="C76:L76" si="34">C75/C$29</f>
        <v>5.2763396445059153E-2</v>
      </c>
      <c r="D76" s="141">
        <f t="shared" si="34"/>
        <v>5.5019965143726972E-2</v>
      </c>
      <c r="E76" s="141">
        <f t="shared" si="34"/>
        <v>6.1467621692734981E-2</v>
      </c>
      <c r="F76" s="141">
        <f t="shared" si="34"/>
        <v>6.5873148780309768E-2</v>
      </c>
      <c r="G76" s="141">
        <f t="shared" si="34"/>
        <v>7.7673052380918428E-2</v>
      </c>
      <c r="H76" s="141">
        <f t="shared" si="34"/>
        <v>6.5406253885366153E-2</v>
      </c>
      <c r="I76" s="141">
        <f t="shared" si="34"/>
        <v>7.2997858763531723E-2</v>
      </c>
      <c r="J76" s="141">
        <f t="shared" si="34"/>
        <v>8.1561063303650122E-2</v>
      </c>
      <c r="K76" s="141">
        <f t="shared" si="34"/>
        <v>8.4662960933218512E-2</v>
      </c>
      <c r="L76" s="141">
        <f t="shared" si="34"/>
        <v>7.8145697447950593E-2</v>
      </c>
      <c r="M76" s="142">
        <f>AVERAGE(H76:L76)</f>
        <v>7.6554766866743423E-2</v>
      </c>
      <c r="N76" s="142">
        <f t="shared" ref="N76:Q76" si="35">AVERAGE(I76:M76)</f>
        <v>7.8784469463018869E-2</v>
      </c>
      <c r="O76" s="142">
        <f t="shared" si="35"/>
        <v>7.9941791602916298E-2</v>
      </c>
      <c r="P76" s="142">
        <f t="shared" si="35"/>
        <v>7.9617937262769542E-2</v>
      </c>
      <c r="Q76" s="143">
        <f t="shared" si="35"/>
        <v>7.8608932528679759E-2</v>
      </c>
    </row>
    <row r="77" spans="2:17" x14ac:dyDescent="0.25">
      <c r="B77" s="118" t="s">
        <v>158</v>
      </c>
      <c r="C77" s="144">
        <f t="shared" ref="C77:L77" si="36">C75/C100</f>
        <v>1.2303334059707998</v>
      </c>
      <c r="D77" s="144">
        <f t="shared" si="36"/>
        <v>1.1105833457028351</v>
      </c>
      <c r="E77" s="144">
        <f t="shared" si="36"/>
        <v>0.91451275616896699</v>
      </c>
      <c r="F77" s="144">
        <f t="shared" si="36"/>
        <v>1.142548596112311</v>
      </c>
      <c r="G77" s="144">
        <f t="shared" si="36"/>
        <v>1.2922721072297016</v>
      </c>
      <c r="H77" s="144">
        <f t="shared" si="36"/>
        <v>0.62907324364723471</v>
      </c>
      <c r="I77" s="144">
        <f t="shared" si="36"/>
        <v>0.56174143776718588</v>
      </c>
      <c r="J77" s="144">
        <f t="shared" si="36"/>
        <v>0.65866918061120272</v>
      </c>
      <c r="K77" s="144">
        <f t="shared" si="36"/>
        <v>0.92288873295529972</v>
      </c>
      <c r="L77" s="144">
        <f t="shared" si="36"/>
        <v>0.8332718244648728</v>
      </c>
      <c r="M77" s="145"/>
      <c r="N77" s="134"/>
      <c r="O77" s="134"/>
      <c r="P77" s="134"/>
      <c r="Q77" s="146"/>
    </row>
    <row r="78" spans="2:17" x14ac:dyDescent="0.25">
      <c r="B78" s="32"/>
      <c r="C78" s="147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7" x14ac:dyDescent="0.25">
      <c r="B79" s="97" t="s">
        <v>83</v>
      </c>
      <c r="C79" s="98">
        <v>2015</v>
      </c>
      <c r="D79" s="98">
        <f t="shared" ref="D79:Q79" si="37">C79+1</f>
        <v>2016</v>
      </c>
      <c r="E79" s="98">
        <f t="shared" si="37"/>
        <v>2017</v>
      </c>
      <c r="F79" s="98">
        <f t="shared" si="37"/>
        <v>2018</v>
      </c>
      <c r="G79" s="98">
        <f t="shared" si="37"/>
        <v>2019</v>
      </c>
      <c r="H79" s="98">
        <f t="shared" si="37"/>
        <v>2020</v>
      </c>
      <c r="I79" s="98">
        <f t="shared" si="37"/>
        <v>2021</v>
      </c>
      <c r="J79" s="98">
        <f t="shared" si="37"/>
        <v>2022</v>
      </c>
      <c r="K79" s="98">
        <f t="shared" si="37"/>
        <v>2023</v>
      </c>
      <c r="L79" s="99">
        <f t="shared" si="37"/>
        <v>2024</v>
      </c>
      <c r="M79" s="99">
        <f t="shared" si="37"/>
        <v>2025</v>
      </c>
      <c r="N79" s="99">
        <f t="shared" si="37"/>
        <v>2026</v>
      </c>
      <c r="O79" s="99">
        <f t="shared" si="37"/>
        <v>2027</v>
      </c>
      <c r="P79" s="99">
        <f t="shared" si="37"/>
        <v>2028</v>
      </c>
      <c r="Q79" s="99">
        <f t="shared" si="37"/>
        <v>2029</v>
      </c>
    </row>
    <row r="81" spans="2:17" x14ac:dyDescent="0.25">
      <c r="B81" t="s">
        <v>143</v>
      </c>
      <c r="I81" s="102">
        <f>I83*I$100</f>
        <v>32756.108646686658</v>
      </c>
      <c r="J81" s="102">
        <f t="shared" ref="J81:K81" si="38">J83*J$100</f>
        <v>25920.769243998075</v>
      </c>
      <c r="K81" s="102">
        <f t="shared" si="38"/>
        <v>19870.294973772467</v>
      </c>
      <c r="L81" s="46">
        <f>L84*L$17</f>
        <v>32920.679686744501</v>
      </c>
      <c r="M81" s="46">
        <f t="shared" ref="M81:Q81" si="39">M84*M$17</f>
        <v>31550.690155187796</v>
      </c>
      <c r="N81" s="46">
        <f t="shared" si="39"/>
        <v>33220.984657202869</v>
      </c>
      <c r="O81" s="46">
        <f t="shared" si="39"/>
        <v>38407.157688203937</v>
      </c>
      <c r="P81" s="46">
        <f t="shared" si="39"/>
        <v>40737.928523863367</v>
      </c>
      <c r="Q81" s="46">
        <f t="shared" si="39"/>
        <v>44071.765249185657</v>
      </c>
    </row>
    <row r="82" spans="2:17" x14ac:dyDescent="0.25">
      <c r="B82" t="s">
        <v>148</v>
      </c>
      <c r="I82" s="125">
        <v>37397</v>
      </c>
      <c r="J82" s="125">
        <v>23682</v>
      </c>
      <c r="K82" s="125">
        <v>17529</v>
      </c>
      <c r="L82" s="125"/>
      <c r="M82" s="125"/>
      <c r="N82" s="125"/>
      <c r="P82" s="125"/>
      <c r="Q82" s="125"/>
    </row>
    <row r="83" spans="2:17" x14ac:dyDescent="0.25">
      <c r="B83" s="32" t="s">
        <v>159</v>
      </c>
      <c r="I83" s="101">
        <f>I82/I$98</f>
        <v>0.53651923159691839</v>
      </c>
      <c r="J83" s="101">
        <f t="shared" ref="J83:K83" si="40">J82/J$98</f>
        <v>0.40727110132764671</v>
      </c>
      <c r="K83" s="101">
        <f t="shared" si="40"/>
        <v>0.37683807722074125</v>
      </c>
      <c r="M83" s="32"/>
    </row>
    <row r="84" spans="2:17" x14ac:dyDescent="0.25">
      <c r="B84" s="32" t="s">
        <v>150</v>
      </c>
      <c r="I84" s="101">
        <f>I81/I17</f>
        <v>0.11705591780342797</v>
      </c>
      <c r="J84" s="101">
        <f>J81/J17</f>
        <v>8.2058912384443697E-2</v>
      </c>
      <c r="K84" s="101">
        <f>K81/K17</f>
        <v>5.6317228150182148E-2</v>
      </c>
      <c r="L84" s="124">
        <f>AVERAGE(I84:K84)</f>
        <v>8.5144019446017946E-2</v>
      </c>
      <c r="M84" s="124">
        <f t="shared" ref="M84:Q84" si="41">AVERAGE(J84:L84)</f>
        <v>7.4506719993547924E-2</v>
      </c>
      <c r="N84" s="124">
        <f t="shared" si="41"/>
        <v>7.1989322529916008E-2</v>
      </c>
      <c r="O84" s="124">
        <f t="shared" si="41"/>
        <v>7.7213353989827302E-2</v>
      </c>
      <c r="P84" s="124">
        <f t="shared" si="41"/>
        <v>7.4569798837763754E-2</v>
      </c>
      <c r="Q84" s="124">
        <f t="shared" si="41"/>
        <v>7.4590825119169021E-2</v>
      </c>
    </row>
    <row r="85" spans="2:17" x14ac:dyDescent="0.25">
      <c r="M85" s="32"/>
    </row>
    <row r="86" spans="2:17" x14ac:dyDescent="0.25">
      <c r="B86" t="s">
        <v>145</v>
      </c>
      <c r="I86" s="102">
        <f>I88*I$100</f>
        <v>8985.8790439435888</v>
      </c>
      <c r="J86" s="102">
        <f t="shared" ref="J86:K86" si="42">J88*J$100</f>
        <v>7345.421940565454</v>
      </c>
      <c r="K86" s="102">
        <f t="shared" si="42"/>
        <v>4697.5014188666264</v>
      </c>
      <c r="L86" s="46">
        <f>L89*L$21</f>
        <v>7938.2601115820044</v>
      </c>
      <c r="M86" s="46">
        <f t="shared" ref="M86:Q86" si="43">M89*M$21</f>
        <v>7949.1476087912333</v>
      </c>
      <c r="N86" s="46">
        <f t="shared" si="43"/>
        <v>8202.9989228117538</v>
      </c>
      <c r="O86" s="46">
        <f t="shared" si="43"/>
        <v>9971.0036398586544</v>
      </c>
      <c r="P86" s="46">
        <f t="shared" si="43"/>
        <v>10032.339505004129</v>
      </c>
      <c r="Q86" s="46">
        <f t="shared" si="43"/>
        <v>10785.233770555706</v>
      </c>
    </row>
    <row r="87" spans="2:17" x14ac:dyDescent="0.25">
      <c r="B87" t="s">
        <v>151</v>
      </c>
      <c r="I87" s="125">
        <v>10259</v>
      </c>
      <c r="J87" s="125">
        <v>6711</v>
      </c>
      <c r="K87" s="125">
        <v>4144</v>
      </c>
      <c r="L87" s="125"/>
      <c r="M87" s="125"/>
      <c r="N87" s="125"/>
      <c r="P87" s="125"/>
      <c r="Q87" s="125"/>
    </row>
    <row r="88" spans="2:17" x14ac:dyDescent="0.25">
      <c r="B88" s="32" t="s">
        <v>159</v>
      </c>
      <c r="I88" s="101">
        <f>I87/I$98</f>
        <v>0.14718161341692609</v>
      </c>
      <c r="J88" s="101">
        <f t="shared" ref="J88:K88" si="44">J87/J$98</f>
        <v>0.11541239595514893</v>
      </c>
      <c r="K88" s="101">
        <f t="shared" si="44"/>
        <v>8.908762576317826E-2</v>
      </c>
      <c r="M88" s="32"/>
    </row>
    <row r="89" spans="2:17" x14ac:dyDescent="0.25">
      <c r="B89" s="32" t="s">
        <v>152</v>
      </c>
      <c r="I89" s="101">
        <f>I86/I21</f>
        <v>7.0319195567182802E-2</v>
      </c>
      <c r="J89" s="101">
        <f t="shared" ref="J89:K89" si="45">J86/J21</f>
        <v>6.224564594104972E-2</v>
      </c>
      <c r="K89" s="101">
        <f t="shared" si="45"/>
        <v>3.5804126668190751E-2</v>
      </c>
      <c r="L89" s="124">
        <f>AVERAGE(I89:K89)</f>
        <v>5.6122989392141089E-2</v>
      </c>
      <c r="M89" s="124">
        <f t="shared" ref="M89:Q89" si="46">AVERAGE(J89:L89)</f>
        <v>5.1390920667127186E-2</v>
      </c>
      <c r="N89" s="124">
        <f t="shared" si="46"/>
        <v>4.7772678909153009E-2</v>
      </c>
      <c r="O89" s="124">
        <f t="shared" si="46"/>
        <v>5.1762196322807097E-2</v>
      </c>
      <c r="P89" s="124">
        <f t="shared" si="46"/>
        <v>5.030859863302909E-2</v>
      </c>
      <c r="Q89" s="124">
        <f t="shared" si="46"/>
        <v>4.9947824621663063E-2</v>
      </c>
    </row>
    <row r="90" spans="2:17" x14ac:dyDescent="0.25">
      <c r="M90" s="32"/>
    </row>
    <row r="91" spans="2:17" x14ac:dyDescent="0.25">
      <c r="B91" t="s">
        <v>146</v>
      </c>
      <c r="I91" s="102">
        <f>I93*I$100</f>
        <v>19311.012309369755</v>
      </c>
      <c r="J91" s="102">
        <f t="shared" ref="J91:K91" si="47">J93*J$100</f>
        <v>30378.808815436474</v>
      </c>
      <c r="K91" s="102">
        <f t="shared" si="47"/>
        <v>28161.203607360905</v>
      </c>
      <c r="L91" s="46">
        <f>L94*L$25</f>
        <v>35852.698704949667</v>
      </c>
      <c r="M91" s="46">
        <f t="shared" ref="M91:Q91" si="48">M94*M$25</f>
        <v>43517.543011057955</v>
      </c>
      <c r="N91" s="46">
        <f t="shared" si="48"/>
        <v>49770.901341347315</v>
      </c>
      <c r="O91" s="46">
        <f t="shared" si="48"/>
        <v>59008.152378989944</v>
      </c>
      <c r="P91" s="46">
        <f t="shared" si="48"/>
        <v>69807.494420239484</v>
      </c>
      <c r="Q91" s="46">
        <f t="shared" si="48"/>
        <v>82782.537092721395</v>
      </c>
    </row>
    <row r="92" spans="2:17" x14ac:dyDescent="0.25">
      <c r="B92" t="s">
        <v>153</v>
      </c>
      <c r="I92" s="125">
        <v>22047</v>
      </c>
      <c r="J92" s="125">
        <v>27755</v>
      </c>
      <c r="K92" s="125">
        <v>24843</v>
      </c>
      <c r="M92" s="32"/>
    </row>
    <row r="93" spans="2:17" x14ac:dyDescent="0.25">
      <c r="B93" s="32" t="s">
        <v>159</v>
      </c>
      <c r="I93" s="101">
        <f>I92/I$98</f>
        <v>0.31629915498615557</v>
      </c>
      <c r="J93" s="101">
        <f t="shared" ref="J93:K93" si="49">J92/J$98</f>
        <v>0.47731650271720438</v>
      </c>
      <c r="K93" s="101">
        <f t="shared" si="49"/>
        <v>0.53407429701608045</v>
      </c>
      <c r="M93" s="32"/>
    </row>
    <row r="94" spans="2:17" x14ac:dyDescent="0.25">
      <c r="B94" s="32" t="s">
        <v>154</v>
      </c>
      <c r="I94" s="101">
        <f>I91/I25</f>
        <v>0.31045645331934268</v>
      </c>
      <c r="J94" s="101">
        <f t="shared" ref="J94:K94" si="50">J91/J25</f>
        <v>0.37927997422388726</v>
      </c>
      <c r="K94" s="101">
        <f t="shared" si="50"/>
        <v>0.31029235879723771</v>
      </c>
      <c r="L94" s="124">
        <f>AVERAGE(I94:K94)</f>
        <v>0.33334292878015592</v>
      </c>
      <c r="M94" s="124">
        <f t="shared" ref="M94:Q94" si="51">AVERAGE(J94:L94)</f>
        <v>0.34097175393376028</v>
      </c>
      <c r="N94" s="124">
        <f t="shared" si="51"/>
        <v>0.3282023471703846</v>
      </c>
      <c r="O94" s="124">
        <f t="shared" si="51"/>
        <v>0.33417234329476692</v>
      </c>
      <c r="P94" s="124">
        <f t="shared" si="51"/>
        <v>0.33444881479963723</v>
      </c>
      <c r="Q94" s="124">
        <f t="shared" si="51"/>
        <v>0.33227450175492956</v>
      </c>
    </row>
    <row r="95" spans="2:17" x14ac:dyDescent="0.25">
      <c r="B95" s="32"/>
      <c r="M95" s="32"/>
    </row>
    <row r="96" spans="2:17" x14ac:dyDescent="0.25">
      <c r="B96" s="115" t="s">
        <v>160</v>
      </c>
      <c r="C96" s="126"/>
      <c r="D96" s="126"/>
      <c r="E96" s="126"/>
      <c r="F96" s="126"/>
      <c r="G96" s="126"/>
      <c r="H96" s="126"/>
      <c r="I96" s="127">
        <f>I81+I86+I91</f>
        <v>61053</v>
      </c>
      <c r="J96" s="127">
        <f t="shared" ref="J96:Q96" si="52">J81+J86+J91</f>
        <v>63645</v>
      </c>
      <c r="K96" s="127">
        <f t="shared" si="52"/>
        <v>52729</v>
      </c>
      <c r="L96" s="127">
        <f t="shared" si="52"/>
        <v>76711.638503276175</v>
      </c>
      <c r="M96" s="127">
        <f t="shared" si="52"/>
        <v>83017.380775036989</v>
      </c>
      <c r="N96" s="127">
        <f t="shared" si="52"/>
        <v>91194.88492136194</v>
      </c>
      <c r="O96" s="127">
        <f t="shared" si="52"/>
        <v>107386.31370705253</v>
      </c>
      <c r="P96" s="127">
        <f t="shared" si="52"/>
        <v>120577.76244910699</v>
      </c>
      <c r="Q96" s="128">
        <f t="shared" si="52"/>
        <v>137639.53611246275</v>
      </c>
    </row>
    <row r="97" spans="2:17" x14ac:dyDescent="0.25">
      <c r="B97" s="129" t="s">
        <v>144</v>
      </c>
      <c r="C97" s="130"/>
      <c r="D97" s="130"/>
      <c r="E97" s="130"/>
      <c r="F97" s="130"/>
      <c r="G97" s="130"/>
      <c r="H97" s="130"/>
      <c r="I97" s="131">
        <f>I96/I$29</f>
        <v>0.12994921480901278</v>
      </c>
      <c r="J97" s="131">
        <f t="shared" ref="J97:Q97" si="53">J96/J$29</f>
        <v>0.12382705264571008</v>
      </c>
      <c r="K97" s="131">
        <f t="shared" si="53"/>
        <v>9.1736910322990334E-2</v>
      </c>
      <c r="L97" s="131">
        <f t="shared" si="53"/>
        <v>0.1206829563991218</v>
      </c>
      <c r="M97" s="131">
        <f t="shared" si="53"/>
        <v>0.11762684500883007</v>
      </c>
      <c r="N97" s="131">
        <f t="shared" si="53"/>
        <v>0.1161974357678341</v>
      </c>
      <c r="O97" s="131">
        <f t="shared" si="53"/>
        <v>0.12391295644729801</v>
      </c>
      <c r="P97" s="131">
        <f t="shared" si="53"/>
        <v>0.12633272332757117</v>
      </c>
      <c r="Q97" s="132">
        <f t="shared" si="53"/>
        <v>0.13035083862017693</v>
      </c>
    </row>
    <row r="98" spans="2:17" x14ac:dyDescent="0.25">
      <c r="B98" s="133" t="s">
        <v>161</v>
      </c>
      <c r="C98" s="134"/>
      <c r="D98" s="134"/>
      <c r="E98" s="134"/>
      <c r="F98" s="134"/>
      <c r="G98" s="134"/>
      <c r="H98" s="134"/>
      <c r="I98" s="135">
        <f>I82+I87+I92</f>
        <v>69703</v>
      </c>
      <c r="J98" s="135">
        <f t="shared" ref="J98:K98" si="54">J82+J87+J92</f>
        <v>58148</v>
      </c>
      <c r="K98" s="135">
        <f t="shared" si="54"/>
        <v>46516</v>
      </c>
      <c r="L98" s="135"/>
      <c r="M98" s="135"/>
      <c r="N98" s="135"/>
      <c r="O98" s="135"/>
      <c r="P98" s="135"/>
      <c r="Q98" s="148"/>
    </row>
    <row r="99" spans="2:17" x14ac:dyDescent="0.25">
      <c r="M99" s="32"/>
    </row>
    <row r="100" spans="2:17" x14ac:dyDescent="0.25">
      <c r="B100" s="115" t="s">
        <v>162</v>
      </c>
      <c r="C100" s="138">
        <f>-[1]CFS!C27</f>
        <v>4589</v>
      </c>
      <c r="D100" s="138">
        <f>-[1]CFS!D27</f>
        <v>6737</v>
      </c>
      <c r="E100" s="138">
        <f>-[1]CFS!E27</f>
        <v>11955</v>
      </c>
      <c r="F100" s="138">
        <f>-[1]CFS!F27</f>
        <v>13427</v>
      </c>
      <c r="G100" s="138">
        <f>-[1]CFS!G27</f>
        <v>16861</v>
      </c>
      <c r="H100" s="138">
        <f>-[1]CFS!H27</f>
        <v>40140</v>
      </c>
      <c r="I100" s="138">
        <f>-[1]CFS!I27</f>
        <v>61053</v>
      </c>
      <c r="J100" s="138">
        <f>-[1]CFS!J27</f>
        <v>63645</v>
      </c>
      <c r="K100" s="138">
        <f>-[1]CFS!K27</f>
        <v>52729</v>
      </c>
      <c r="L100" s="138">
        <f>-[1]CFS!L27</f>
        <v>59612</v>
      </c>
      <c r="M100" s="139">
        <f>M101*M$29</f>
        <v>76684.248774544845</v>
      </c>
      <c r="N100" s="139">
        <f>N101*N$29</f>
        <v>86008.940388153642</v>
      </c>
      <c r="O100" s="139">
        <f>O101*O$29</f>
        <v>91444.551893519019</v>
      </c>
      <c r="P100" s="139">
        <f>P101*P$29</f>
        <v>97215.973723983378</v>
      </c>
      <c r="Q100" s="140">
        <f>Q101*Q$29</f>
        <v>109688.25821512679</v>
      </c>
    </row>
    <row r="101" spans="2:17" x14ac:dyDescent="0.25">
      <c r="B101" s="118" t="s">
        <v>78</v>
      </c>
      <c r="C101" s="144">
        <f t="shared" ref="C101:L101" si="55">C100/C$29</f>
        <v>4.2885445675943407E-2</v>
      </c>
      <c r="D101" s="144">
        <f t="shared" si="55"/>
        <v>4.9541500290468943E-2</v>
      </c>
      <c r="E101" s="144">
        <f t="shared" si="55"/>
        <v>6.7213520290555814E-2</v>
      </c>
      <c r="F101" s="144">
        <f t="shared" si="55"/>
        <v>5.7654570671613274E-2</v>
      </c>
      <c r="G101" s="144">
        <f t="shared" si="55"/>
        <v>6.0105802753438235E-2</v>
      </c>
      <c r="H101" s="144">
        <f t="shared" si="55"/>
        <v>0.10397239835882134</v>
      </c>
      <c r="I101" s="144">
        <f t="shared" si="55"/>
        <v>0.12994921480901278</v>
      </c>
      <c r="J101" s="144">
        <f t="shared" si="55"/>
        <v>0.12382705264571008</v>
      </c>
      <c r="K101" s="144">
        <f t="shared" si="55"/>
        <v>9.1736910322990334E-2</v>
      </c>
      <c r="L101" s="144">
        <f t="shared" si="55"/>
        <v>9.3781759029396866E-2</v>
      </c>
      <c r="M101" s="149">
        <f>AVERAGE(H101:L101)</f>
        <v>0.10865346703318628</v>
      </c>
      <c r="N101" s="149">
        <f t="shared" ref="N101:Q101" si="56">AVERAGE(I101:M101)</f>
        <v>0.10958968076805926</v>
      </c>
      <c r="O101" s="149">
        <f t="shared" si="56"/>
        <v>0.10551777395986857</v>
      </c>
      <c r="P101" s="149">
        <f t="shared" si="56"/>
        <v>0.10185591822270026</v>
      </c>
      <c r="Q101" s="150">
        <f t="shared" si="56"/>
        <v>0.10387971980264224</v>
      </c>
    </row>
    <row r="102" spans="2:17" x14ac:dyDescent="0.25">
      <c r="M102" s="32"/>
    </row>
    <row r="103" spans="2:17" x14ac:dyDescent="0.25">
      <c r="B103" s="97" t="s">
        <v>163</v>
      </c>
      <c r="C103" s="98">
        <v>2015</v>
      </c>
      <c r="D103" s="98">
        <f t="shared" ref="D103:Q103" si="57">C103+1</f>
        <v>2016</v>
      </c>
      <c r="E103" s="98">
        <f t="shared" si="57"/>
        <v>2017</v>
      </c>
      <c r="F103" s="98">
        <f t="shared" si="57"/>
        <v>2018</v>
      </c>
      <c r="G103" s="98">
        <f t="shared" si="57"/>
        <v>2019</v>
      </c>
      <c r="H103" s="98">
        <f t="shared" si="57"/>
        <v>2020</v>
      </c>
      <c r="I103" s="98">
        <f t="shared" si="57"/>
        <v>2021</v>
      </c>
      <c r="J103" s="98">
        <f t="shared" si="57"/>
        <v>2022</v>
      </c>
      <c r="K103" s="98">
        <f t="shared" si="57"/>
        <v>2023</v>
      </c>
      <c r="L103" s="99">
        <f t="shared" si="57"/>
        <v>2024</v>
      </c>
      <c r="M103" s="99">
        <f t="shared" si="57"/>
        <v>2025</v>
      </c>
      <c r="N103" s="99">
        <f t="shared" si="57"/>
        <v>2026</v>
      </c>
      <c r="O103" s="99">
        <f t="shared" si="57"/>
        <v>2027</v>
      </c>
      <c r="P103" s="99">
        <f t="shared" si="57"/>
        <v>2028</v>
      </c>
      <c r="Q103" s="99">
        <f t="shared" si="57"/>
        <v>2029</v>
      </c>
    </row>
    <row r="105" spans="2:17" x14ac:dyDescent="0.25">
      <c r="B105" t="s">
        <v>143</v>
      </c>
      <c r="I105" s="102">
        <f>I107*I$120</f>
        <v>-11680.604490636879</v>
      </c>
      <c r="J105" s="102">
        <f t="shared" ref="J105:K105" si="58">J107*J$120</f>
        <v>-12835.968660442077</v>
      </c>
      <c r="K105" s="102">
        <f t="shared" si="58"/>
        <v>-7084.3671077011404</v>
      </c>
      <c r="L105" s="102">
        <f>L106*L17</f>
        <v>-13204.734530250542</v>
      </c>
      <c r="M105" s="102">
        <f t="shared" ref="M105:Q105" si="59">M106*M17</f>
        <v>-13390.727478095927</v>
      </c>
      <c r="N105" s="102">
        <f t="shared" si="59"/>
        <v>-13206.196782237752</v>
      </c>
      <c r="O105" s="102">
        <f t="shared" si="59"/>
        <v>-15650.634868677338</v>
      </c>
      <c r="P105" s="102">
        <f t="shared" si="59"/>
        <v>-16699.40671425586</v>
      </c>
      <c r="Q105" s="102">
        <f t="shared" si="59"/>
        <v>-17853.298220315861</v>
      </c>
    </row>
    <row r="106" spans="2:17" x14ac:dyDescent="0.25">
      <c r="B106" s="32" t="s">
        <v>150</v>
      </c>
      <c r="I106" s="151">
        <f>I105/I17</f>
        <v>-4.1741340337404377E-2</v>
      </c>
      <c r="J106" s="151">
        <f t="shared" ref="J106:K106" si="60">J105/J17</f>
        <v>-4.0635585223635799E-2</v>
      </c>
      <c r="K106" s="151">
        <f t="shared" si="60"/>
        <v>-2.0078812077559436E-2</v>
      </c>
      <c r="L106" s="124">
        <f>AVERAGE(I106:K106)</f>
        <v>-3.415191254619987E-2</v>
      </c>
      <c r="M106" s="124">
        <f t="shared" ref="M106:Q106" si="61">AVERAGE(J106:L106)</f>
        <v>-3.1622103282465036E-2</v>
      </c>
      <c r="N106" s="124">
        <f t="shared" si="61"/>
        <v>-2.8617609302074781E-2</v>
      </c>
      <c r="O106" s="124">
        <f t="shared" si="61"/>
        <v>-3.1463875043579899E-2</v>
      </c>
      <c r="P106" s="124">
        <f t="shared" si="61"/>
        <v>-3.0567862542706575E-2</v>
      </c>
      <c r="Q106" s="124">
        <f t="shared" si="61"/>
        <v>-3.0216448962787083E-2</v>
      </c>
    </row>
    <row r="107" spans="2:17" x14ac:dyDescent="0.25">
      <c r="B107" s="32" t="s">
        <v>164</v>
      </c>
      <c r="I107" s="152">
        <f>I19</f>
        <v>0.59561493501794294</v>
      </c>
      <c r="J107" s="152">
        <f t="shared" ref="J107:K107" si="62">J19</f>
        <v>0.61457285552245888</v>
      </c>
      <c r="K107" s="152">
        <f t="shared" si="62"/>
        <v>0.61384343711126765</v>
      </c>
      <c r="M107" s="32"/>
    </row>
    <row r="108" spans="2:17" x14ac:dyDescent="0.25">
      <c r="M108" s="32"/>
    </row>
    <row r="109" spans="2:17" x14ac:dyDescent="0.25">
      <c r="B109" t="s">
        <v>145</v>
      </c>
      <c r="I109" s="102">
        <f>I111*I$120</f>
        <v>-5334.0006576958931</v>
      </c>
      <c r="J109" s="102">
        <f t="shared" ref="J109:K109" si="63">J111*J$120</f>
        <v>-4795.2835054855905</v>
      </c>
      <c r="K109" s="102">
        <f t="shared" si="63"/>
        <v>-2634.3401445757977</v>
      </c>
      <c r="L109" s="102">
        <f>L110*L21</f>
        <v>-4830.5831181846943</v>
      </c>
      <c r="M109" s="102">
        <f t="shared" ref="M109:Q109" si="64">M110*M21</f>
        <v>-4891.3069357316917</v>
      </c>
      <c r="N109" s="102">
        <f t="shared" si="64"/>
        <v>-4913.9010756499583</v>
      </c>
      <c r="O109" s="102">
        <f t="shared" si="64"/>
        <v>-6060.9177135198397</v>
      </c>
      <c r="P109" s="102">
        <f t="shared" si="64"/>
        <v>-6095.7208768163746</v>
      </c>
      <c r="Q109" s="102">
        <f t="shared" si="64"/>
        <v>-6524.637824534615</v>
      </c>
    </row>
    <row r="110" spans="2:17" x14ac:dyDescent="0.25">
      <c r="B110" s="32" t="s">
        <v>152</v>
      </c>
      <c r="I110" s="151">
        <f>I109/I21</f>
        <v>-4.1741340337404377E-2</v>
      </c>
      <c r="J110" s="151">
        <f t="shared" ref="J110:K110" si="65">J109/J21</f>
        <v>-4.0635585223635806E-2</v>
      </c>
      <c r="K110" s="151">
        <f t="shared" si="65"/>
        <v>-2.0078812077559433E-2</v>
      </c>
      <c r="L110" s="124">
        <f>AVERAGE(I110:K110)</f>
        <v>-3.415191254619987E-2</v>
      </c>
      <c r="M110" s="124">
        <f t="shared" ref="M110:Q110" si="66">AVERAGE(J110:L110)</f>
        <v>-3.1622103282465036E-2</v>
      </c>
      <c r="N110" s="124">
        <f t="shared" si="66"/>
        <v>-2.8617609302074781E-2</v>
      </c>
      <c r="O110" s="124">
        <f t="shared" si="66"/>
        <v>-3.1463875043579899E-2</v>
      </c>
      <c r="P110" s="124">
        <f t="shared" si="66"/>
        <v>-3.0567862542706575E-2</v>
      </c>
      <c r="Q110" s="124">
        <f t="shared" si="66"/>
        <v>-3.0216448962787083E-2</v>
      </c>
    </row>
    <row r="111" spans="2:17" x14ac:dyDescent="0.25">
      <c r="B111" s="32" t="s">
        <v>165</v>
      </c>
      <c r="I111" s="152">
        <f>I23</f>
        <v>0.27199024311334929</v>
      </c>
      <c r="J111" s="152">
        <f t="shared" ref="J111:K111" si="67">J23</f>
        <v>0.22959319666214642</v>
      </c>
      <c r="K111" s="152">
        <f t="shared" si="67"/>
        <v>0.22825926215889419</v>
      </c>
      <c r="M111" s="32"/>
    </row>
    <row r="112" spans="2:17" x14ac:dyDescent="0.25">
      <c r="M112" s="32"/>
    </row>
    <row r="113" spans="2:17" x14ac:dyDescent="0.25">
      <c r="B113" t="s">
        <v>146</v>
      </c>
      <c r="I113" s="102">
        <f>I115*I$120</f>
        <v>-2596.3948516672272</v>
      </c>
      <c r="J113" s="102">
        <f t="shared" ref="J113:K113" si="68">J115*J$120</f>
        <v>-3254.7478340723333</v>
      </c>
      <c r="K113" s="102">
        <f t="shared" si="68"/>
        <v>-1822.2927477230619</v>
      </c>
      <c r="L113" s="102">
        <f>L114*L25</f>
        <v>-3673.2089539065269</v>
      </c>
      <c r="M113" s="102">
        <f t="shared" ref="M113:Q113" si="69">M114*M25</f>
        <v>-4035.8657977344478</v>
      </c>
      <c r="N113" s="102">
        <f t="shared" si="69"/>
        <v>-4339.7745978317344</v>
      </c>
      <c r="O113" s="102">
        <f t="shared" si="69"/>
        <v>-5555.8910551953386</v>
      </c>
      <c r="P113" s="102">
        <f t="shared" si="69"/>
        <v>-6380.2465413638874</v>
      </c>
      <c r="Q113" s="102">
        <f t="shared" si="69"/>
        <v>-7528.0958781398112</v>
      </c>
    </row>
    <row r="114" spans="2:17" x14ac:dyDescent="0.25">
      <c r="B114" s="32" t="s">
        <v>154</v>
      </c>
      <c r="I114" s="151">
        <f>I113/I25</f>
        <v>-4.1741340337404377E-2</v>
      </c>
      <c r="J114" s="151">
        <f t="shared" ref="J114:K114" si="70">J113/J25</f>
        <v>-4.0635585223635806E-2</v>
      </c>
      <c r="K114" s="151">
        <f t="shared" si="70"/>
        <v>-2.0078812077559439E-2</v>
      </c>
      <c r="L114" s="124">
        <f>AVERAGE(I114:K114)</f>
        <v>-3.415191254619987E-2</v>
      </c>
      <c r="M114" s="124">
        <f t="shared" ref="M114:Q114" si="71">AVERAGE(J114:L114)</f>
        <v>-3.1622103282465036E-2</v>
      </c>
      <c r="N114" s="124">
        <f t="shared" si="71"/>
        <v>-2.8617609302074781E-2</v>
      </c>
      <c r="O114" s="124">
        <f t="shared" si="71"/>
        <v>-3.1463875043579899E-2</v>
      </c>
      <c r="P114" s="124">
        <f t="shared" si="71"/>
        <v>-3.0567862542706575E-2</v>
      </c>
      <c r="Q114" s="124">
        <f t="shared" si="71"/>
        <v>-3.0216448962787083E-2</v>
      </c>
    </row>
    <row r="115" spans="2:17" x14ac:dyDescent="0.25">
      <c r="B115" s="32" t="s">
        <v>166</v>
      </c>
      <c r="I115" s="152">
        <f>I27</f>
        <v>0.13239482186870771</v>
      </c>
      <c r="J115" s="152">
        <f t="shared" ref="J115:K115" si="72">J27</f>
        <v>0.15583394781539467</v>
      </c>
      <c r="K115" s="152">
        <f t="shared" si="72"/>
        <v>0.15789730072983812</v>
      </c>
      <c r="M115" s="32"/>
    </row>
    <row r="116" spans="2:17" x14ac:dyDescent="0.25">
      <c r="M116" s="32"/>
    </row>
    <row r="117" spans="2:17" x14ac:dyDescent="0.25">
      <c r="B117" s="115" t="s">
        <v>167</v>
      </c>
      <c r="C117" s="126"/>
      <c r="D117" s="126"/>
      <c r="E117" s="126"/>
      <c r="F117" s="126"/>
      <c r="G117" s="126"/>
      <c r="H117" s="126"/>
      <c r="I117" s="127">
        <f>I105+I109+I113</f>
        <v>-19611</v>
      </c>
      <c r="J117" s="127">
        <f t="shared" ref="J117:Q117" si="73">J105+J109+J113</f>
        <v>-20886</v>
      </c>
      <c r="K117" s="127">
        <f t="shared" si="73"/>
        <v>-11541</v>
      </c>
      <c r="L117" s="127">
        <f t="shared" si="73"/>
        <v>-21708.526602341764</v>
      </c>
      <c r="M117" s="127">
        <f t="shared" si="73"/>
        <v>-22317.900211562068</v>
      </c>
      <c r="N117" s="127">
        <f t="shared" si="73"/>
        <v>-22459.872455719444</v>
      </c>
      <c r="O117" s="127">
        <f t="shared" si="73"/>
        <v>-27267.443637392516</v>
      </c>
      <c r="P117" s="127">
        <f t="shared" si="73"/>
        <v>-29175.374132436118</v>
      </c>
      <c r="Q117" s="128">
        <f t="shared" si="73"/>
        <v>-31906.031922990285</v>
      </c>
    </row>
    <row r="118" spans="2:17" x14ac:dyDescent="0.25">
      <c r="B118" s="118" t="s">
        <v>144</v>
      </c>
      <c r="C118" s="134"/>
      <c r="D118" s="134"/>
      <c r="E118" s="134"/>
      <c r="F118" s="134"/>
      <c r="G118" s="134"/>
      <c r="H118" s="134"/>
      <c r="I118" s="153">
        <f>I117/I$29</f>
        <v>-4.1741340337404377E-2</v>
      </c>
      <c r="J118" s="153">
        <f t="shared" ref="J118:Q118" si="74">J117/J$29</f>
        <v>-4.0635585223635799E-2</v>
      </c>
      <c r="K118" s="153">
        <f t="shared" si="74"/>
        <v>-2.0078812077559436E-2</v>
      </c>
      <c r="L118" s="153">
        <f t="shared" si="74"/>
        <v>-3.415191254619987E-2</v>
      </c>
      <c r="M118" s="153">
        <f t="shared" si="74"/>
        <v>-3.1622103282465036E-2</v>
      </c>
      <c r="N118" s="153">
        <f t="shared" si="74"/>
        <v>-2.8617609302074781E-2</v>
      </c>
      <c r="O118" s="153">
        <f t="shared" si="74"/>
        <v>-3.1463875043579899E-2</v>
      </c>
      <c r="P118" s="153">
        <f t="shared" si="74"/>
        <v>-3.0567862542706572E-2</v>
      </c>
      <c r="Q118" s="154">
        <f t="shared" si="74"/>
        <v>-3.0216448962787083E-2</v>
      </c>
    </row>
    <row r="119" spans="2:17" x14ac:dyDescent="0.25">
      <c r="M119" s="32"/>
    </row>
    <row r="120" spans="2:17" x14ac:dyDescent="0.25">
      <c r="B120" s="115" t="s">
        <v>84</v>
      </c>
      <c r="C120" s="138">
        <f>[1]CFS!C19</f>
        <v>2557</v>
      </c>
      <c r="D120" s="138">
        <f>[1]CFS!D19</f>
        <v>3916</v>
      </c>
      <c r="E120" s="138">
        <f>[1]CFS!E19</f>
        <v>-173</v>
      </c>
      <c r="F120" s="138">
        <f>[1]CFS!F19</f>
        <v>-1043</v>
      </c>
      <c r="G120" s="138">
        <f>[1]CFS!G19</f>
        <v>-2438</v>
      </c>
      <c r="H120" s="138">
        <f>[1]CFS!H19</f>
        <v>13481</v>
      </c>
      <c r="I120" s="138">
        <f>[1]CFS!I19</f>
        <v>-19611</v>
      </c>
      <c r="J120" s="138">
        <f>[1]CFS!J19</f>
        <v>-20886</v>
      </c>
      <c r="K120" s="138">
        <f>[1]CFS!K19</f>
        <v>-11541</v>
      </c>
      <c r="L120" s="138">
        <f>[1]CFS!L19</f>
        <v>-6898</v>
      </c>
      <c r="M120" s="139">
        <f>M121*M$29</f>
        <v>-11064.850044354958</v>
      </c>
      <c r="N120" s="139">
        <f>N121*N$29</f>
        <v>-20246.246731633495</v>
      </c>
      <c r="O120" s="139">
        <f>O121*O$29</f>
        <v>-19592.903168684414</v>
      </c>
      <c r="P120" s="139">
        <f>P121*P$29</f>
        <v>-18137.108104416817</v>
      </c>
      <c r="Q120" s="140">
        <f>Q121*Q$29</f>
        <v>-19838.073985955692</v>
      </c>
    </row>
    <row r="121" spans="2:17" x14ac:dyDescent="0.25">
      <c r="B121" s="129" t="s">
        <v>78</v>
      </c>
      <c r="C121" s="141">
        <f t="shared" ref="C121:L121" si="75">C120/C$29</f>
        <v>2.3895856307122966E-2</v>
      </c>
      <c r="D121" s="141">
        <f t="shared" si="75"/>
        <v>2.8796870289071748E-2</v>
      </c>
      <c r="E121" s="141">
        <f t="shared" si="75"/>
        <v>-9.7264232624560065E-4</v>
      </c>
      <c r="F121" s="141">
        <f t="shared" si="75"/>
        <v>-4.4785668586052466E-3</v>
      </c>
      <c r="G121" s="141">
        <f t="shared" si="75"/>
        <v>-8.6909404609977117E-3</v>
      </c>
      <c r="H121" s="141">
        <f t="shared" si="75"/>
        <v>3.4919080774172155E-2</v>
      </c>
      <c r="I121" s="141">
        <f t="shared" si="75"/>
        <v>-4.1741340337404377E-2</v>
      </c>
      <c r="J121" s="141">
        <f t="shared" si="75"/>
        <v>-4.0635585223635799E-2</v>
      </c>
      <c r="K121" s="141">
        <f t="shared" si="75"/>
        <v>-2.0078812077559436E-2</v>
      </c>
      <c r="L121" s="141">
        <f t="shared" si="75"/>
        <v>-1.0851952187223707E-2</v>
      </c>
      <c r="M121" s="142">
        <f>AVERAGE(H121:L121)</f>
        <v>-1.5677721810330232E-2</v>
      </c>
      <c r="N121" s="142">
        <f t="shared" ref="N121:Q121" si="76">AVERAGE(I121:M121)</f>
        <v>-2.5797082327230707E-2</v>
      </c>
      <c r="O121" s="142">
        <f t="shared" si="76"/>
        <v>-2.2608230725195976E-2</v>
      </c>
      <c r="P121" s="142">
        <f t="shared" si="76"/>
        <v>-1.900275982550801E-2</v>
      </c>
      <c r="Q121" s="143">
        <f t="shared" si="76"/>
        <v>-1.8787549375097728E-2</v>
      </c>
    </row>
    <row r="122" spans="2:17" x14ac:dyDescent="0.25">
      <c r="B122" s="118" t="s">
        <v>168</v>
      </c>
      <c r="C122" s="155" t="s">
        <v>169</v>
      </c>
      <c r="D122" s="144">
        <f t="shared" ref="D122:L122" si="77">D120/(D29-C29)</f>
        <v>0.1351230116283082</v>
      </c>
      <c r="E122" s="144">
        <f t="shared" si="77"/>
        <v>-4.1309486854986983E-3</v>
      </c>
      <c r="F122" s="144">
        <f t="shared" si="77"/>
        <v>-1.895639846604024E-2</v>
      </c>
      <c r="G122" s="144">
        <f t="shared" si="77"/>
        <v>-5.118085441377139E-2</v>
      </c>
      <c r="H122" s="144">
        <f t="shared" si="77"/>
        <v>0.12773114020958481</v>
      </c>
      <c r="I122" s="144">
        <f t="shared" si="77"/>
        <v>-0.23413882852981208</v>
      </c>
      <c r="J122" s="144">
        <f t="shared" si="77"/>
        <v>-0.47295124657503229</v>
      </c>
      <c r="K122" s="144">
        <f t="shared" si="77"/>
        <v>-0.18981283510410843</v>
      </c>
      <c r="L122" s="144">
        <f t="shared" si="77"/>
        <v>-0.11334023430439855</v>
      </c>
      <c r="M122" s="134"/>
      <c r="N122" s="134"/>
      <c r="O122" s="134"/>
      <c r="P122" s="134"/>
      <c r="Q122" s="146"/>
    </row>
    <row r="124" spans="2:17" x14ac:dyDescent="0.25">
      <c r="B124" s="11" t="s">
        <v>85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6" spans="2:17" x14ac:dyDescent="0.25">
      <c r="B126" s="97" t="s">
        <v>132</v>
      </c>
      <c r="C126" s="98">
        <v>2015</v>
      </c>
      <c r="D126" s="98">
        <f t="shared" ref="D126:Q126" si="78">C126+1</f>
        <v>2016</v>
      </c>
      <c r="E126" s="98">
        <f t="shared" si="78"/>
        <v>2017</v>
      </c>
      <c r="F126" s="98">
        <f t="shared" si="78"/>
        <v>2018</v>
      </c>
      <c r="G126" s="98">
        <f t="shared" si="78"/>
        <v>2019</v>
      </c>
      <c r="H126" s="98">
        <f t="shared" si="78"/>
        <v>2020</v>
      </c>
      <c r="I126" s="98">
        <f t="shared" si="78"/>
        <v>2021</v>
      </c>
      <c r="J126" s="98">
        <f t="shared" si="78"/>
        <v>2022</v>
      </c>
      <c r="K126" s="98">
        <f t="shared" si="78"/>
        <v>2023</v>
      </c>
      <c r="L126" s="99">
        <f t="shared" si="78"/>
        <v>2024</v>
      </c>
      <c r="M126" s="99">
        <f t="shared" si="78"/>
        <v>2025</v>
      </c>
      <c r="N126" s="99">
        <f t="shared" si="78"/>
        <v>2026</v>
      </c>
      <c r="O126" s="99">
        <f t="shared" si="78"/>
        <v>2027</v>
      </c>
      <c r="P126" s="99">
        <f t="shared" si="78"/>
        <v>2028</v>
      </c>
      <c r="Q126" s="99">
        <f t="shared" si="78"/>
        <v>2029</v>
      </c>
    </row>
    <row r="128" spans="2:17" x14ac:dyDescent="0.25">
      <c r="B128" t="s">
        <v>75</v>
      </c>
      <c r="L128" s="156">
        <f t="shared" ref="L128:Q129" si="79">L29</f>
        <v>635646</v>
      </c>
      <c r="M128" s="156">
        <f t="shared" si="79"/>
        <v>705769</v>
      </c>
      <c r="N128" s="156">
        <f t="shared" si="79"/>
        <v>784827</v>
      </c>
      <c r="O128" s="156">
        <f t="shared" si="79"/>
        <v>866627</v>
      </c>
      <c r="P128" s="156">
        <f t="shared" si="79"/>
        <v>954446</v>
      </c>
      <c r="Q128" s="156">
        <f t="shared" si="79"/>
        <v>1055916</v>
      </c>
    </row>
    <row r="129" spans="2:17" x14ac:dyDescent="0.25">
      <c r="B129" s="32" t="s">
        <v>76</v>
      </c>
      <c r="L129" s="157">
        <f t="shared" si="79"/>
        <v>0.10588480910253395</v>
      </c>
      <c r="M129" s="157">
        <f t="shared" si="79"/>
        <v>0.11031769255214385</v>
      </c>
      <c r="N129" s="157">
        <f t="shared" si="79"/>
        <v>0.11201682136789803</v>
      </c>
      <c r="O129" s="157">
        <f t="shared" si="79"/>
        <v>0.10422679138204982</v>
      </c>
      <c r="P129" s="157">
        <f t="shared" si="79"/>
        <v>0.10133425337544288</v>
      </c>
      <c r="Q129" s="157">
        <f t="shared" si="79"/>
        <v>0.10631298156207891</v>
      </c>
    </row>
    <row r="131" spans="2:17" x14ac:dyDescent="0.25">
      <c r="B131" t="s">
        <v>77</v>
      </c>
      <c r="L131" s="156">
        <f t="shared" ref="L131:Q132" si="80">L46</f>
        <v>62270.17</v>
      </c>
      <c r="M131" s="156">
        <f t="shared" si="80"/>
        <v>77775.41</v>
      </c>
      <c r="N131" s="156">
        <f t="shared" si="80"/>
        <v>97823.1</v>
      </c>
      <c r="O131" s="156">
        <f t="shared" si="80"/>
        <v>118182.7060444323</v>
      </c>
      <c r="P131" s="156">
        <f t="shared" si="80"/>
        <v>136838.2435031237</v>
      </c>
      <c r="Q131" s="156">
        <f t="shared" si="80"/>
        <v>158304.14054407948</v>
      </c>
    </row>
    <row r="132" spans="2:17" x14ac:dyDescent="0.25">
      <c r="B132" s="32" t="s">
        <v>78</v>
      </c>
      <c r="L132" s="157">
        <f t="shared" si="80"/>
        <v>9.7963599236052773E-2</v>
      </c>
      <c r="M132" s="157">
        <f t="shared" si="80"/>
        <v>0.1101995270407173</v>
      </c>
      <c r="N132" s="157">
        <f t="shared" si="80"/>
        <v>0.12464288308123957</v>
      </c>
      <c r="O132" s="157">
        <f t="shared" si="80"/>
        <v>0.1363709024118015</v>
      </c>
      <c r="P132" s="157">
        <f t="shared" si="80"/>
        <v>0.14336928805099891</v>
      </c>
      <c r="Q132" s="157">
        <f t="shared" si="80"/>
        <v>0.14992114954606189</v>
      </c>
    </row>
    <row r="134" spans="2:17" x14ac:dyDescent="0.25">
      <c r="B134" t="s">
        <v>79</v>
      </c>
      <c r="L134" s="107">
        <f>L131*L135</f>
        <v>11051.479073988503</v>
      </c>
      <c r="M134" s="107">
        <f t="shared" ref="M134:Q134" si="81">M131*M135</f>
        <v>11881.130461124954</v>
      </c>
      <c r="N134" s="107">
        <f t="shared" si="81"/>
        <v>15783.67836599972</v>
      </c>
      <c r="O134" s="107">
        <f t="shared" si="81"/>
        <v>20125.51143794728</v>
      </c>
      <c r="P134" s="107">
        <f t="shared" si="81"/>
        <v>23302.39107687509</v>
      </c>
      <c r="Q134" s="107">
        <f t="shared" si="81"/>
        <v>26347.208776512849</v>
      </c>
    </row>
    <row r="135" spans="2:17" x14ac:dyDescent="0.25">
      <c r="B135" s="32" t="s">
        <v>133</v>
      </c>
      <c r="L135" s="157">
        <f t="shared" ref="L135:Q135" si="82">L52</f>
        <v>0.17747629521468311</v>
      </c>
      <c r="M135" s="157">
        <f t="shared" si="82"/>
        <v>0.15276204215606132</v>
      </c>
      <c r="N135" s="157">
        <f t="shared" si="82"/>
        <v>0.16134919427006217</v>
      </c>
      <c r="O135" s="157">
        <f t="shared" si="82"/>
        <v>0.1702915097440808</v>
      </c>
      <c r="P135" s="157">
        <f t="shared" si="82"/>
        <v>0.1702915097440808</v>
      </c>
      <c r="Q135" s="157">
        <f t="shared" si="82"/>
        <v>0.16643411022579363</v>
      </c>
    </row>
    <row r="137" spans="2:17" x14ac:dyDescent="0.25">
      <c r="B137" s="37" t="s">
        <v>87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50">
        <f>L131-L134</f>
        <v>51218.690926011492</v>
      </c>
      <c r="M137" s="50">
        <f t="shared" ref="M137:Q137" si="83">M131-M134</f>
        <v>65894.279538875053</v>
      </c>
      <c r="N137" s="50">
        <f t="shared" si="83"/>
        <v>82039.421634000289</v>
      </c>
      <c r="O137" s="50">
        <f t="shared" si="83"/>
        <v>98057.19460648502</v>
      </c>
      <c r="P137" s="50">
        <f t="shared" si="83"/>
        <v>113535.8524262486</v>
      </c>
      <c r="Q137" s="51">
        <f t="shared" si="83"/>
        <v>131956.93176756662</v>
      </c>
    </row>
    <row r="139" spans="2:17" x14ac:dyDescent="0.25">
      <c r="B139" t="s">
        <v>82</v>
      </c>
      <c r="L139" s="156">
        <f t="shared" ref="L139:Q140" si="84">L75</f>
        <v>49673</v>
      </c>
      <c r="M139" s="156">
        <f t="shared" si="84"/>
        <v>54029.981256774641</v>
      </c>
      <c r="N139" s="156">
        <f t="shared" si="84"/>
        <v>61832.178815252708</v>
      </c>
      <c r="O139" s="156">
        <f t="shared" si="84"/>
        <v>69279.715031460539</v>
      </c>
      <c r="P139" s="156">
        <f t="shared" si="84"/>
        <v>75991.021748701343</v>
      </c>
      <c r="Q139" s="156">
        <f t="shared" si="84"/>
        <v>83004.429599953422</v>
      </c>
    </row>
    <row r="140" spans="2:17" x14ac:dyDescent="0.25">
      <c r="B140" s="32" t="s">
        <v>78</v>
      </c>
      <c r="L140" s="157">
        <f t="shared" si="84"/>
        <v>7.8145697447950593E-2</v>
      </c>
      <c r="M140" s="157">
        <f t="shared" si="84"/>
        <v>7.6554766866743423E-2</v>
      </c>
      <c r="N140" s="157">
        <f t="shared" si="84"/>
        <v>7.8784469463018869E-2</v>
      </c>
      <c r="O140" s="157">
        <f t="shared" si="84"/>
        <v>7.9941791602916298E-2</v>
      </c>
      <c r="P140" s="157">
        <f t="shared" si="84"/>
        <v>7.9617937262769542E-2</v>
      </c>
      <c r="Q140" s="157">
        <f t="shared" si="84"/>
        <v>7.8608932528679759E-2</v>
      </c>
    </row>
    <row r="142" spans="2:17" x14ac:dyDescent="0.25">
      <c r="B142" t="s">
        <v>83</v>
      </c>
      <c r="L142" s="156">
        <f t="shared" ref="L142:Q143" si="85">L100</f>
        <v>59612</v>
      </c>
      <c r="M142" s="156">
        <f t="shared" si="85"/>
        <v>76684.248774544845</v>
      </c>
      <c r="N142" s="156">
        <f t="shared" si="85"/>
        <v>86008.940388153642</v>
      </c>
      <c r="O142" s="156">
        <f t="shared" si="85"/>
        <v>91444.551893519019</v>
      </c>
      <c r="P142" s="156">
        <f t="shared" si="85"/>
        <v>97215.973723983378</v>
      </c>
      <c r="Q142" s="156">
        <f t="shared" si="85"/>
        <v>109688.25821512679</v>
      </c>
    </row>
    <row r="143" spans="2:17" x14ac:dyDescent="0.25">
      <c r="B143" s="32" t="s">
        <v>78</v>
      </c>
      <c r="L143" s="157">
        <f t="shared" si="85"/>
        <v>9.3781759029396866E-2</v>
      </c>
      <c r="M143" s="157">
        <f t="shared" si="85"/>
        <v>0.10865346703318628</v>
      </c>
      <c r="N143" s="157">
        <f t="shared" si="85"/>
        <v>0.10958968076805926</v>
      </c>
      <c r="O143" s="157">
        <f t="shared" si="85"/>
        <v>0.10551777395986857</v>
      </c>
      <c r="P143" s="157">
        <f t="shared" si="85"/>
        <v>0.10185591822270026</v>
      </c>
      <c r="Q143" s="157">
        <f t="shared" si="85"/>
        <v>0.10387971980264224</v>
      </c>
    </row>
    <row r="145" spans="2:17" x14ac:dyDescent="0.25">
      <c r="B145" t="s">
        <v>84</v>
      </c>
      <c r="L145" s="156">
        <f t="shared" ref="L145:Q146" si="86">L120</f>
        <v>-6898</v>
      </c>
      <c r="M145" s="156">
        <f t="shared" si="86"/>
        <v>-11064.850044354958</v>
      </c>
      <c r="N145" s="156">
        <f t="shared" si="86"/>
        <v>-20246.246731633495</v>
      </c>
      <c r="O145" s="156">
        <f t="shared" si="86"/>
        <v>-19592.903168684414</v>
      </c>
      <c r="P145" s="156">
        <f t="shared" si="86"/>
        <v>-18137.108104416817</v>
      </c>
      <c r="Q145" s="156">
        <f t="shared" si="86"/>
        <v>-19838.073985955692</v>
      </c>
    </row>
    <row r="146" spans="2:17" x14ac:dyDescent="0.25">
      <c r="B146" s="32" t="s">
        <v>78</v>
      </c>
      <c r="L146" s="157">
        <f t="shared" si="86"/>
        <v>-1.0851952187223707E-2</v>
      </c>
      <c r="M146" s="157">
        <f t="shared" si="86"/>
        <v>-1.5677721810330232E-2</v>
      </c>
      <c r="N146" s="157">
        <f t="shared" si="86"/>
        <v>-2.5797082327230707E-2</v>
      </c>
      <c r="O146" s="157">
        <f t="shared" si="86"/>
        <v>-2.2608230725195976E-2</v>
      </c>
      <c r="P146" s="157">
        <f t="shared" si="86"/>
        <v>-1.900275982550801E-2</v>
      </c>
      <c r="Q146" s="157">
        <f t="shared" si="86"/>
        <v>-1.8787549375097728E-2</v>
      </c>
    </row>
    <row r="148" spans="2:17" x14ac:dyDescent="0.25">
      <c r="B148" s="103" t="s">
        <v>88</v>
      </c>
      <c r="C148" s="104"/>
      <c r="D148" s="104"/>
      <c r="E148" s="104"/>
      <c r="F148" s="104"/>
      <c r="G148" s="104"/>
      <c r="H148" s="104"/>
      <c r="I148" s="104"/>
      <c r="J148" s="104"/>
      <c r="K148" s="104"/>
      <c r="L148" s="158">
        <f>L137+L139-L142-L145</f>
        <v>48177.690926011492</v>
      </c>
      <c r="M148" s="158">
        <f t="shared" ref="M148:Q148" si="87">M137+M139-M142-M145</f>
        <v>54304.862065459805</v>
      </c>
      <c r="N148" s="158">
        <f t="shared" si="87"/>
        <v>78108.906792732843</v>
      </c>
      <c r="O148" s="158">
        <f t="shared" si="87"/>
        <v>95485.260913110949</v>
      </c>
      <c r="P148" s="158">
        <f t="shared" si="87"/>
        <v>110448.00855538339</v>
      </c>
      <c r="Q148" s="159">
        <f t="shared" si="87"/>
        <v>125111.17713834897</v>
      </c>
    </row>
    <row r="149" spans="2:17" x14ac:dyDescent="0.25">
      <c r="B149" s="105" t="s">
        <v>134</v>
      </c>
      <c r="C149" s="106"/>
      <c r="D149" s="106"/>
      <c r="E149" s="106"/>
      <c r="F149" s="106"/>
      <c r="G149" s="106"/>
      <c r="H149" s="106"/>
      <c r="I149" s="106"/>
      <c r="J149" s="106"/>
      <c r="K149" s="106"/>
      <c r="L149" s="160">
        <f>(L148*L151)/(1+wacc)^L152</f>
        <v>14278.724647289793</v>
      </c>
      <c r="M149" s="160">
        <f>M148/(1+wacc)^M152</f>
        <v>50896.785750298048</v>
      </c>
      <c r="N149" s="160">
        <f>N148/(1+wacc)^N152</f>
        <v>67509.789377241526</v>
      </c>
      <c r="O149" s="160">
        <f>O148/(1+wacc)^O152</f>
        <v>76105.682446399122</v>
      </c>
      <c r="P149" s="160">
        <f>P148/(1+wacc)^P152</f>
        <v>81180.773906229544</v>
      </c>
      <c r="Q149" s="161">
        <f>Q148/(1+wacc)^Q152</f>
        <v>84801.973603378588</v>
      </c>
    </row>
    <row r="151" spans="2:17" x14ac:dyDescent="0.25">
      <c r="B151" t="s">
        <v>135</v>
      </c>
      <c r="L151" s="162">
        <f>YEARFRAC(L5,L6)</f>
        <v>0.3</v>
      </c>
    </row>
    <row r="152" spans="2:17" x14ac:dyDescent="0.25">
      <c r="B152" t="s">
        <v>136</v>
      </c>
      <c r="L152" s="162">
        <f>L151/2</f>
        <v>0.15</v>
      </c>
      <c r="M152" s="162">
        <f>L151+0.5</f>
        <v>0.8</v>
      </c>
      <c r="N152" s="162">
        <f>M152+1</f>
        <v>1.8</v>
      </c>
      <c r="O152" s="162">
        <f t="shared" ref="O152:Q152" si="88">N152+1</f>
        <v>2.8</v>
      </c>
      <c r="P152" s="162">
        <f t="shared" si="88"/>
        <v>3.8</v>
      </c>
      <c r="Q152" s="162">
        <f t="shared" si="88"/>
        <v>4.8</v>
      </c>
    </row>
    <row r="154" spans="2:17" x14ac:dyDescent="0.25">
      <c r="B154" t="s">
        <v>90</v>
      </c>
      <c r="Q154" s="107">
        <f>(Q148*(1+tgr))/(wacc-tgr)</f>
        <v>2159273.5837107385</v>
      </c>
    </row>
    <row r="155" spans="2:17" x14ac:dyDescent="0.25">
      <c r="B155" t="s">
        <v>137</v>
      </c>
      <c r="Q155" s="107">
        <f>Q154/(1+wacc)^Q152</f>
        <v>1463583.5553351515</v>
      </c>
    </row>
    <row r="157" spans="2:17" x14ac:dyDescent="0.25">
      <c r="B157" t="s">
        <v>92</v>
      </c>
      <c r="Q157" s="102">
        <f>SUM(L149:Q149,Q155)</f>
        <v>1838357.2850659881</v>
      </c>
    </row>
    <row r="158" spans="2:17" x14ac:dyDescent="0.25">
      <c r="B158" t="s">
        <v>138</v>
      </c>
      <c r="Q158" s="102">
        <f>71178+17914</f>
        <v>89092</v>
      </c>
    </row>
    <row r="159" spans="2:17" x14ac:dyDescent="0.25">
      <c r="B159" t="s">
        <v>139</v>
      </c>
      <c r="Q159" s="102">
        <v>54889</v>
      </c>
    </row>
    <row r="160" spans="2:17" x14ac:dyDescent="0.25">
      <c r="B160" t="s">
        <v>95</v>
      </c>
      <c r="Q160" s="102">
        <f>Q157+Q158-Q159</f>
        <v>1872560.2850659881</v>
      </c>
    </row>
    <row r="162" spans="2:17" x14ac:dyDescent="0.25">
      <c r="B162" t="s">
        <v>140</v>
      </c>
      <c r="Q162" s="100">
        <f>[1]Shares!E14</f>
        <v>10876.066881000001</v>
      </c>
    </row>
    <row r="163" spans="2:17" x14ac:dyDescent="0.25">
      <c r="B163" t="s">
        <v>66</v>
      </c>
      <c r="Q163" s="108">
        <f>Q160/Q162</f>
        <v>172.17256068342743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G w x Q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B s M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D F B a X k O 7 P f 0 B A A D v C w A A E w A c A E Z v c m 1 1 b G F z L 1 N l Y 3 R p b 2 4 x L m 0 g o h g A K K A U A A A A A A A A A A A A A A A A A A A A A A A A A A A A 7 V R d a 9 s w F H 0 P 5 D 8 I 7 2 E O m F D H S T 9 W 8 j C c l o 2 t r C w d e 0 h C U Z y 7 2 l S W h i S X h J D / P j l y a i 2 W 9 s V K X u I X o X N k 3 3 t 0 j 4 + A R G a M o r F e w 8 t 2 q 9 0 S K e a w Q H d 4 T q C H h o i A b L e Q e s a s 4 A k o 5 G q Z A O l + Z f x x z t i j f 5 0 R 6 M a M S q B S + F 7 8 Z v p F A B f T W 4 7 l q h A p E h l 9 S K c j l h R 5 e W Q 6 i q / R z a f R 1 c f u k o i l 1 w k Q L Q g J k O Q F d A J d T J e / 3 y 6 q p K 6 9 n r y X k A 8 9 T X r B h 4 w u q p 0 3 2 0 x G W O J Z 9 f 4 r L 0 4 x f S i F r L 6 D p z 6 x P d a 9 4 5 i K b 4 z n M S N F T k t S + G a x Y L 3 2 N B d 6 q i X F I w l L u Q n Q D u 8 5 8 G i H Y 7 o y 4 L 4 d H t j h U z t 8 Z o f P 7 f C F H Q 5 P H H j o w J + V 0 i K f A z e p a I / a d J 4 v / j P k 7 E l d v D 4 p 6 r v X R A X 7 e x M K z O s 1 5 B m S T B l m 6 2 a 7 d X 9 G R 7 e c 5 U y q S u 8 A L 5 Q 1 6 5 Y q p s L 9 Z v M B m l R n 3 h I y T j D B X A x L o 8 4 6 V q e F v 7 G a p Z n S c T e Y o 9 e 9 f s N Z G r f N Q T O h k z l x M e G F k z l v D L X d y q h d Z i M r o s N m R f S r r I j + c 1 Z E x 6 w 4 Z s U x K / 4 l K 8 Y p g A w H B w u L q v 7 9 d m 2 k R c X u 4 m K 7 b c b F H 3 v k p 2 J / a 4 + X c E c j d w 5 r m p o 5 c z K n T m b g Z P r u M H I y 7 g B 7 i f y q x 2 G M w F B s S D Q 0 G S K a C V j G m P k P 7 v d 2 + Q N Q S w E C L Q A U A A I A C A A b D F B a 7 h I V 7 a U A A A D 3 A A A A E g A A A A A A A A A A A A A A A A A A A A A A Q 2 9 u Z m l n L 1 B h Y 2 t h Z 2 U u e G 1 s U E s B A i 0 A F A A C A A g A G w x Q W g / K 6 a u k A A A A 6 Q A A A B M A A A A A A A A A A A A A A A A A 8 Q A A A F t D b 2 5 0 Z W 5 0 X 1 R 5 c G V z X S 5 4 b W x Q S w E C L Q A U A A I A C A A b D F B a X k O 7 P f 0 B A A D v C w A A E w A A A A A A A A A A A A A A A A D i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J g A A A A A A A C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d m Z j c z O C 0 x Z j I z L T R h N z E t Y m Q w Z i 0 2 Y T N l M T Q 0 Y m R i Y W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x O T o x M T o y O S 4 1 M T E w N j E y W i I g L z 4 8 R W 5 0 c n k g V H l w Z T 0 i R m l s b E N v b H V t b l R 5 c G V z I i B W Y W x 1 Z T 0 i c 0 J n V U Z C U V V G I i A v P j x F b n R y e S B U e X B l P S J G a W x s Q 2 9 s d W 1 u T m F t Z X M i I F Z h b H V l P S J z W y Z x d W 9 0 O 0 1 h c i B c d T A w M j c y N C Z x d W 9 0 O y w m c X V v d D t N Y X I g X H U w M D I 3 M j I m c X V v d D s s J n F 1 b 3 Q 7 T W F y I F x 1 M D A y N z I x J n F 1 b 3 Q 7 L C Z x d W 9 0 O 0 1 h c i B c d T A w M j c y M C Z x d W 9 0 O y w m c X V v d D t N Y X I g X H U w M D I 3 M T k m c X V v d D s s J n F 1 b 3 Q 7 T W F y I F x 1 M D A y N z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T E u e 0 1 h c i B c d T A w M j c y N C w w f S Z x d W 9 0 O y w m c X V v d D t T Z W N 0 a W 9 u M S 9 U Y W J s Z T I v Q 2 h h b m d l Z C B U e X B l M S 5 7 T W F y I F x 1 M D A y N z I y L D F 9 J n F 1 b 3 Q 7 L C Z x d W 9 0 O 1 N l Y 3 R p b 2 4 x L 1 R h Y m x l M i 9 D a G F u Z 2 V k I F R 5 c G U x L n t N Y X I g X H U w M D I 3 M j E s M n 0 m c X V v d D s s J n F 1 b 3 Q 7 U 2 V j d G l v b j E v V G F i b G U y L 0 N o Y W 5 n Z W Q g V H l w Z T E u e 0 1 h c i B c d T A w M j c y M C w z f S Z x d W 9 0 O y w m c X V v d D t T Z W N 0 a W 9 u M S 9 U Y W J s Z T I v Q 2 h h b m d l Z C B U e X B l M S 5 7 T W F y I F x 1 M D A y N z E 5 L D R 9 J n F 1 b 3 Q 7 L C Z x d W 9 0 O 1 N l Y 3 R p b 2 4 x L 1 R h Y m x l M i 9 D a G F u Z 2 V k I F R 5 c G U x L n t N Y X I g X H U w M D I 3 M T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y L 0 N o Y W 5 n Z W Q g V H l w Z T E u e 0 1 h c i B c d T A w M j c y N C w w f S Z x d W 9 0 O y w m c X V v d D t T Z W N 0 a W 9 u M S 9 U Y W J s Z T I v Q 2 h h b m d l Z C B U e X B l M S 5 7 T W F y I F x 1 M D A y N z I y L D F 9 J n F 1 b 3 Q 7 L C Z x d W 9 0 O 1 N l Y 3 R p b 2 4 x L 1 R h Y m x l M i 9 D a G F u Z 2 V k I F R 5 c G U x L n t N Y X I g X H U w M D I 3 M j E s M n 0 m c X V v d D s s J n F 1 b 3 Q 7 U 2 V j d G l v b j E v V G F i b G U y L 0 N o Y W 5 n Z W Q g V H l w Z T E u e 0 1 h c i B c d T A w M j c y M C w z f S Z x d W 9 0 O y w m c X V v d D t T Z W N 0 a W 9 u M S 9 U Y W J s Z T I v Q 2 h h b m d l Z C B U e X B l M S 5 7 T W F y I F x 1 M D A y N z E 5 L D R 9 J n F 1 b 3 Q 7 L C Z x d W 9 0 O 1 N l Y 3 R p b 2 4 x L 1 R h Y m x l M i 9 D a G F u Z 2 V k I F R 5 c G U x L n t N Y X I g X H U w M D I 3 M T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G F i b G U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Y 1 N 2 Y w O C 0 x N W Y z L T Q 5 Y T Y t O D l h Y i 0 2 Z j M 1 Y m Q z N D A w M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E 5 O j E y O j U x L j Y z M D U y N z d a I i A v P j x F b n R y e S B U e X B l P S J G a W x s Q 2 9 s d W 1 u V H l w Z X M i I F Z h b H V l P S J z Q m d V R k J R V U Y i I C 8 + P E V u d H J 5 I F R 5 c G U 9 I k Z p b G x D b 2 x 1 b W 5 O Y W 1 l c y I g V m F s d W U 9 I n N b J n F 1 b 3 Q 7 T W F y I F x 1 M D A y N z I 0 J n F 1 b 3 Q 7 L C Z x d W 9 0 O 0 1 h c i B c d T A w M j c y M i Z x d W 9 0 O y w m c X V v d D t N Y X I g X H U w M D I 3 M j E m c X V v d D s s J n F 1 b 3 Q 7 T W F y I F x 1 M D A y N z I w J n F 1 b 3 Q 7 L C Z x d W 9 0 O 0 1 h c i B c d T A w M j c x O S Z x d W 9 0 O y w m c X V v d D t N Y X I g X H U w M D I 3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T W F y I F x 1 M D A y N z I 0 L D B 9 J n F 1 b 3 Q 7 L C Z x d W 9 0 O 1 N l Y 3 R p b 2 4 x L 1 R h Y m x l M y 9 D a G F u Z 2 V k I F R 5 c G U x L n t N Y X I g X H U w M D I 3 M j I s M X 0 m c X V v d D s s J n F 1 b 3 Q 7 U 2 V j d G l v b j E v V G F i b G U z L 0 N o Y W 5 n Z W Q g V H l w Z T E u e 0 1 h c i B c d T A w M j c y M S w y f S Z x d W 9 0 O y w m c X V v d D t T Z W N 0 a W 9 u M S 9 U Y W J s Z T M v Q 2 h h b m d l Z C B U e X B l M S 5 7 T W F y I F x 1 M D A y N z I w L D N 9 J n F 1 b 3 Q 7 L C Z x d W 9 0 O 1 N l Y 3 R p b 2 4 x L 1 R h Y m x l M y 9 D a G F u Z 2 V k I F R 5 c G U x L n t N Y X I g X H U w M D I 3 M T k s N H 0 m c X V v d D s s J n F 1 b 3 Q 7 U 2 V j d G l v b j E v V G F i b G U z L 0 N o Y W 5 n Z W Q g V H l w Z T E u e 0 1 h c i B c d T A w M j c x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M v Q 2 h h b m d l Z C B U e X B l M S 5 7 T W F y I F x 1 M D A y N z I 0 L D B 9 J n F 1 b 3 Q 7 L C Z x d W 9 0 O 1 N l Y 3 R p b 2 4 x L 1 R h Y m x l M y 9 D a G F u Z 2 V k I F R 5 c G U x L n t N Y X I g X H U w M D I 3 M j I s M X 0 m c X V v d D s s J n F 1 b 3 Q 7 U 2 V j d G l v b j E v V G F i b G U z L 0 N o Y W 5 n Z W Q g V H l w Z T E u e 0 1 h c i B c d T A w M j c y M S w y f S Z x d W 9 0 O y w m c X V v d D t T Z W N 0 a W 9 u M S 9 U Y W J s Z T M v Q 2 h h b m d l Z C B U e X B l M S 5 7 T W F y I F x 1 M D A y N z I w L D N 9 J n F 1 b 3 Q 7 L C Z x d W 9 0 O 1 N l Y 3 R p b 2 4 x L 1 R h Y m x l M y 9 D a G F u Z 2 V k I F R 5 c G U x L n t N Y X I g X H U w M D I 3 M T k s N H 0 m c X V v d D s s J n F 1 b 3 Q 7 U 2 V j d G l v b j E v V G F i b G U z L 0 N o Y W 5 n Z W Q g V H l w Z T E u e 0 1 h c i B c d T A w M j c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d i Z T M w Y y 0 w Y W F m L T Q 3 O D k t O W U 3 Z S 1 l Y m E 1 N D g z Y T M w Y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T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y M D o w M j o x O S 4 y M D E y M D M 3 W i I g L z 4 8 R W 5 0 c n k g V H l w Z T 0 i R m l s b E N v b H V t b l R 5 c G V z I i B W Y W x 1 Z T 0 i c 0 J n V U Z C U V V G I i A v P j x F b n R y e S B U e X B l P S J G a W x s Q 2 9 s d W 1 u T m F t Z X M i I F Z h b H V l P S J z W y Z x d W 9 0 O 0 1 h c i B c d T A w M j c y N C Z x d W 9 0 O y w m c X V v d D t N Y X I g X H U w M D I 3 M j E m c X V v d D s s J n F 1 b 3 Q 7 T W F y I F x 1 M D A y N z I w J n F 1 b 3 Q 7 L C Z x d W 9 0 O 0 1 h c i B c d T A w M j c x O S Z x d W 9 0 O y w m c X V v d D t N Y X I g X H U w M D I 3 M T g m c X V v d D s s J n F 1 b 3 Q 7 T W F y I F x 1 M D A y N z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N S 9 D a G F u Z 2 V k I F R 5 c G U u e 0 1 h c i B c d T A w M j c y N C w w f S Z x d W 9 0 O y w m c X V v d D t T Z W N 0 a W 9 u M S 9 T a G V l d D E 1 L 0 N o Y W 5 n Z W Q g V H l w Z S 5 7 T W F y I F x 1 M D A y N z I x L D N 9 J n F 1 b 3 Q 7 L C Z x d W 9 0 O 1 N l Y 3 R p b 2 4 x L 1 N o Z W V 0 M T U v Q 2 h h b m d l Z C B U e X B l L n t N Y X I g X H U w M D I 3 M j A s N H 0 m c X V v d D s s J n F 1 b 3 Q 7 U 2 V j d G l v b j E v U 2 h l Z X Q x N S 9 D a G F u Z 2 V k I F R 5 c G U u e 0 1 h c i B c d T A w M j c x O S w 1 f S Z x d W 9 0 O y w m c X V v d D t T Z W N 0 a W 9 u M S 9 T a G V l d D E 1 L 0 N o Y W 5 n Z W Q g V H l w Z S 5 7 T W F y I F x 1 M D A y N z E 4 L D Z 9 J n F 1 b 3 Q 7 L C Z x d W 9 0 O 1 N l Y 3 R p b 2 4 x L 1 N o Z W V 0 M T U v Q 2 h h b m d l Z C B U e X B l L n t N Y X I g X H U w M D I 3 M T c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N S 9 D a G F u Z 2 V k I F R 5 c G U u e 0 1 h c i B c d T A w M j c y N C w w f S Z x d W 9 0 O y w m c X V v d D t T Z W N 0 a W 9 u M S 9 T a G V l d D E 1 L 0 N o Y W 5 n Z W Q g V H l w Z S 5 7 T W F y I F x 1 M D A y N z I x L D N 9 J n F 1 b 3 Q 7 L C Z x d W 9 0 O 1 N l Y 3 R p b 2 4 x L 1 N o Z W V 0 M T U v Q 2 h h b m d l Z C B U e X B l L n t N Y X I g X H U w M D I 3 M j A s N H 0 m c X V v d D s s J n F 1 b 3 Q 7 U 2 V j d G l v b j E v U 2 h l Z X Q x N S 9 D a G F u Z 2 V k I F R 5 c G U u e 0 1 h c i B c d T A w M j c x O S w 1 f S Z x d W 9 0 O y w m c X V v d D t T Z W N 0 a W 9 u M S 9 T a G V l d D E 1 L 0 N o Y W 5 n Z W Q g V H l w Z S 5 7 T W F y I F x 1 M D A y N z E 4 L D Z 9 J n F 1 b 3 Q 7 L C Z x d W 9 0 O 1 N l Y 3 R p b 2 4 x L 1 N o Z W V 0 M T U v Q 2 h h b m d l Z C B U e X B l L n t N Y X I g X H U w M D I 3 M T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T a G V l d D E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0 P t 6 e M T j S q c R w c W N M X I C A A A A A A I A A A A A A B B m A A A A A Q A A I A A A A L 9 c 3 y f H g / C v o k s S i + h p A K r E / / E N h b 2 q D p S D o n y + B d E + A A A A A A 6 A A A A A A g A A I A A A A J 1 I 2 d z K 6 5 i B O e Z K b N p i e a K M s 8 v C A e a u o m D O J C J u v 1 C K U A A A A E 0 i J + + P u C 5 x 5 p l 0 g E V a Q n s Y g m 2 f f G 1 E X X E / g v 1 D u 9 C Y e T v 6 y u S U v 1 W 9 N z F W n K V N W F f 0 D c q b b B 1 s P Z 6 q 0 d N Q Z g 4 s Z U j x K a U P Y G e d O m H K n g M Z Q A A A A P Z n B p c + G p v 9 m Q u d D Y + r r O z H L + o y N d o 3 G Q n C Z r W + r 8 7 Z / O i 9 5 x i P H a b Z I l r d t R J + 4 q v Y M K E q W 3 Y H S k j m o r h d 4 j c = < / D a t a M a s h u p > 
</file>

<file path=customXml/itemProps1.xml><?xml version="1.0" encoding="utf-8"?>
<ds:datastoreItem xmlns:ds="http://schemas.openxmlformats.org/officeDocument/2006/customXml" ds:itemID="{9A2A84EA-BB4C-4534-A976-46E2EE10C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DCF</vt:lpstr>
      <vt:lpstr>WACC</vt:lpstr>
      <vt:lpstr>Shares</vt:lpstr>
      <vt:lpstr>IS</vt:lpstr>
      <vt:lpstr>BS</vt:lpstr>
      <vt:lpstr>CFS</vt:lpstr>
      <vt:lpstr>CAPX</vt:lpstr>
      <vt:lpstr>DCF ADV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2025-02-15T18:58:13Z</dcterms:created>
  <dcterms:modified xsi:type="dcterms:W3CDTF">2025-06-01T12:31:13Z</dcterms:modified>
</cp:coreProperties>
</file>