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7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E:\DCF Model\Tata Motors\"/>
    </mc:Choice>
  </mc:AlternateContent>
  <xr:revisionPtr revIDLastSave="0" documentId="13_ncr:1_{284B7395-3213-4A9E-9EDE-DABF2A78A646}" xr6:coauthVersionLast="47" xr6:coauthVersionMax="47" xr10:uidLastSave="{00000000-0000-0000-0000-000000000000}"/>
  <bookViews>
    <workbookView xWindow="-120" yWindow="-120" windowWidth="20730" windowHeight="11310" tabRatio="601" xr2:uid="{AC6C53F5-AC2A-423D-B779-45EC237BFDF2}"/>
  </bookViews>
  <sheets>
    <sheet name="Summary" sheetId="39" r:id="rId1"/>
    <sheet name="sd" sheetId="40" state="hidden" r:id="rId2"/>
    <sheet name=" DCF&gt;" sheetId="27" r:id="rId3"/>
    <sheet name="DCF-Segment" sheetId="25" r:id="rId4"/>
    <sheet name="DCF_Scenario&gt;&gt;" sheetId="23" r:id="rId5"/>
    <sheet name="DCF_Best" sheetId="37" r:id="rId6"/>
    <sheet name="DCF_Base" sheetId="36" r:id="rId7"/>
    <sheet name="DCF_Worst" sheetId="38" r:id="rId8"/>
    <sheet name="DCF_CAGR" sheetId="21" r:id="rId9"/>
    <sheet name=" DCF_ LINEAR REGRESSION" sheetId="14" r:id="rId10"/>
    <sheet name="Revenue Forecast &gt;" sheetId="33" r:id="rId11"/>
    <sheet name="Segement" sheetId="26" r:id="rId12"/>
    <sheet name="Senario" sheetId="24" r:id="rId13"/>
    <sheet name="Linear regression" sheetId="19" r:id="rId14"/>
    <sheet name="CAGR " sheetId="20" r:id="rId15"/>
    <sheet name="Assumption&gt;" sheetId="34" r:id="rId16"/>
    <sheet name="WACC" sheetId="8" r:id="rId17"/>
    <sheet name=" CapEx &amp; NWC Forecast" sheetId="18" r:id="rId18"/>
    <sheet name="Data&gt;" sheetId="35" r:id="rId19"/>
    <sheet name="IS" sheetId="17" r:id="rId20"/>
    <sheet name="BS" sheetId="5" r:id="rId21"/>
    <sheet name="CFS" sheetId="6" r:id="rId22"/>
    <sheet name="Profit &amp; Loss" sheetId="41" r:id="rId23"/>
    <sheet name="Quarters" sheetId="42" r:id="rId24"/>
    <sheet name="Balance Sheet" sheetId="43" r:id="rId25"/>
    <sheet name="Cash Flow" sheetId="44" r:id="rId26"/>
    <sheet name="Data Sheet" sheetId="45" r:id="rId27"/>
  </sheets>
  <externalReferences>
    <externalReference r:id="rId28"/>
  </externalReferences>
  <definedNames>
    <definedName name="CAGR_Sensitivity">DCF_CAGR!$Q$4:$W$10</definedName>
    <definedName name="CAGR_Valuation">sd!$B$27:$C$32</definedName>
    <definedName name="Categories">#REF!</definedName>
    <definedName name="ExternalData_1" localSheetId="20" hidden="1">BS!$A$1:$F$36</definedName>
    <definedName name="ExternalData_1" localSheetId="21" hidden="1">CFS!$A$1:$F$10</definedName>
    <definedName name="ExternalData_1" localSheetId="19" hidden="1">IS!$A$1:$F$17</definedName>
    <definedName name="LinearRegression_Sensitivity">' DCF_ LINEAR REGRESSION'!$Q$4:$W$10</definedName>
    <definedName name="LinearRegression_Valuation">sd!$B$33:$C$38</definedName>
    <definedName name="ModelList">sd!$F$3:$F$8</definedName>
    <definedName name="ScenarioBase_Sensitivity">DCF_Base!$Q$4:$W$10</definedName>
    <definedName name="ScenarioBase_Valuation">sd!$B$15:$C$20</definedName>
    <definedName name="ScenarioBest_Sensitivity">DCF_Best!$Q$4:$W$10</definedName>
    <definedName name="ScenarioBest_Valuation">sd!$B$9:$C$14</definedName>
    <definedName name="ScenarioWorst_Sensitivity">DCF_Worst!$Q$4:$W$10</definedName>
    <definedName name="ScenarioWorst_Valuation">sd!$B$21:$C$26</definedName>
    <definedName name="Segment_Sensitivity">'DCF-Segment'!$Q$4:$W$10</definedName>
    <definedName name="Segment_Valuation">sd!$B$3:$C$8</definedName>
    <definedName name="tgr">#REF!</definedName>
    <definedName name="Title2">#REF!</definedName>
    <definedName name="UPDATE">'Data Sheet'!$E$1</definedName>
    <definedName name="wacc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6" i="45" l="1"/>
  <c r="F75" i="45"/>
  <c r="E9" i="45" s="1"/>
  <c r="F8" i="45"/>
  <c r="E10" i="45" s="1"/>
  <c r="B6" i="45"/>
  <c r="E1" i="45"/>
  <c r="K7" i="44"/>
  <c r="J7" i="44"/>
  <c r="I7" i="44"/>
  <c r="H7" i="44"/>
  <c r="G7" i="44"/>
  <c r="F7" i="44"/>
  <c r="E7" i="44"/>
  <c r="D7" i="44"/>
  <c r="C7" i="44"/>
  <c r="B7" i="44"/>
  <c r="K6" i="44"/>
  <c r="J6" i="44"/>
  <c r="I6" i="44"/>
  <c r="H6" i="44"/>
  <c r="G6" i="44"/>
  <c r="F6" i="44"/>
  <c r="E6" i="44"/>
  <c r="D6" i="44"/>
  <c r="C6" i="44"/>
  <c r="B6" i="44"/>
  <c r="K5" i="44"/>
  <c r="J5" i="44"/>
  <c r="I5" i="44"/>
  <c r="H5" i="44"/>
  <c r="G5" i="44"/>
  <c r="F5" i="44"/>
  <c r="E5" i="44"/>
  <c r="D5" i="44"/>
  <c r="C5" i="44"/>
  <c r="B5" i="44"/>
  <c r="K4" i="44"/>
  <c r="J4" i="44"/>
  <c r="I4" i="44"/>
  <c r="H4" i="44"/>
  <c r="G4" i="44"/>
  <c r="F4" i="44"/>
  <c r="E4" i="44"/>
  <c r="D4" i="44"/>
  <c r="C4" i="44"/>
  <c r="B4" i="44"/>
  <c r="K3" i="44"/>
  <c r="J3" i="44"/>
  <c r="I3" i="44"/>
  <c r="H3" i="44"/>
  <c r="G3" i="44"/>
  <c r="F3" i="44"/>
  <c r="E3" i="44"/>
  <c r="D3" i="44"/>
  <c r="C3" i="44"/>
  <c r="B3" i="44"/>
  <c r="E1" i="44"/>
  <c r="A1" i="44"/>
  <c r="K18" i="43"/>
  <c r="K21" i="43" s="1"/>
  <c r="J18" i="43"/>
  <c r="J21" i="43" s="1"/>
  <c r="I18" i="43"/>
  <c r="I21" i="43" s="1"/>
  <c r="H18" i="43"/>
  <c r="H21" i="43" s="1"/>
  <c r="G18" i="43"/>
  <c r="G21" i="43" s="1"/>
  <c r="F18" i="43"/>
  <c r="F21" i="43" s="1"/>
  <c r="E18" i="43"/>
  <c r="E21" i="43" s="1"/>
  <c r="D18" i="43"/>
  <c r="D21" i="43" s="1"/>
  <c r="C18" i="43"/>
  <c r="C21" i="43" s="1"/>
  <c r="B18" i="43"/>
  <c r="B21" i="43" s="1"/>
  <c r="K17" i="43"/>
  <c r="K20" i="43" s="1"/>
  <c r="J17" i="43"/>
  <c r="J20" i="43" s="1"/>
  <c r="I17" i="43"/>
  <c r="I20" i="43" s="1"/>
  <c r="H17" i="43"/>
  <c r="H20" i="43" s="1"/>
  <c r="G17" i="43"/>
  <c r="G20" i="43" s="1"/>
  <c r="F17" i="43"/>
  <c r="F20" i="43" s="1"/>
  <c r="E17" i="43"/>
  <c r="E20" i="43" s="1"/>
  <c r="D17" i="43"/>
  <c r="D20" i="43" s="1"/>
  <c r="C17" i="43"/>
  <c r="C20" i="43" s="1"/>
  <c r="B17" i="43"/>
  <c r="B20" i="43" s="1"/>
  <c r="K14" i="43"/>
  <c r="J14" i="43"/>
  <c r="I14" i="43"/>
  <c r="H14" i="43"/>
  <c r="G14" i="43"/>
  <c r="F14" i="43"/>
  <c r="E14" i="43"/>
  <c r="D14" i="43"/>
  <c r="C14" i="43"/>
  <c r="B14" i="43"/>
  <c r="K13" i="43"/>
  <c r="J13" i="43"/>
  <c r="I13" i="43"/>
  <c r="H13" i="43"/>
  <c r="G13" i="43"/>
  <c r="F13" i="43"/>
  <c r="E13" i="43"/>
  <c r="D13" i="43"/>
  <c r="C13" i="43"/>
  <c r="B13" i="43"/>
  <c r="K12" i="43"/>
  <c r="J12" i="43"/>
  <c r="I12" i="43"/>
  <c r="H12" i="43"/>
  <c r="G12" i="43"/>
  <c r="F12" i="43"/>
  <c r="E12" i="43"/>
  <c r="D12" i="43"/>
  <c r="C12" i="43"/>
  <c r="B12" i="43"/>
  <c r="K11" i="43"/>
  <c r="J11" i="43"/>
  <c r="I11" i="43"/>
  <c r="H11" i="43"/>
  <c r="G11" i="43"/>
  <c r="F11" i="43"/>
  <c r="E11" i="43"/>
  <c r="D11" i="43"/>
  <c r="C11" i="43"/>
  <c r="B11" i="43"/>
  <c r="K10" i="43"/>
  <c r="J10" i="43"/>
  <c r="I10" i="43"/>
  <c r="H10" i="43"/>
  <c r="G10" i="43"/>
  <c r="F10" i="43"/>
  <c r="E10" i="43"/>
  <c r="D10" i="43"/>
  <c r="C10" i="43"/>
  <c r="B10" i="43"/>
  <c r="K8" i="43"/>
  <c r="J8" i="43"/>
  <c r="I8" i="43"/>
  <c r="H8" i="43"/>
  <c r="G8" i="43"/>
  <c r="F8" i="43"/>
  <c r="E8" i="43"/>
  <c r="D8" i="43"/>
  <c r="C8" i="43"/>
  <c r="B8" i="43"/>
  <c r="K7" i="43"/>
  <c r="J7" i="43"/>
  <c r="I7" i="43"/>
  <c r="H7" i="43"/>
  <c r="G7" i="43"/>
  <c r="F7" i="43"/>
  <c r="E7" i="43"/>
  <c r="D7" i="43"/>
  <c r="C7" i="43"/>
  <c r="B7" i="43"/>
  <c r="K6" i="43"/>
  <c r="J6" i="43"/>
  <c r="I6" i="43"/>
  <c r="H6" i="43"/>
  <c r="G6" i="43"/>
  <c r="F6" i="43"/>
  <c r="E6" i="43"/>
  <c r="D6" i="43"/>
  <c r="C6" i="43"/>
  <c r="B6" i="43"/>
  <c r="K5" i="43"/>
  <c r="J5" i="43"/>
  <c r="I5" i="43"/>
  <c r="H5" i="43"/>
  <c r="G5" i="43"/>
  <c r="F5" i="43"/>
  <c r="F23" i="43" s="1"/>
  <c r="E5" i="43"/>
  <c r="D5" i="43"/>
  <c r="C5" i="43"/>
  <c r="B5" i="43"/>
  <c r="B23" i="43" s="1"/>
  <c r="K4" i="43"/>
  <c r="J4" i="43"/>
  <c r="I4" i="43"/>
  <c r="H4" i="43"/>
  <c r="H23" i="43" s="1"/>
  <c r="G4" i="43"/>
  <c r="F4" i="43"/>
  <c r="E4" i="43"/>
  <c r="D4" i="43"/>
  <c r="D23" i="43" s="1"/>
  <c r="C4" i="43"/>
  <c r="B4" i="43"/>
  <c r="K3" i="43"/>
  <c r="J3" i="43"/>
  <c r="I3" i="43"/>
  <c r="H3" i="43"/>
  <c r="G3" i="43"/>
  <c r="F3" i="43"/>
  <c r="E3" i="43"/>
  <c r="D3" i="43"/>
  <c r="C3" i="43"/>
  <c r="B3" i="43"/>
  <c r="E1" i="43"/>
  <c r="A1" i="43"/>
  <c r="K12" i="42"/>
  <c r="J12" i="42"/>
  <c r="I12" i="42"/>
  <c r="H12" i="42"/>
  <c r="G12" i="42"/>
  <c r="F12" i="42"/>
  <c r="E12" i="42"/>
  <c r="D12" i="42"/>
  <c r="C12" i="42"/>
  <c r="B12" i="42"/>
  <c r="K11" i="42"/>
  <c r="J11" i="42"/>
  <c r="I11" i="42"/>
  <c r="H11" i="42"/>
  <c r="G11" i="42"/>
  <c r="F11" i="42"/>
  <c r="E11" i="42"/>
  <c r="D11" i="42"/>
  <c r="C11" i="42"/>
  <c r="B11" i="42"/>
  <c r="K10" i="42"/>
  <c r="J10" i="42"/>
  <c r="I10" i="42"/>
  <c r="H10" i="42"/>
  <c r="G10" i="42"/>
  <c r="F10" i="42"/>
  <c r="E10" i="42"/>
  <c r="D10" i="42"/>
  <c r="C10" i="42"/>
  <c r="B10" i="42"/>
  <c r="K9" i="42"/>
  <c r="J9" i="42"/>
  <c r="I9" i="42"/>
  <c r="H9" i="42"/>
  <c r="G9" i="42"/>
  <c r="F9" i="42"/>
  <c r="E9" i="42"/>
  <c r="D9" i="42"/>
  <c r="C9" i="42"/>
  <c r="B9" i="42"/>
  <c r="K8" i="42"/>
  <c r="J8" i="42"/>
  <c r="I8" i="42"/>
  <c r="H8" i="42"/>
  <c r="G8" i="42"/>
  <c r="F8" i="42"/>
  <c r="E8" i="42"/>
  <c r="D8" i="42"/>
  <c r="C8" i="42"/>
  <c r="B8" i="42"/>
  <c r="K7" i="42"/>
  <c r="J7" i="42"/>
  <c r="I7" i="42"/>
  <c r="H7" i="42"/>
  <c r="G7" i="42"/>
  <c r="F7" i="42"/>
  <c r="E7" i="42"/>
  <c r="D7" i="42"/>
  <c r="C7" i="42"/>
  <c r="B7" i="42"/>
  <c r="K6" i="42"/>
  <c r="J6" i="42"/>
  <c r="I6" i="42"/>
  <c r="H6" i="42"/>
  <c r="G6" i="42"/>
  <c r="F6" i="42"/>
  <c r="E6" i="42"/>
  <c r="D6" i="42"/>
  <c r="C6" i="42"/>
  <c r="B6" i="42"/>
  <c r="K5" i="42"/>
  <c r="J5" i="42"/>
  <c r="I5" i="42"/>
  <c r="H5" i="42"/>
  <c r="G5" i="42"/>
  <c r="F5" i="42"/>
  <c r="E5" i="42"/>
  <c r="D5" i="42"/>
  <c r="C5" i="42"/>
  <c r="B5" i="42"/>
  <c r="K4" i="42"/>
  <c r="K14" i="42" s="1"/>
  <c r="J4" i="42"/>
  <c r="J14" i="42" s="1"/>
  <c r="I4" i="42"/>
  <c r="I14" i="42" s="1"/>
  <c r="H4" i="42"/>
  <c r="H14" i="42" s="1"/>
  <c r="G4" i="42"/>
  <c r="G14" i="42" s="1"/>
  <c r="F4" i="42"/>
  <c r="F14" i="42" s="1"/>
  <c r="E4" i="42"/>
  <c r="E14" i="42" s="1"/>
  <c r="D4" i="42"/>
  <c r="D14" i="42" s="1"/>
  <c r="C4" i="42"/>
  <c r="C14" i="42" s="1"/>
  <c r="B4" i="42"/>
  <c r="B14" i="42" s="1"/>
  <c r="K3" i="42"/>
  <c r="J3" i="42"/>
  <c r="I3" i="42"/>
  <c r="H3" i="42"/>
  <c r="G3" i="42"/>
  <c r="F3" i="42"/>
  <c r="E3" i="42"/>
  <c r="D3" i="42"/>
  <c r="C3" i="42"/>
  <c r="B3" i="42"/>
  <c r="E1" i="42"/>
  <c r="A1" i="42"/>
  <c r="K18" i="41"/>
  <c r="J18" i="41"/>
  <c r="I18" i="41"/>
  <c r="H18" i="41"/>
  <c r="G18" i="41"/>
  <c r="F18" i="41"/>
  <c r="E18" i="41"/>
  <c r="D18" i="41"/>
  <c r="C18" i="41"/>
  <c r="B18" i="41"/>
  <c r="L15" i="41"/>
  <c r="K15" i="41"/>
  <c r="J15" i="41"/>
  <c r="I15" i="41"/>
  <c r="H15" i="41"/>
  <c r="G15" i="41"/>
  <c r="F15" i="41"/>
  <c r="E15" i="41"/>
  <c r="D15" i="41"/>
  <c r="C15" i="41"/>
  <c r="B15" i="41"/>
  <c r="L13" i="41"/>
  <c r="L14" i="41" s="1"/>
  <c r="L25" i="41" s="1"/>
  <c r="L12" i="41"/>
  <c r="K12" i="41"/>
  <c r="K13" i="41" s="1"/>
  <c r="J12" i="41"/>
  <c r="J13" i="41" s="1"/>
  <c r="I12" i="41"/>
  <c r="I13" i="41" s="1"/>
  <c r="H12" i="41"/>
  <c r="H13" i="41" s="1"/>
  <c r="H14" i="41" s="1"/>
  <c r="G12" i="41"/>
  <c r="G13" i="41" s="1"/>
  <c r="F12" i="41"/>
  <c r="F13" i="41" s="1"/>
  <c r="E12" i="41"/>
  <c r="E13" i="41" s="1"/>
  <c r="D12" i="41"/>
  <c r="D13" i="41" s="1"/>
  <c r="D14" i="41" s="1"/>
  <c r="C12" i="41"/>
  <c r="C13" i="41" s="1"/>
  <c r="B12" i="41"/>
  <c r="B13" i="41" s="1"/>
  <c r="L11" i="41"/>
  <c r="K11" i="41"/>
  <c r="J11" i="41"/>
  <c r="I11" i="41"/>
  <c r="H11" i="41"/>
  <c r="G11" i="41"/>
  <c r="F11" i="41"/>
  <c r="E11" i="41"/>
  <c r="D11" i="41"/>
  <c r="C11" i="41"/>
  <c r="B11" i="41"/>
  <c r="L10" i="41"/>
  <c r="K10" i="41"/>
  <c r="J10" i="41"/>
  <c r="I10" i="41"/>
  <c r="H10" i="41"/>
  <c r="G10" i="41"/>
  <c r="F10" i="41"/>
  <c r="E10" i="41"/>
  <c r="D10" i="41"/>
  <c r="C10" i="41"/>
  <c r="B10" i="41"/>
  <c r="L9" i="41"/>
  <c r="N9" i="41" s="1"/>
  <c r="K9" i="41"/>
  <c r="J9" i="41"/>
  <c r="F28" i="41" s="1"/>
  <c r="F29" i="41" s="1"/>
  <c r="I9" i="41"/>
  <c r="H9" i="41"/>
  <c r="G9" i="41"/>
  <c r="F9" i="41"/>
  <c r="E9" i="41"/>
  <c r="D9" i="41"/>
  <c r="C9" i="41"/>
  <c r="B9" i="41"/>
  <c r="L8" i="41"/>
  <c r="M8" i="41" s="1"/>
  <c r="K8" i="41"/>
  <c r="J8" i="41"/>
  <c r="I8" i="41"/>
  <c r="H8" i="41"/>
  <c r="G8" i="41"/>
  <c r="F8" i="41"/>
  <c r="E8" i="41"/>
  <c r="D8" i="41"/>
  <c r="C8" i="41"/>
  <c r="B8" i="41"/>
  <c r="L7" i="41"/>
  <c r="K7" i="41"/>
  <c r="J7" i="41"/>
  <c r="I7" i="41"/>
  <c r="H7" i="41"/>
  <c r="G7" i="41"/>
  <c r="F7" i="41"/>
  <c r="E7" i="41"/>
  <c r="D7" i="41"/>
  <c r="C7" i="41"/>
  <c r="B7" i="41"/>
  <c r="L6" i="41"/>
  <c r="L5" i="41"/>
  <c r="K5" i="41"/>
  <c r="J5" i="41"/>
  <c r="I5" i="41"/>
  <c r="H5" i="41"/>
  <c r="G5" i="41"/>
  <c r="F5" i="41"/>
  <c r="E5" i="41"/>
  <c r="D5" i="41"/>
  <c r="C5" i="41"/>
  <c r="B5" i="41"/>
  <c r="L4" i="41"/>
  <c r="L19" i="41" s="1"/>
  <c r="L24" i="41" s="1"/>
  <c r="K4" i="41"/>
  <c r="J4" i="41"/>
  <c r="I4" i="41"/>
  <c r="H4" i="41"/>
  <c r="G4" i="41"/>
  <c r="F4" i="41"/>
  <c r="E4" i="41"/>
  <c r="D4" i="41"/>
  <c r="C4" i="41"/>
  <c r="B4" i="41"/>
  <c r="K3" i="41"/>
  <c r="J3" i="41"/>
  <c r="I3" i="41"/>
  <c r="H3" i="41"/>
  <c r="G3" i="41"/>
  <c r="F3" i="41"/>
  <c r="E3" i="41"/>
  <c r="D3" i="41"/>
  <c r="C3" i="41"/>
  <c r="B3" i="41"/>
  <c r="H1" i="41"/>
  <c r="A1" i="41"/>
  <c r="D16" i="8"/>
  <c r="D23" i="8" s="1"/>
  <c r="D21" i="8"/>
  <c r="E6" i="41" l="1"/>
  <c r="E19" i="41" s="1"/>
  <c r="J23" i="43"/>
  <c r="I23" i="41"/>
  <c r="H6" i="41"/>
  <c r="H19" i="41" s="1"/>
  <c r="B14" i="41"/>
  <c r="F14" i="41"/>
  <c r="J14" i="41"/>
  <c r="D16" i="43"/>
  <c r="H16" i="43"/>
  <c r="F6" i="41"/>
  <c r="F19" i="41" s="1"/>
  <c r="E23" i="43"/>
  <c r="I23" i="43"/>
  <c r="E16" i="43"/>
  <c r="I16" i="43"/>
  <c r="H23" i="41"/>
  <c r="J23" i="41"/>
  <c r="L23" i="41"/>
  <c r="E14" i="41"/>
  <c r="I25" i="41" s="1"/>
  <c r="M9" i="41"/>
  <c r="C6" i="41"/>
  <c r="C19" i="41" s="1"/>
  <c r="K6" i="41"/>
  <c r="K19" i="41" s="1"/>
  <c r="C14" i="41"/>
  <c r="G14" i="41"/>
  <c r="K14" i="41"/>
  <c r="C24" i="43"/>
  <c r="G24" i="43"/>
  <c r="K24" i="43"/>
  <c r="B16" i="43"/>
  <c r="F16" i="43"/>
  <c r="J16" i="43"/>
  <c r="I14" i="41"/>
  <c r="J6" i="41"/>
  <c r="J19" i="41" s="1"/>
  <c r="N8" i="41"/>
  <c r="N11" i="41"/>
  <c r="B6" i="41"/>
  <c r="B19" i="41" s="1"/>
  <c r="D24" i="43"/>
  <c r="H24" i="43"/>
  <c r="K23" i="43"/>
  <c r="C16" i="43"/>
  <c r="G16" i="43"/>
  <c r="K16" i="43"/>
  <c r="I24" i="43"/>
  <c r="C23" i="43"/>
  <c r="G23" i="43"/>
  <c r="F24" i="43"/>
  <c r="J24" i="43"/>
  <c r="E24" i="43"/>
  <c r="K23" i="41"/>
  <c r="G6" i="41"/>
  <c r="G19" i="41" s="1"/>
  <c r="D6" i="41"/>
  <c r="D19" i="41" s="1"/>
  <c r="M11" i="41"/>
  <c r="I6" i="41"/>
  <c r="I19" i="41" s="1"/>
  <c r="M23" i="41" l="1"/>
  <c r="M4" i="41" s="1"/>
  <c r="I27" i="43"/>
  <c r="K25" i="41"/>
  <c r="M25" i="41" s="1"/>
  <c r="M14" i="41" s="1"/>
  <c r="K24" i="41"/>
  <c r="M24" i="41" s="1"/>
  <c r="M6" i="41" s="1"/>
  <c r="M10" i="41" s="1"/>
  <c r="M12" i="41" s="1"/>
  <c r="M13" i="41" s="1"/>
  <c r="M15" i="41" s="1"/>
  <c r="H25" i="41"/>
  <c r="J25" i="41"/>
  <c r="J24" i="41"/>
  <c r="H24" i="41"/>
  <c r="I24" i="41"/>
  <c r="N23" i="41"/>
  <c r="N4" i="41" s="1"/>
  <c r="N25" i="41" l="1"/>
  <c r="N14" i="41" s="1"/>
  <c r="M5" i="41"/>
  <c r="N24" i="41"/>
  <c r="N6" i="41" s="1"/>
  <c r="N10" i="41" s="1"/>
  <c r="N12" i="41" s="1"/>
  <c r="N13" i="41" s="1"/>
  <c r="N15" i="41" s="1"/>
  <c r="C37" i="40"/>
  <c r="C31" i="40"/>
  <c r="C25" i="40"/>
  <c r="C19" i="40"/>
  <c r="C13" i="40"/>
  <c r="C7" i="40"/>
  <c r="L4" i="18"/>
  <c r="M4" i="18" s="1"/>
  <c r="N4" i="18" s="1"/>
  <c r="O4" i="18" s="1"/>
  <c r="D4" i="18"/>
  <c r="E4" i="18" s="1"/>
  <c r="F4" i="18" s="1"/>
  <c r="G4" i="18" s="1"/>
  <c r="K10" i="26"/>
  <c r="L10" i="26" s="1"/>
  <c r="M10" i="26" s="1"/>
  <c r="N10" i="26" s="1"/>
  <c r="O10" i="26" s="1"/>
  <c r="I6" i="26"/>
  <c r="F26" i="25"/>
  <c r="G26" i="25"/>
  <c r="G27" i="25" s="1"/>
  <c r="G48" i="25" s="1"/>
  <c r="H26" i="25"/>
  <c r="I26" i="25"/>
  <c r="I47" i="25" s="1"/>
  <c r="E26" i="25"/>
  <c r="E27" i="25" s="1"/>
  <c r="J10" i="26"/>
  <c r="J14" i="26"/>
  <c r="K14" i="26" s="1"/>
  <c r="L14" i="26" s="1"/>
  <c r="M14" i="26" s="1"/>
  <c r="N14" i="26" s="1"/>
  <c r="O14" i="26" s="1"/>
  <c r="J6" i="26"/>
  <c r="J8" i="26"/>
  <c r="J9" i="26"/>
  <c r="J13" i="26" s="1"/>
  <c r="J17" i="26" s="1"/>
  <c r="E14" i="26"/>
  <c r="E10" i="26"/>
  <c r="E6" i="26"/>
  <c r="D21" i="26"/>
  <c r="E17" i="26"/>
  <c r="E21" i="26" s="1"/>
  <c r="E22" i="26" s="1"/>
  <c r="D8" i="26"/>
  <c r="D12" i="26" s="1"/>
  <c r="D16" i="26" s="1"/>
  <c r="D20" i="26" s="1"/>
  <c r="G6" i="26"/>
  <c r="H6" i="26"/>
  <c r="G10" i="26"/>
  <c r="H10" i="26"/>
  <c r="I10" i="26"/>
  <c r="G14" i="26"/>
  <c r="H14" i="26"/>
  <c r="I14" i="26"/>
  <c r="H18" i="26"/>
  <c r="I18" i="26"/>
  <c r="G21" i="26"/>
  <c r="H21" i="26"/>
  <c r="I21" i="26"/>
  <c r="F14" i="26"/>
  <c r="F10" i="26"/>
  <c r="F6" i="26"/>
  <c r="F17" i="26"/>
  <c r="G18" i="26" s="1"/>
  <c r="E8" i="26"/>
  <c r="E12" i="26" s="1"/>
  <c r="E16" i="26" s="1"/>
  <c r="E20" i="26" s="1"/>
  <c r="F4" i="26"/>
  <c r="F8" i="26" s="1"/>
  <c r="F12" i="26" s="1"/>
  <c r="F16" i="26" s="1"/>
  <c r="F20" i="26" s="1"/>
  <c r="F27" i="38"/>
  <c r="F26" i="38"/>
  <c r="G26" i="38"/>
  <c r="G47" i="38" s="1"/>
  <c r="H26" i="38"/>
  <c r="H27" i="38" s="1"/>
  <c r="H48" i="38" s="1"/>
  <c r="I26" i="38"/>
  <c r="I47" i="38" s="1"/>
  <c r="E26" i="38"/>
  <c r="E27" i="38" s="1"/>
  <c r="F26" i="37"/>
  <c r="G26" i="37"/>
  <c r="H26" i="37"/>
  <c r="H27" i="37" s="1"/>
  <c r="H48" i="37" s="1"/>
  <c r="I26" i="37"/>
  <c r="I47" i="37" s="1"/>
  <c r="E26" i="37"/>
  <c r="F26" i="36"/>
  <c r="G26" i="36"/>
  <c r="G47" i="36" s="1"/>
  <c r="H26" i="36"/>
  <c r="H27" i="36" s="1"/>
  <c r="H48" i="36" s="1"/>
  <c r="I26" i="36"/>
  <c r="I47" i="36" s="1"/>
  <c r="E26" i="36"/>
  <c r="E47" i="36" s="1"/>
  <c r="I26" i="21"/>
  <c r="H26" i="21"/>
  <c r="G26" i="21"/>
  <c r="F26" i="21"/>
  <c r="E26" i="21"/>
  <c r="F26" i="14"/>
  <c r="G26" i="14"/>
  <c r="H26" i="14"/>
  <c r="I26" i="14"/>
  <c r="E26" i="14"/>
  <c r="B13" i="24"/>
  <c r="C20" i="24"/>
  <c r="D20" i="24"/>
  <c r="E21" i="24"/>
  <c r="F21" i="24"/>
  <c r="B21" i="24"/>
  <c r="B20" i="24"/>
  <c r="E14" i="24"/>
  <c r="F14" i="24"/>
  <c r="G14" i="24"/>
  <c r="G21" i="24" s="1"/>
  <c r="B14" i="24"/>
  <c r="C13" i="24"/>
  <c r="D13" i="24"/>
  <c r="D7" i="24"/>
  <c r="D14" i="24" s="1"/>
  <c r="D21" i="24" s="1"/>
  <c r="E7" i="24"/>
  <c r="F7" i="24"/>
  <c r="G7" i="24"/>
  <c r="C7" i="24"/>
  <c r="C14" i="24" s="1"/>
  <c r="C21" i="24" s="1"/>
  <c r="D4" i="19"/>
  <c r="E4" i="19" s="1"/>
  <c r="F4" i="19" s="1"/>
  <c r="G4" i="19" s="1"/>
  <c r="I4" i="19" s="1"/>
  <c r="J4" i="19" s="1"/>
  <c r="K4" i="19" s="1"/>
  <c r="L4" i="19" s="1"/>
  <c r="M4" i="19" s="1"/>
  <c r="E6" i="24"/>
  <c r="F6" i="24" s="1"/>
  <c r="G6" i="24" s="1"/>
  <c r="I6" i="24" s="1"/>
  <c r="J6" i="24" s="1"/>
  <c r="K6" i="24" s="1"/>
  <c r="D6" i="24"/>
  <c r="N62" i="38"/>
  <c r="N60" i="38"/>
  <c r="N59" i="38"/>
  <c r="E50" i="38"/>
  <c r="F47" i="38"/>
  <c r="E47" i="38"/>
  <c r="E34" i="38"/>
  <c r="F48" i="38"/>
  <c r="I24" i="38"/>
  <c r="I45" i="38" s="1"/>
  <c r="I23" i="38"/>
  <c r="I44" i="38" s="1"/>
  <c r="H23" i="38"/>
  <c r="H24" i="38" s="1"/>
  <c r="H45" i="38" s="1"/>
  <c r="G23" i="38"/>
  <c r="F23" i="38"/>
  <c r="F44" i="38" s="1"/>
  <c r="E23" i="38"/>
  <c r="E44" i="38" s="1"/>
  <c r="E22" i="38"/>
  <c r="E32" i="38" s="1"/>
  <c r="I19" i="38"/>
  <c r="I39" i="38" s="1"/>
  <c r="H19" i="38"/>
  <c r="G19" i="38"/>
  <c r="G39" i="38" s="1"/>
  <c r="F19" i="38"/>
  <c r="F39" i="38" s="1"/>
  <c r="E19" i="38"/>
  <c r="E39" i="38" s="1"/>
  <c r="I16" i="38"/>
  <c r="I36" i="38" s="1"/>
  <c r="H16" i="38"/>
  <c r="G16" i="38"/>
  <c r="G36" i="38" s="1"/>
  <c r="F16" i="38"/>
  <c r="F36" i="38" s="1"/>
  <c r="E16" i="38"/>
  <c r="E36" i="38" s="1"/>
  <c r="I13" i="38"/>
  <c r="H13" i="38"/>
  <c r="G13" i="38"/>
  <c r="F13" i="38"/>
  <c r="F33" i="38" s="1"/>
  <c r="E13" i="38"/>
  <c r="F12" i="38"/>
  <c r="G12" i="38" s="1"/>
  <c r="K11" i="38"/>
  <c r="L11" i="38" s="1"/>
  <c r="M11" i="38" s="1"/>
  <c r="N11" i="38" s="1"/>
  <c r="N62" i="37"/>
  <c r="N60" i="37"/>
  <c r="N59" i="37"/>
  <c r="E50" i="37"/>
  <c r="G47" i="37"/>
  <c r="E47" i="37"/>
  <c r="G44" i="37"/>
  <c r="E34" i="37"/>
  <c r="H33" i="37"/>
  <c r="H47" i="37"/>
  <c r="F47" i="37"/>
  <c r="I23" i="37"/>
  <c r="H23" i="37"/>
  <c r="G23" i="37"/>
  <c r="F23" i="37"/>
  <c r="F44" i="37" s="1"/>
  <c r="E23" i="37"/>
  <c r="E22" i="37"/>
  <c r="E32" i="37" s="1"/>
  <c r="I19" i="37"/>
  <c r="H19" i="37"/>
  <c r="H39" i="37" s="1"/>
  <c r="G19" i="37"/>
  <c r="G39" i="37" s="1"/>
  <c r="F19" i="37"/>
  <c r="F39" i="37" s="1"/>
  <c r="E19" i="37"/>
  <c r="I16" i="37"/>
  <c r="H16" i="37"/>
  <c r="H36" i="37" s="1"/>
  <c r="G16" i="37"/>
  <c r="G36" i="37" s="1"/>
  <c r="F16" i="37"/>
  <c r="F36" i="37" s="1"/>
  <c r="E16" i="37"/>
  <c r="I13" i="37"/>
  <c r="I14" i="37" s="1"/>
  <c r="I34" i="37" s="1"/>
  <c r="H13" i="37"/>
  <c r="G13" i="37"/>
  <c r="G33" i="37" s="1"/>
  <c r="F13" i="37"/>
  <c r="F17" i="37" s="1"/>
  <c r="F37" i="37" s="1"/>
  <c r="E13" i="37"/>
  <c r="F12" i="37"/>
  <c r="G12" i="37" s="1"/>
  <c r="K11" i="37"/>
  <c r="L11" i="37" s="1"/>
  <c r="M11" i="37" s="1"/>
  <c r="N11" i="37" s="1"/>
  <c r="N62" i="36"/>
  <c r="N60" i="36"/>
  <c r="N59" i="36"/>
  <c r="E50" i="36"/>
  <c r="H47" i="36"/>
  <c r="I44" i="36"/>
  <c r="H44" i="36"/>
  <c r="G44" i="36"/>
  <c r="E34" i="36"/>
  <c r="E33" i="36"/>
  <c r="E30" i="36"/>
  <c r="E51" i="36" s="1"/>
  <c r="I24" i="36"/>
  <c r="I45" i="36" s="1"/>
  <c r="E24" i="36"/>
  <c r="E45" i="36" s="1"/>
  <c r="I23" i="36"/>
  <c r="H23" i="36"/>
  <c r="G23" i="36"/>
  <c r="G24" i="36" s="1"/>
  <c r="G45" i="36" s="1"/>
  <c r="F23" i="36"/>
  <c r="F44" i="36" s="1"/>
  <c r="E23" i="36"/>
  <c r="E44" i="36" s="1"/>
  <c r="E22" i="36"/>
  <c r="E32" i="36" s="1"/>
  <c r="I19" i="36"/>
  <c r="I20" i="36" s="1"/>
  <c r="I40" i="36" s="1"/>
  <c r="H19" i="36"/>
  <c r="G19" i="36"/>
  <c r="G39" i="36" s="1"/>
  <c r="F19" i="36"/>
  <c r="F39" i="36" s="1"/>
  <c r="E19" i="36"/>
  <c r="E20" i="36" s="1"/>
  <c r="E40" i="36" s="1"/>
  <c r="I16" i="36"/>
  <c r="H16" i="36"/>
  <c r="H36" i="36" s="1"/>
  <c r="G16" i="36"/>
  <c r="G36" i="36" s="1"/>
  <c r="F16" i="36"/>
  <c r="F36" i="36" s="1"/>
  <c r="E16" i="36"/>
  <c r="I13" i="36"/>
  <c r="H13" i="36"/>
  <c r="G13" i="36"/>
  <c r="G33" i="36" s="1"/>
  <c r="F13" i="36"/>
  <c r="F33" i="36" s="1"/>
  <c r="E13" i="36"/>
  <c r="F12" i="36"/>
  <c r="K11" i="36"/>
  <c r="L11" i="36" s="1"/>
  <c r="M11" i="36" s="1"/>
  <c r="N11" i="36" s="1"/>
  <c r="N59" i="25"/>
  <c r="N60" i="25"/>
  <c r="N62" i="25"/>
  <c r="E50" i="25"/>
  <c r="E34" i="25"/>
  <c r="H27" i="25"/>
  <c r="H48" i="25" s="1"/>
  <c r="H47" i="25"/>
  <c r="F47" i="25"/>
  <c r="I24" i="25"/>
  <c r="I45" i="25" s="1"/>
  <c r="I23" i="25"/>
  <c r="I44" i="25" s="1"/>
  <c r="H23" i="25"/>
  <c r="H24" i="25" s="1"/>
  <c r="H45" i="25" s="1"/>
  <c r="G23" i="25"/>
  <c r="G24" i="25" s="1"/>
  <c r="G45" i="25" s="1"/>
  <c r="F23" i="25"/>
  <c r="F44" i="25" s="1"/>
  <c r="E23" i="25"/>
  <c r="E44" i="25" s="1"/>
  <c r="E22" i="25"/>
  <c r="E32" i="25" s="1"/>
  <c r="I19" i="25"/>
  <c r="H19" i="25"/>
  <c r="G19" i="25"/>
  <c r="G39" i="25" s="1"/>
  <c r="F19" i="25"/>
  <c r="F39" i="25" s="1"/>
  <c r="E19" i="25"/>
  <c r="I16" i="25"/>
  <c r="I17" i="25" s="1"/>
  <c r="I37" i="25" s="1"/>
  <c r="H16" i="25"/>
  <c r="H17" i="25" s="1"/>
  <c r="H37" i="25" s="1"/>
  <c r="G16" i="25"/>
  <c r="G36" i="25" s="1"/>
  <c r="F16" i="25"/>
  <c r="F36" i="25" s="1"/>
  <c r="E16" i="25"/>
  <c r="E17" i="25" s="1"/>
  <c r="E37" i="25" s="1"/>
  <c r="I13" i="25"/>
  <c r="H13" i="25"/>
  <c r="G13" i="25"/>
  <c r="G33" i="25" s="1"/>
  <c r="F13" i="25"/>
  <c r="F33" i="25" s="1"/>
  <c r="E13" i="25"/>
  <c r="E30" i="25" s="1"/>
  <c r="E51" i="25" s="1"/>
  <c r="F12" i="25"/>
  <c r="F22" i="25" s="1"/>
  <c r="F32" i="25" s="1"/>
  <c r="K11" i="25"/>
  <c r="L11" i="25" s="1"/>
  <c r="M11" i="25" s="1"/>
  <c r="N11" i="25" s="1"/>
  <c r="N28" i="39"/>
  <c r="N27" i="39"/>
  <c r="P28" i="39"/>
  <c r="K16" i="39"/>
  <c r="O25" i="39"/>
  <c r="P26" i="39"/>
  <c r="L11" i="39"/>
  <c r="L15" i="39"/>
  <c r="K11" i="39"/>
  <c r="N25" i="39"/>
  <c r="Q26" i="39"/>
  <c r="L23" i="39"/>
  <c r="L27" i="39"/>
  <c r="L26" i="39"/>
  <c r="K28" i="39"/>
  <c r="K27" i="39"/>
  <c r="P23" i="39"/>
  <c r="P25" i="39"/>
  <c r="O23" i="39"/>
  <c r="Q27" i="39"/>
  <c r="O24" i="39"/>
  <c r="N24" i="39"/>
  <c r="M26" i="39"/>
  <c r="M27" i="39"/>
  <c r="P24" i="39"/>
  <c r="L25" i="39"/>
  <c r="M24" i="39"/>
  <c r="K26" i="39"/>
  <c r="K12" i="39"/>
  <c r="M25" i="39"/>
  <c r="K13" i="39"/>
  <c r="Q24" i="39"/>
  <c r="M23" i="39"/>
  <c r="Q23" i="39"/>
  <c r="O27" i="39"/>
  <c r="Q28" i="39"/>
  <c r="O26" i="39"/>
  <c r="K14" i="39"/>
  <c r="K24" i="39"/>
  <c r="Q25" i="39"/>
  <c r="L28" i="39"/>
  <c r="K25" i="39"/>
  <c r="M28" i="39"/>
  <c r="P27" i="39"/>
  <c r="L24" i="39"/>
  <c r="N23" i="39"/>
  <c r="K15" i="39"/>
  <c r="K22" i="39"/>
  <c r="O28" i="39"/>
  <c r="N26" i="39"/>
  <c r="G14" i="38" l="1"/>
  <c r="G34" i="38" s="1"/>
  <c r="G33" i="38"/>
  <c r="G24" i="38"/>
  <c r="G45" i="38" s="1"/>
  <c r="G44" i="38"/>
  <c r="F20" i="25"/>
  <c r="F40" i="25" s="1"/>
  <c r="H20" i="36"/>
  <c r="H40" i="36" s="1"/>
  <c r="H39" i="36"/>
  <c r="E44" i="37"/>
  <c r="E24" i="37"/>
  <c r="E45" i="37" s="1"/>
  <c r="I44" i="37"/>
  <c r="I24" i="37"/>
  <c r="I45" i="37" s="1"/>
  <c r="L6" i="24"/>
  <c r="K13" i="24"/>
  <c r="K20" i="24" s="1"/>
  <c r="G17" i="36"/>
  <c r="G37" i="36" s="1"/>
  <c r="E27" i="37"/>
  <c r="E48" i="37" s="1"/>
  <c r="F14" i="25"/>
  <c r="F34" i="25" s="1"/>
  <c r="G44" i="25"/>
  <c r="H14" i="36"/>
  <c r="H34" i="36" s="1"/>
  <c r="I17" i="37"/>
  <c r="I37" i="37" s="1"/>
  <c r="E13" i="24"/>
  <c r="E20" i="24" s="1"/>
  <c r="E47" i="25"/>
  <c r="I13" i="24"/>
  <c r="I20" i="24" s="1"/>
  <c r="F27" i="37"/>
  <c r="F48" i="37" s="1"/>
  <c r="H14" i="25"/>
  <c r="H34" i="25" s="1"/>
  <c r="F17" i="25"/>
  <c r="F37" i="25" s="1"/>
  <c r="H20" i="25"/>
  <c r="H40" i="25" s="1"/>
  <c r="H33" i="25"/>
  <c r="I14" i="36"/>
  <c r="I34" i="36" s="1"/>
  <c r="H24" i="36"/>
  <c r="H45" i="36" s="1"/>
  <c r="G27" i="36"/>
  <c r="G48" i="36" s="1"/>
  <c r="H33" i="36"/>
  <c r="I39" i="36"/>
  <c r="E20" i="37"/>
  <c r="E40" i="37" s="1"/>
  <c r="I20" i="37"/>
  <c r="I40" i="37" s="1"/>
  <c r="I20" i="38"/>
  <c r="I40" i="38" s="1"/>
  <c r="H17" i="38"/>
  <c r="H37" i="38" s="1"/>
  <c r="H47" i="38"/>
  <c r="G13" i="24"/>
  <c r="G20" i="24" s="1"/>
  <c r="G27" i="37"/>
  <c r="G48" i="37" s="1"/>
  <c r="J13" i="24"/>
  <c r="J20" i="24" s="1"/>
  <c r="E17" i="37"/>
  <c r="E37" i="37" s="1"/>
  <c r="H14" i="38"/>
  <c r="H34" i="38" s="1"/>
  <c r="H33" i="38"/>
  <c r="I14" i="25"/>
  <c r="I34" i="25" s="1"/>
  <c r="E20" i="25"/>
  <c r="E40" i="25" s="1"/>
  <c r="I20" i="25"/>
  <c r="I40" i="25" s="1"/>
  <c r="E24" i="25"/>
  <c r="E45" i="25" s="1"/>
  <c r="I17" i="36"/>
  <c r="I37" i="36" s="1"/>
  <c r="I33" i="36"/>
  <c r="H14" i="37"/>
  <c r="H34" i="37" s="1"/>
  <c r="H24" i="37"/>
  <c r="H45" i="37" s="1"/>
  <c r="H20" i="38"/>
  <c r="H40" i="38" s="1"/>
  <c r="E24" i="38"/>
  <c r="E45" i="38" s="1"/>
  <c r="F13" i="24"/>
  <c r="F20" i="24" s="1"/>
  <c r="E17" i="36"/>
  <c r="E37" i="36" s="1"/>
  <c r="N5" i="41"/>
  <c r="J18" i="26"/>
  <c r="K18" i="26" s="1"/>
  <c r="L18" i="26" s="1"/>
  <c r="M18" i="26" s="1"/>
  <c r="N18" i="26" s="1"/>
  <c r="O18" i="26" s="1"/>
  <c r="F21" i="26"/>
  <c r="G22" i="26" s="1"/>
  <c r="E18" i="26"/>
  <c r="I22" i="26"/>
  <c r="F18" i="26"/>
  <c r="H22" i="26"/>
  <c r="J12" i="26"/>
  <c r="J16" i="26" s="1"/>
  <c r="G4" i="26"/>
  <c r="G47" i="25"/>
  <c r="I27" i="37"/>
  <c r="I48" i="37" s="1"/>
  <c r="G27" i="38"/>
  <c r="G48" i="38" s="1"/>
  <c r="E27" i="36"/>
  <c r="E48" i="36" s="1"/>
  <c r="I27" i="38"/>
  <c r="I48" i="38" s="1"/>
  <c r="I27" i="36"/>
  <c r="I48" i="36" s="1"/>
  <c r="G22" i="38"/>
  <c r="G32" i="38" s="1"/>
  <c r="H12" i="38"/>
  <c r="F14" i="38"/>
  <c r="F34" i="38" s="1"/>
  <c r="F17" i="38"/>
  <c r="F37" i="38" s="1"/>
  <c r="H39" i="38"/>
  <c r="G17" i="38"/>
  <c r="G37" i="38" s="1"/>
  <c r="G20" i="38"/>
  <c r="G40" i="38" s="1"/>
  <c r="F24" i="38"/>
  <c r="F45" i="38" s="1"/>
  <c r="E48" i="38"/>
  <c r="E33" i="38"/>
  <c r="I33" i="38"/>
  <c r="H44" i="38"/>
  <c r="F20" i="38"/>
  <c r="F40" i="38" s="1"/>
  <c r="H36" i="38"/>
  <c r="F22" i="38"/>
  <c r="F32" i="38" s="1"/>
  <c r="E30" i="38"/>
  <c r="E51" i="38" s="1"/>
  <c r="I14" i="38"/>
  <c r="I34" i="38" s="1"/>
  <c r="E17" i="38"/>
  <c r="E37" i="38" s="1"/>
  <c r="I17" i="38"/>
  <c r="I37" i="38" s="1"/>
  <c r="E20" i="38"/>
  <c r="E40" i="38" s="1"/>
  <c r="G22" i="37"/>
  <c r="G32" i="37" s="1"/>
  <c r="H12" i="37"/>
  <c r="F14" i="37"/>
  <c r="F34" i="37" s="1"/>
  <c r="G14" i="37"/>
  <c r="G34" i="37" s="1"/>
  <c r="G17" i="37"/>
  <c r="G37" i="37" s="1"/>
  <c r="G20" i="37"/>
  <c r="G40" i="37" s="1"/>
  <c r="F24" i="37"/>
  <c r="F45" i="37" s="1"/>
  <c r="E33" i="37"/>
  <c r="I33" i="37"/>
  <c r="E36" i="37"/>
  <c r="I36" i="37"/>
  <c r="E39" i="37"/>
  <c r="I39" i="37"/>
  <c r="H44" i="37"/>
  <c r="F20" i="37"/>
  <c r="F40" i="37" s="1"/>
  <c r="H17" i="37"/>
  <c r="H37" i="37" s="1"/>
  <c r="H20" i="37"/>
  <c r="H40" i="37" s="1"/>
  <c r="F22" i="37"/>
  <c r="F32" i="37" s="1"/>
  <c r="G24" i="37"/>
  <c r="G45" i="37" s="1"/>
  <c r="E30" i="37"/>
  <c r="E51" i="37" s="1"/>
  <c r="F33" i="37"/>
  <c r="F47" i="36"/>
  <c r="F27" i="36"/>
  <c r="F48" i="36" s="1"/>
  <c r="G12" i="36"/>
  <c r="F22" i="36"/>
  <c r="F32" i="36" s="1"/>
  <c r="F14" i="36"/>
  <c r="F34" i="36" s="1"/>
  <c r="H17" i="36"/>
  <c r="H37" i="36" s="1"/>
  <c r="E36" i="36"/>
  <c r="G14" i="36"/>
  <c r="G34" i="36" s="1"/>
  <c r="F20" i="36"/>
  <c r="F40" i="36" s="1"/>
  <c r="F24" i="36"/>
  <c r="F45" i="36" s="1"/>
  <c r="F17" i="36"/>
  <c r="F37" i="36" s="1"/>
  <c r="G20" i="36"/>
  <c r="G40" i="36" s="1"/>
  <c r="I36" i="36"/>
  <c r="E39" i="36"/>
  <c r="H36" i="25"/>
  <c r="H39" i="25"/>
  <c r="G14" i="25"/>
  <c r="G34" i="25" s="1"/>
  <c r="G17" i="25"/>
  <c r="G37" i="25" s="1"/>
  <c r="G20" i="25"/>
  <c r="G40" i="25" s="1"/>
  <c r="F24" i="25"/>
  <c r="F45" i="25" s="1"/>
  <c r="E48" i="25"/>
  <c r="I27" i="25"/>
  <c r="I48" i="25" s="1"/>
  <c r="E33" i="25"/>
  <c r="I33" i="25"/>
  <c r="E36" i="25"/>
  <c r="I36" i="25"/>
  <c r="E39" i="25"/>
  <c r="I39" i="25"/>
  <c r="H44" i="25"/>
  <c r="G12" i="25"/>
  <c r="F27" i="25"/>
  <c r="F48" i="25" s="1"/>
  <c r="M6" i="24" l="1"/>
  <c r="M13" i="24" s="1"/>
  <c r="M20" i="24" s="1"/>
  <c r="L13" i="24"/>
  <c r="L20" i="24" s="1"/>
  <c r="F22" i="26"/>
  <c r="H4" i="26"/>
  <c r="G8" i="26"/>
  <c r="G12" i="26" s="1"/>
  <c r="G16" i="26" s="1"/>
  <c r="G20" i="26" s="1"/>
  <c r="H22" i="38"/>
  <c r="H32" i="38" s="1"/>
  <c r="I12" i="38"/>
  <c r="H22" i="37"/>
  <c r="H32" i="37" s="1"/>
  <c r="I12" i="37"/>
  <c r="G22" i="36"/>
  <c r="G32" i="36" s="1"/>
  <c r="H12" i="36"/>
  <c r="G22" i="25"/>
  <c r="G32" i="25" s="1"/>
  <c r="H12" i="25"/>
  <c r="I4" i="26" l="1"/>
  <c r="H8" i="26"/>
  <c r="H12" i="26" s="1"/>
  <c r="H16" i="26" s="1"/>
  <c r="H20" i="26" s="1"/>
  <c r="J12" i="38"/>
  <c r="I22" i="38"/>
  <c r="I32" i="38" s="1"/>
  <c r="J12" i="37"/>
  <c r="I22" i="37"/>
  <c r="I32" i="37" s="1"/>
  <c r="I12" i="36"/>
  <c r="H22" i="36"/>
  <c r="H32" i="36" s="1"/>
  <c r="H22" i="25"/>
  <c r="H32" i="25" s="1"/>
  <c r="I12" i="25"/>
  <c r="K4" i="26" l="1"/>
  <c r="K5" i="26" s="1"/>
  <c r="K6" i="26" s="1"/>
  <c r="I8" i="26"/>
  <c r="I12" i="26" s="1"/>
  <c r="I16" i="26" s="1"/>
  <c r="I20" i="26" s="1"/>
  <c r="K12" i="38"/>
  <c r="J22" i="38"/>
  <c r="J32" i="38" s="1"/>
  <c r="K12" i="37"/>
  <c r="J22" i="37"/>
  <c r="J32" i="37" s="1"/>
  <c r="J12" i="36"/>
  <c r="I22" i="36"/>
  <c r="I32" i="36" s="1"/>
  <c r="I22" i="25"/>
  <c r="I32" i="25" s="1"/>
  <c r="J12" i="25"/>
  <c r="J22" i="25" s="1"/>
  <c r="J32" i="25" s="1"/>
  <c r="L4" i="26" l="1"/>
  <c r="L5" i="26" s="1"/>
  <c r="L6" i="26" s="1"/>
  <c r="K8" i="26"/>
  <c r="K22" i="38"/>
  <c r="K32" i="38" s="1"/>
  <c r="L12" i="38"/>
  <c r="K22" i="37"/>
  <c r="K32" i="37" s="1"/>
  <c r="L12" i="37"/>
  <c r="K12" i="36"/>
  <c r="J22" i="36"/>
  <c r="J32" i="36" s="1"/>
  <c r="K12" i="25"/>
  <c r="K22" i="25" s="1"/>
  <c r="K32" i="25" s="1"/>
  <c r="K12" i="26" l="1"/>
  <c r="K9" i="26"/>
  <c r="M4" i="26"/>
  <c r="M5" i="26" s="1"/>
  <c r="M6" i="26" s="1"/>
  <c r="L8" i="26"/>
  <c r="M12" i="38"/>
  <c r="L22" i="38"/>
  <c r="L32" i="38" s="1"/>
  <c r="M12" i="37"/>
  <c r="L22" i="37"/>
  <c r="L32" i="37" s="1"/>
  <c r="K22" i="36"/>
  <c r="K32" i="36" s="1"/>
  <c r="L12" i="36"/>
  <c r="L12" i="25"/>
  <c r="L22" i="25" s="1"/>
  <c r="L32" i="25" s="1"/>
  <c r="L12" i="26" l="1"/>
  <c r="L9" i="26"/>
  <c r="K16" i="26"/>
  <c r="K13" i="26"/>
  <c r="N4" i="26"/>
  <c r="N5" i="26" s="1"/>
  <c r="N6" i="26" s="1"/>
  <c r="M8" i="26"/>
  <c r="N12" i="38"/>
  <c r="N22" i="38" s="1"/>
  <c r="N32" i="38" s="1"/>
  <c r="M22" i="38"/>
  <c r="M32" i="38" s="1"/>
  <c r="N12" i="37"/>
  <c r="N22" i="37" s="1"/>
  <c r="N32" i="37" s="1"/>
  <c r="M22" i="37"/>
  <c r="M32" i="37" s="1"/>
  <c r="L22" i="36"/>
  <c r="L32" i="36" s="1"/>
  <c r="M12" i="36"/>
  <c r="M12" i="25"/>
  <c r="M22" i="25" s="1"/>
  <c r="M32" i="25" s="1"/>
  <c r="K20" i="26" l="1"/>
  <c r="K17" i="26"/>
  <c r="K21" i="26" s="1"/>
  <c r="M12" i="26"/>
  <c r="M9" i="26"/>
  <c r="L16" i="26"/>
  <c r="L13" i="26"/>
  <c r="O4" i="26"/>
  <c r="N8" i="26"/>
  <c r="M22" i="36"/>
  <c r="M32" i="36" s="1"/>
  <c r="N12" i="36"/>
  <c r="N22" i="36" s="1"/>
  <c r="N32" i="36" s="1"/>
  <c r="N12" i="25"/>
  <c r="N22" i="25" s="1"/>
  <c r="N32" i="25" s="1"/>
  <c r="J13" i="25" l="1"/>
  <c r="K22" i="26"/>
  <c r="N12" i="26"/>
  <c r="N9" i="26"/>
  <c r="O8" i="26"/>
  <c r="O5" i="26"/>
  <c r="O6" i="26" s="1"/>
  <c r="M16" i="26"/>
  <c r="M13" i="26"/>
  <c r="J14" i="25"/>
  <c r="J34" i="25" s="1"/>
  <c r="J33" i="25"/>
  <c r="L20" i="26"/>
  <c r="L17" i="26"/>
  <c r="L21" i="26" s="1"/>
  <c r="N62" i="21"/>
  <c r="N60" i="21"/>
  <c r="N59" i="21"/>
  <c r="E50" i="21"/>
  <c r="G47" i="21"/>
  <c r="E47" i="21"/>
  <c r="E34" i="21"/>
  <c r="I47" i="21"/>
  <c r="H47" i="21"/>
  <c r="G27" i="21"/>
  <c r="G48" i="21" s="1"/>
  <c r="F47" i="21"/>
  <c r="I23" i="21"/>
  <c r="I44" i="21" s="1"/>
  <c r="H23" i="21"/>
  <c r="G23" i="21"/>
  <c r="G44" i="21" s="1"/>
  <c r="F23" i="21"/>
  <c r="F44" i="21" s="1"/>
  <c r="E23" i="21"/>
  <c r="E44" i="21" s="1"/>
  <c r="E22" i="21"/>
  <c r="E32" i="21" s="1"/>
  <c r="I19" i="21"/>
  <c r="H19" i="21"/>
  <c r="H39" i="21" s="1"/>
  <c r="G19" i="21"/>
  <c r="G39" i="21" s="1"/>
  <c r="F19" i="21"/>
  <c r="F39" i="21" s="1"/>
  <c r="E19" i="21"/>
  <c r="I16" i="21"/>
  <c r="H16" i="21"/>
  <c r="G16" i="21"/>
  <c r="G36" i="21" s="1"/>
  <c r="F16" i="21"/>
  <c r="F36" i="21" s="1"/>
  <c r="E16" i="21"/>
  <c r="I13" i="21"/>
  <c r="H13" i="21"/>
  <c r="H33" i="21" s="1"/>
  <c r="G13" i="21"/>
  <c r="G33" i="21" s="1"/>
  <c r="F13" i="21"/>
  <c r="F33" i="21" s="1"/>
  <c r="E13" i="21"/>
  <c r="G12" i="21"/>
  <c r="G22" i="21" s="1"/>
  <c r="G32" i="21" s="1"/>
  <c r="F12" i="21"/>
  <c r="F22" i="21" s="1"/>
  <c r="F32" i="21" s="1"/>
  <c r="L11" i="21"/>
  <c r="M11" i="21" s="1"/>
  <c r="N11" i="21" s="1"/>
  <c r="K11" i="21"/>
  <c r="K4" i="20"/>
  <c r="L4" i="20" s="1"/>
  <c r="M4" i="20" s="1"/>
  <c r="N4" i="20" s="1"/>
  <c r="E4" i="20"/>
  <c r="F4" i="20" s="1"/>
  <c r="G4" i="20" s="1"/>
  <c r="H4" i="20" s="1"/>
  <c r="F17" i="21" l="1"/>
  <c r="F37" i="21" s="1"/>
  <c r="I14" i="21"/>
  <c r="I34" i="21" s="1"/>
  <c r="E20" i="21"/>
  <c r="E40" i="21" s="1"/>
  <c r="E24" i="21"/>
  <c r="E45" i="21" s="1"/>
  <c r="F14" i="21"/>
  <c r="F34" i="21" s="1"/>
  <c r="H17" i="21"/>
  <c r="H37" i="21" s="1"/>
  <c r="F20" i="21"/>
  <c r="F40" i="21" s="1"/>
  <c r="I24" i="21"/>
  <c r="I45" i="21" s="1"/>
  <c r="K13" i="25"/>
  <c r="L22" i="26"/>
  <c r="E17" i="21"/>
  <c r="E37" i="21" s="1"/>
  <c r="H24" i="21"/>
  <c r="H45" i="21" s="1"/>
  <c r="H27" i="21"/>
  <c r="H48" i="21" s="1"/>
  <c r="J47" i="25"/>
  <c r="J48" i="25" s="1"/>
  <c r="J16" i="25"/>
  <c r="J17" i="25" s="1"/>
  <c r="J37" i="25" s="1"/>
  <c r="J44" i="25"/>
  <c r="J45" i="25" s="1"/>
  <c r="O12" i="26"/>
  <c r="O9" i="26"/>
  <c r="K33" i="25"/>
  <c r="K50" i="25" s="1"/>
  <c r="M20" i="26"/>
  <c r="M17" i="26"/>
  <c r="M21" i="26" s="1"/>
  <c r="N16" i="26"/>
  <c r="N13" i="26"/>
  <c r="C7" i="20"/>
  <c r="L4" i="24" s="1"/>
  <c r="I20" i="21"/>
  <c r="I40" i="21" s="1"/>
  <c r="I17" i="21"/>
  <c r="I37" i="21" s="1"/>
  <c r="G14" i="21"/>
  <c r="G34" i="21" s="1"/>
  <c r="G17" i="21"/>
  <c r="G37" i="21" s="1"/>
  <c r="G20" i="21"/>
  <c r="G40" i="21" s="1"/>
  <c r="F24" i="21"/>
  <c r="F45" i="21" s="1"/>
  <c r="E27" i="21"/>
  <c r="E48" i="21" s="1"/>
  <c r="I27" i="21"/>
  <c r="I48" i="21" s="1"/>
  <c r="E33" i="21"/>
  <c r="I33" i="21"/>
  <c r="E36" i="21"/>
  <c r="I36" i="21"/>
  <c r="E39" i="21"/>
  <c r="I39" i="21"/>
  <c r="H44" i="21"/>
  <c r="H36" i="21"/>
  <c r="H14" i="21"/>
  <c r="H34" i="21" s="1"/>
  <c r="H20" i="21"/>
  <c r="H40" i="21" s="1"/>
  <c r="G24" i="21"/>
  <c r="G45" i="21" s="1"/>
  <c r="F27" i="21"/>
  <c r="F48" i="21" s="1"/>
  <c r="E30" i="21"/>
  <c r="E51" i="21" s="1"/>
  <c r="H12" i="21"/>
  <c r="D5" i="18"/>
  <c r="K5" i="18"/>
  <c r="N62" i="14"/>
  <c r="N60" i="14"/>
  <c r="N59" i="14"/>
  <c r="E50" i="14"/>
  <c r="E47" i="14"/>
  <c r="E34" i="14"/>
  <c r="D9" i="14"/>
  <c r="J36" i="25" l="1"/>
  <c r="L13" i="25"/>
  <c r="M22" i="26"/>
  <c r="J19" i="25"/>
  <c r="J39" i="25" s="1"/>
  <c r="J42" i="25" s="1"/>
  <c r="K47" i="25"/>
  <c r="K48" i="25" s="1"/>
  <c r="K44" i="25"/>
  <c r="K45" i="25" s="1"/>
  <c r="K16" i="25"/>
  <c r="K17" i="25" s="1"/>
  <c r="K37" i="25" s="1"/>
  <c r="K14" i="25"/>
  <c r="K34" i="25" s="1"/>
  <c r="D9" i="37"/>
  <c r="D9" i="38"/>
  <c r="D9" i="36"/>
  <c r="D9" i="25"/>
  <c r="D9" i="21"/>
  <c r="L33" i="25"/>
  <c r="L50" i="25" s="1"/>
  <c r="K36" i="25"/>
  <c r="K19" i="25"/>
  <c r="N20" i="26"/>
  <c r="N17" i="26"/>
  <c r="N21" i="26" s="1"/>
  <c r="O16" i="26"/>
  <c r="O13" i="26"/>
  <c r="L5" i="20"/>
  <c r="L13" i="21" s="1"/>
  <c r="K5" i="20"/>
  <c r="K13" i="21" s="1"/>
  <c r="N5" i="20"/>
  <c r="N13" i="21" s="1"/>
  <c r="M5" i="20"/>
  <c r="M13" i="21" s="1"/>
  <c r="M33" i="21" s="1"/>
  <c r="M50" i="21" s="1"/>
  <c r="J5" i="20"/>
  <c r="J13" i="21" s="1"/>
  <c r="J7" i="24"/>
  <c r="K13" i="36" s="1"/>
  <c r="L11" i="24"/>
  <c r="M7" i="24"/>
  <c r="N13" i="36" s="1"/>
  <c r="L18" i="24"/>
  <c r="I7" i="24"/>
  <c r="J13" i="36" s="1"/>
  <c r="K7" i="24"/>
  <c r="L13" i="36" s="1"/>
  <c r="L7" i="24"/>
  <c r="M13" i="36" s="1"/>
  <c r="N33" i="21"/>
  <c r="N50" i="21" s="1"/>
  <c r="J33" i="21"/>
  <c r="H22" i="21"/>
  <c r="H32" i="21" s="1"/>
  <c r="I12" i="21"/>
  <c r="L5" i="18"/>
  <c r="M5" i="18"/>
  <c r="N5" i="18"/>
  <c r="O5" i="18"/>
  <c r="L6" i="18"/>
  <c r="M6" i="18"/>
  <c r="N6" i="18"/>
  <c r="O6" i="18"/>
  <c r="K6" i="18"/>
  <c r="K7" i="18" s="1"/>
  <c r="E5" i="18"/>
  <c r="F5" i="18"/>
  <c r="G5" i="18"/>
  <c r="C5" i="18"/>
  <c r="F23" i="14"/>
  <c r="G23" i="14"/>
  <c r="H23" i="14"/>
  <c r="I23" i="14"/>
  <c r="E23" i="14"/>
  <c r="F19" i="14"/>
  <c r="G19" i="14"/>
  <c r="H19" i="14"/>
  <c r="I19" i="14"/>
  <c r="E19" i="14"/>
  <c r="F16" i="14"/>
  <c r="G16" i="14"/>
  <c r="H16" i="14"/>
  <c r="I16" i="14"/>
  <c r="E16" i="14"/>
  <c r="F13" i="14"/>
  <c r="G13" i="14"/>
  <c r="H13" i="14"/>
  <c r="I13" i="14"/>
  <c r="E13" i="14"/>
  <c r="M13" i="25" l="1"/>
  <c r="N22" i="26"/>
  <c r="L7" i="18"/>
  <c r="J20" i="25"/>
  <c r="J40" i="25" s="1"/>
  <c r="L16" i="25"/>
  <c r="L19" i="25" s="1"/>
  <c r="L44" i="25"/>
  <c r="L45" i="25" s="1"/>
  <c r="L47" i="25"/>
  <c r="L48" i="25" s="1"/>
  <c r="N7" i="18"/>
  <c r="L14" i="25"/>
  <c r="L34" i="25" s="1"/>
  <c r="J44" i="36"/>
  <c r="J16" i="36"/>
  <c r="J47" i="36"/>
  <c r="N16" i="21"/>
  <c r="N17" i="21" s="1"/>
  <c r="N37" i="21" s="1"/>
  <c r="N47" i="21"/>
  <c r="N48" i="21" s="1"/>
  <c r="N44" i="21"/>
  <c r="N45" i="21" s="1"/>
  <c r="K44" i="36"/>
  <c r="K45" i="36" s="1"/>
  <c r="K47" i="36"/>
  <c r="K48" i="36" s="1"/>
  <c r="K16" i="36"/>
  <c r="J44" i="21"/>
  <c r="J16" i="21"/>
  <c r="J47" i="21"/>
  <c r="J48" i="21" s="1"/>
  <c r="L33" i="21"/>
  <c r="L50" i="21" s="1"/>
  <c r="L47" i="21"/>
  <c r="L48" i="21" s="1"/>
  <c r="L44" i="21"/>
  <c r="L45" i="21" s="1"/>
  <c r="L16" i="21"/>
  <c r="L19" i="21" s="1"/>
  <c r="L16" i="36"/>
  <c r="L44" i="36"/>
  <c r="L47" i="36"/>
  <c r="K33" i="21"/>
  <c r="K50" i="21" s="1"/>
  <c r="K47" i="21"/>
  <c r="K44" i="21"/>
  <c r="K16" i="21"/>
  <c r="K36" i="21" s="1"/>
  <c r="M16" i="36"/>
  <c r="M47" i="36"/>
  <c r="M44" i="36"/>
  <c r="N47" i="36"/>
  <c r="N48" i="36" s="1"/>
  <c r="N44" i="36"/>
  <c r="N45" i="36" s="1"/>
  <c r="N16" i="36"/>
  <c r="M14" i="21"/>
  <c r="M34" i="21" s="1"/>
  <c r="M16" i="21"/>
  <c r="M47" i="21"/>
  <c r="M48" i="21" s="1"/>
  <c r="M44" i="21"/>
  <c r="M45" i="21" s="1"/>
  <c r="K14" i="21"/>
  <c r="K34" i="21" s="1"/>
  <c r="O20" i="26"/>
  <c r="O17" i="26"/>
  <c r="O21" i="26" s="1"/>
  <c r="K20" i="25"/>
  <c r="K40" i="25" s="1"/>
  <c r="K39" i="25"/>
  <c r="K42" i="25" s="1"/>
  <c r="K53" i="25" s="1"/>
  <c r="K54" i="25" s="1"/>
  <c r="M33" i="25"/>
  <c r="M50" i="25" s="1"/>
  <c r="L17" i="25"/>
  <c r="L37" i="25" s="1"/>
  <c r="L36" i="25"/>
  <c r="J33" i="36"/>
  <c r="J45" i="36"/>
  <c r="J48" i="36"/>
  <c r="J14" i="36"/>
  <c r="J34" i="36" s="1"/>
  <c r="K33" i="36"/>
  <c r="K50" i="36" s="1"/>
  <c r="K14" i="36"/>
  <c r="K34" i="36" s="1"/>
  <c r="K45" i="21"/>
  <c r="L14" i="21"/>
  <c r="L34" i="21" s="1"/>
  <c r="K48" i="21"/>
  <c r="I21" i="24"/>
  <c r="J13" i="38" s="1"/>
  <c r="K21" i="24"/>
  <c r="L13" i="38" s="1"/>
  <c r="L21" i="24"/>
  <c r="M13" i="38" s="1"/>
  <c r="J21" i="24"/>
  <c r="K13" i="38" s="1"/>
  <c r="M21" i="24"/>
  <c r="N13" i="38" s="1"/>
  <c r="J45" i="21"/>
  <c r="M48" i="36"/>
  <c r="M33" i="36"/>
  <c r="M50" i="36" s="1"/>
  <c r="M45" i="36"/>
  <c r="M14" i="36"/>
  <c r="M34" i="36" s="1"/>
  <c r="N33" i="36"/>
  <c r="N50" i="36" s="1"/>
  <c r="N14" i="36"/>
  <c r="N34" i="36" s="1"/>
  <c r="N14" i="21"/>
  <c r="N34" i="21" s="1"/>
  <c r="J36" i="21"/>
  <c r="J14" i="21"/>
  <c r="J34" i="21" s="1"/>
  <c r="L14" i="36"/>
  <c r="L34" i="36" s="1"/>
  <c r="L45" i="36"/>
  <c r="L48" i="36"/>
  <c r="L33" i="36"/>
  <c r="L50" i="36" s="1"/>
  <c r="L14" i="24"/>
  <c r="M13" i="37" s="1"/>
  <c r="J14" i="24"/>
  <c r="K13" i="37" s="1"/>
  <c r="M14" i="24"/>
  <c r="N13" i="37" s="1"/>
  <c r="K14" i="24"/>
  <c r="L13" i="37" s="1"/>
  <c r="I14" i="24"/>
  <c r="J13" i="37" s="1"/>
  <c r="J17" i="21"/>
  <c r="J37" i="21" s="1"/>
  <c r="K19" i="21"/>
  <c r="K39" i="21" s="1"/>
  <c r="I22" i="21"/>
  <c r="I32" i="21" s="1"/>
  <c r="J12" i="21"/>
  <c r="G33" i="14"/>
  <c r="E6" i="19"/>
  <c r="G14" i="14"/>
  <c r="G34" i="14" s="1"/>
  <c r="I39" i="14"/>
  <c r="I20" i="14"/>
  <c r="I40" i="14" s="1"/>
  <c r="F44" i="14"/>
  <c r="F24" i="14"/>
  <c r="F45" i="14" s="1"/>
  <c r="E33" i="14"/>
  <c r="E30" i="14"/>
  <c r="E51" i="14" s="1"/>
  <c r="E27" i="14"/>
  <c r="E48" i="14" s="1"/>
  <c r="G36" i="14"/>
  <c r="G17" i="14"/>
  <c r="G37" i="14" s="1"/>
  <c r="G6" i="19"/>
  <c r="I33" i="14"/>
  <c r="I14" i="14"/>
  <c r="I34" i="14" s="1"/>
  <c r="E36" i="14"/>
  <c r="E17" i="14"/>
  <c r="E37" i="14" s="1"/>
  <c r="F36" i="14"/>
  <c r="F17" i="14"/>
  <c r="F37" i="14" s="1"/>
  <c r="G39" i="14"/>
  <c r="G20" i="14"/>
  <c r="G40" i="14" s="1"/>
  <c r="H44" i="14"/>
  <c r="H24" i="14"/>
  <c r="H45" i="14" s="1"/>
  <c r="H36" i="14"/>
  <c r="H17" i="14"/>
  <c r="H37" i="14" s="1"/>
  <c r="E44" i="14"/>
  <c r="E24" i="14"/>
  <c r="E45" i="14" s="1"/>
  <c r="F33" i="14"/>
  <c r="D6" i="19"/>
  <c r="F14" i="14"/>
  <c r="F34" i="14" s="1"/>
  <c r="H39" i="14"/>
  <c r="H20" i="14"/>
  <c r="H40" i="14" s="1"/>
  <c r="I24" i="14"/>
  <c r="I45" i="14" s="1"/>
  <c r="I44" i="14"/>
  <c r="F6" i="19"/>
  <c r="H33" i="14"/>
  <c r="H14" i="14"/>
  <c r="H34" i="14" s="1"/>
  <c r="I36" i="14"/>
  <c r="I17" i="14"/>
  <c r="I37" i="14" s="1"/>
  <c r="E39" i="14"/>
  <c r="E20" i="14"/>
  <c r="E40" i="14" s="1"/>
  <c r="F39" i="14"/>
  <c r="F20" i="14"/>
  <c r="F40" i="14" s="1"/>
  <c r="G44" i="14"/>
  <c r="G24" i="14"/>
  <c r="G45" i="14" s="1"/>
  <c r="H47" i="14"/>
  <c r="O7" i="18"/>
  <c r="O8" i="18" s="1"/>
  <c r="G27" i="14"/>
  <c r="G48" i="14" s="1"/>
  <c r="M7" i="18"/>
  <c r="N8" i="18" s="1"/>
  <c r="L8" i="18"/>
  <c r="F47" i="14"/>
  <c r="F27" i="14"/>
  <c r="F48" i="14" s="1"/>
  <c r="I27" i="14"/>
  <c r="I48" i="14" s="1"/>
  <c r="I47" i="14"/>
  <c r="E22" i="14"/>
  <c r="F12" i="14"/>
  <c r="G12" i="14" s="1"/>
  <c r="N13" i="25" l="1"/>
  <c r="O22" i="26"/>
  <c r="M16" i="25"/>
  <c r="M19" i="25" s="1"/>
  <c r="M44" i="25"/>
  <c r="M45" i="25" s="1"/>
  <c r="M47" i="25"/>
  <c r="M48" i="25" s="1"/>
  <c r="F29" i="14"/>
  <c r="F50" i="14" s="1"/>
  <c r="F29" i="38"/>
  <c r="F29" i="37"/>
  <c r="F29" i="25"/>
  <c r="F29" i="36"/>
  <c r="F29" i="21"/>
  <c r="L36" i="21"/>
  <c r="I29" i="14"/>
  <c r="I50" i="14" s="1"/>
  <c r="I29" i="36"/>
  <c r="I29" i="38"/>
  <c r="I29" i="37"/>
  <c r="I29" i="25"/>
  <c r="I29" i="21"/>
  <c r="H29" i="14"/>
  <c r="H30" i="14" s="1"/>
  <c r="H51" i="14" s="1"/>
  <c r="H29" i="37"/>
  <c r="H29" i="25"/>
  <c r="H29" i="36"/>
  <c r="H29" i="38"/>
  <c r="H29" i="21"/>
  <c r="L17" i="21"/>
  <c r="L37" i="21" s="1"/>
  <c r="M14" i="25"/>
  <c r="M34" i="25" s="1"/>
  <c r="N19" i="21"/>
  <c r="N39" i="21" s="1"/>
  <c r="N42" i="21" s="1"/>
  <c r="N53" i="21" s="1"/>
  <c r="N56" i="21" s="1"/>
  <c r="N57" i="21" s="1"/>
  <c r="N36" i="21"/>
  <c r="J16" i="37"/>
  <c r="J44" i="37"/>
  <c r="J45" i="37" s="1"/>
  <c r="J47" i="37"/>
  <c r="J48" i="37" s="1"/>
  <c r="M47" i="37"/>
  <c r="M48" i="37" s="1"/>
  <c r="M44" i="37"/>
  <c r="M16" i="37"/>
  <c r="M47" i="38"/>
  <c r="M48" i="38" s="1"/>
  <c r="M44" i="38"/>
  <c r="M17" i="21"/>
  <c r="M37" i="21" s="1"/>
  <c r="M19" i="21"/>
  <c r="M36" i="21"/>
  <c r="L16" i="37"/>
  <c r="L44" i="37"/>
  <c r="L47" i="37"/>
  <c r="L48" i="37" s="1"/>
  <c r="L44" i="38"/>
  <c r="L45" i="38" s="1"/>
  <c r="L47" i="38"/>
  <c r="L48" i="38" s="1"/>
  <c r="N44" i="37"/>
  <c r="N47" i="37"/>
  <c r="N48" i="37" s="1"/>
  <c r="N16" i="37"/>
  <c r="N47" i="38"/>
  <c r="N44" i="38"/>
  <c r="J16" i="38"/>
  <c r="J47" i="38"/>
  <c r="J48" i="38" s="1"/>
  <c r="J44" i="38"/>
  <c r="K16" i="37"/>
  <c r="K44" i="37"/>
  <c r="K45" i="37" s="1"/>
  <c r="K47" i="37"/>
  <c r="K48" i="37" s="1"/>
  <c r="K44" i="38"/>
  <c r="K47" i="38"/>
  <c r="K42" i="21"/>
  <c r="K53" i="21"/>
  <c r="K54" i="21" s="1"/>
  <c r="M36" i="25"/>
  <c r="L20" i="25"/>
  <c r="L40" i="25" s="1"/>
  <c r="L39" i="25"/>
  <c r="L42" i="25" s="1"/>
  <c r="L53" i="25" s="1"/>
  <c r="L54" i="25" s="1"/>
  <c r="N33" i="25"/>
  <c r="N50" i="25" s="1"/>
  <c r="N14" i="25"/>
  <c r="N34" i="25" s="1"/>
  <c r="M33" i="38"/>
  <c r="M50" i="38" s="1"/>
  <c r="M14" i="38"/>
  <c r="M34" i="38" s="1"/>
  <c r="M16" i="38"/>
  <c r="M45" i="38"/>
  <c r="J36" i="36"/>
  <c r="J19" i="36"/>
  <c r="J17" i="36"/>
  <c r="J37" i="36" s="1"/>
  <c r="J19" i="21"/>
  <c r="J39" i="21" s="1"/>
  <c r="J42" i="21" s="1"/>
  <c r="J33" i="37"/>
  <c r="J14" i="37"/>
  <c r="J34" i="37" s="1"/>
  <c r="M33" i="37"/>
  <c r="M50" i="37" s="1"/>
  <c r="M14" i="37"/>
  <c r="M34" i="37" s="1"/>
  <c r="M45" i="37"/>
  <c r="L14" i="38"/>
  <c r="L34" i="38" s="1"/>
  <c r="L33" i="38"/>
  <c r="L50" i="38" s="1"/>
  <c r="L16" i="38"/>
  <c r="K36" i="36"/>
  <c r="K19" i="36"/>
  <c r="K17" i="36"/>
  <c r="K37" i="36" s="1"/>
  <c r="M17" i="36"/>
  <c r="M37" i="36" s="1"/>
  <c r="M36" i="36"/>
  <c r="M19" i="36"/>
  <c r="L14" i="37"/>
  <c r="L34" i="37" s="1"/>
  <c r="L45" i="37"/>
  <c r="L33" i="37"/>
  <c r="L50" i="37" s="1"/>
  <c r="L36" i="36"/>
  <c r="L19" i="36"/>
  <c r="L17" i="36"/>
  <c r="L37" i="36" s="1"/>
  <c r="N19" i="36"/>
  <c r="N17" i="36"/>
  <c r="N37" i="36" s="1"/>
  <c r="N36" i="36"/>
  <c r="N16" i="38"/>
  <c r="N14" i="38"/>
  <c r="N34" i="38" s="1"/>
  <c r="N45" i="38"/>
  <c r="N33" i="38"/>
  <c r="N50" i="38" s="1"/>
  <c r="N48" i="38"/>
  <c r="J14" i="38"/>
  <c r="J34" i="38" s="1"/>
  <c r="J33" i="38"/>
  <c r="J45" i="38"/>
  <c r="K33" i="37"/>
  <c r="K50" i="37" s="1"/>
  <c r="K14" i="37"/>
  <c r="K34" i="37" s="1"/>
  <c r="K17" i="21"/>
  <c r="K37" i="21" s="1"/>
  <c r="N33" i="37"/>
  <c r="N50" i="37" s="1"/>
  <c r="N45" i="37"/>
  <c r="N14" i="37"/>
  <c r="N34" i="37" s="1"/>
  <c r="K33" i="38"/>
  <c r="K50" i="38" s="1"/>
  <c r="K14" i="38"/>
  <c r="K34" i="38" s="1"/>
  <c r="K45" i="38"/>
  <c r="K48" i="38"/>
  <c r="K16" i="38"/>
  <c r="K20" i="21"/>
  <c r="K40" i="21" s="1"/>
  <c r="D9" i="19"/>
  <c r="L39" i="21"/>
  <c r="L42" i="21" s="1"/>
  <c r="L53" i="21" s="1"/>
  <c r="L54" i="21" s="1"/>
  <c r="L20" i="21"/>
  <c r="L40" i="21" s="1"/>
  <c r="J22" i="21"/>
  <c r="J32" i="21" s="1"/>
  <c r="K12" i="21"/>
  <c r="G22" i="14"/>
  <c r="G32" i="14" s="1"/>
  <c r="H12" i="14"/>
  <c r="F22" i="14"/>
  <c r="E9" i="19"/>
  <c r="M8" i="18"/>
  <c r="I30" i="14"/>
  <c r="I51" i="14" s="1"/>
  <c r="H27" i="14"/>
  <c r="H48" i="14" s="1"/>
  <c r="F30" i="14"/>
  <c r="F51" i="14" s="1"/>
  <c r="H50" i="14"/>
  <c r="G47" i="14"/>
  <c r="E32" i="14"/>
  <c r="F32" i="14"/>
  <c r="K11" i="14"/>
  <c r="L11" i="14" s="1"/>
  <c r="M11" i="14" s="1"/>
  <c r="N11" i="14" s="1"/>
  <c r="H50" i="36" l="1"/>
  <c r="H30" i="36"/>
  <c r="H51" i="36" s="1"/>
  <c r="I50" i="21"/>
  <c r="I30" i="21"/>
  <c r="I51" i="21" s="1"/>
  <c r="I50" i="36"/>
  <c r="I30" i="36"/>
  <c r="I51" i="36" s="1"/>
  <c r="F50" i="21"/>
  <c r="F30" i="21"/>
  <c r="F51" i="21" s="1"/>
  <c r="F50" i="38"/>
  <c r="F30" i="38"/>
  <c r="F51" i="38" s="1"/>
  <c r="M17" i="25"/>
  <c r="M37" i="25" s="1"/>
  <c r="H50" i="25"/>
  <c r="H30" i="25"/>
  <c r="H51" i="25" s="1"/>
  <c r="I50" i="25"/>
  <c r="I30" i="25"/>
  <c r="I51" i="25" s="1"/>
  <c r="F50" i="36"/>
  <c r="F30" i="36"/>
  <c r="F51" i="36" s="1"/>
  <c r="G29" i="14"/>
  <c r="G50" i="14" s="1"/>
  <c r="G29" i="37"/>
  <c r="G29" i="25"/>
  <c r="G29" i="36"/>
  <c r="G29" i="38"/>
  <c r="G29" i="21"/>
  <c r="H50" i="38"/>
  <c r="H30" i="38"/>
  <c r="H51" i="38" s="1"/>
  <c r="I50" i="38"/>
  <c r="I30" i="38"/>
  <c r="I51" i="38" s="1"/>
  <c r="F50" i="37"/>
  <c r="F30" i="37"/>
  <c r="F51" i="37" s="1"/>
  <c r="H50" i="21"/>
  <c r="H30" i="21"/>
  <c r="H51" i="21" s="1"/>
  <c r="H50" i="37"/>
  <c r="H30" i="37"/>
  <c r="H51" i="37" s="1"/>
  <c r="I50" i="37"/>
  <c r="I30" i="37"/>
  <c r="I51" i="37" s="1"/>
  <c r="F50" i="25"/>
  <c r="F30" i="25"/>
  <c r="F51" i="25" s="1"/>
  <c r="N47" i="25"/>
  <c r="N48" i="25" s="1"/>
  <c r="N16" i="25"/>
  <c r="N44" i="25"/>
  <c r="N45" i="25" s="1"/>
  <c r="N20" i="21"/>
  <c r="N40" i="21" s="1"/>
  <c r="M20" i="21"/>
  <c r="M40" i="21" s="1"/>
  <c r="M39" i="21"/>
  <c r="M42" i="21" s="1"/>
  <c r="M53" i="21" s="1"/>
  <c r="M54" i="21" s="1"/>
  <c r="J20" i="21"/>
  <c r="J40" i="21" s="1"/>
  <c r="M20" i="25"/>
  <c r="M40" i="25" s="1"/>
  <c r="M39" i="25"/>
  <c r="M42" i="25" s="1"/>
  <c r="M53" i="25" s="1"/>
  <c r="M54" i="25" s="1"/>
  <c r="N19" i="25"/>
  <c r="N36" i="25"/>
  <c r="N17" i="25"/>
  <c r="N37" i="25" s="1"/>
  <c r="L17" i="38"/>
  <c r="L37" i="38" s="1"/>
  <c r="L36" i="38"/>
  <c r="L19" i="38"/>
  <c r="J36" i="37"/>
  <c r="J17" i="37"/>
  <c r="J37" i="37" s="1"/>
  <c r="J19" i="37"/>
  <c r="N54" i="21"/>
  <c r="K17" i="38"/>
  <c r="K37" i="38" s="1"/>
  <c r="K19" i="38"/>
  <c r="K36" i="38"/>
  <c r="N19" i="37"/>
  <c r="N36" i="37"/>
  <c r="N17" i="37"/>
  <c r="N37" i="37" s="1"/>
  <c r="K19" i="37"/>
  <c r="K36" i="37"/>
  <c r="K17" i="37"/>
  <c r="K37" i="37" s="1"/>
  <c r="J17" i="38"/>
  <c r="J37" i="38" s="1"/>
  <c r="J19" i="38"/>
  <c r="J36" i="38"/>
  <c r="N20" i="36"/>
  <c r="N40" i="36" s="1"/>
  <c r="N39" i="36"/>
  <c r="N42" i="36" s="1"/>
  <c r="N53" i="36" s="1"/>
  <c r="M19" i="37"/>
  <c r="M17" i="37"/>
  <c r="M37" i="37" s="1"/>
  <c r="M36" i="37"/>
  <c r="J39" i="36"/>
  <c r="J42" i="36" s="1"/>
  <c r="J20" i="36"/>
  <c r="J40" i="36" s="1"/>
  <c r="M17" i="38"/>
  <c r="M37" i="38" s="1"/>
  <c r="M36" i="38"/>
  <c r="M19" i="38"/>
  <c r="N36" i="38"/>
  <c r="N19" i="38"/>
  <c r="N17" i="38"/>
  <c r="N37" i="38" s="1"/>
  <c r="L19" i="37"/>
  <c r="L36" i="37"/>
  <c r="L17" i="37"/>
  <c r="L37" i="37" s="1"/>
  <c r="M20" i="36"/>
  <c r="M40" i="36" s="1"/>
  <c r="M39" i="36"/>
  <c r="M42" i="36" s="1"/>
  <c r="M53" i="36" s="1"/>
  <c r="M54" i="36" s="1"/>
  <c r="K20" i="36"/>
  <c r="K40" i="36" s="1"/>
  <c r="K39" i="36"/>
  <c r="K42" i="36" s="1"/>
  <c r="K53" i="36" s="1"/>
  <c r="K54" i="36" s="1"/>
  <c r="L20" i="36"/>
  <c r="L40" i="36" s="1"/>
  <c r="L39" i="36"/>
  <c r="L42" i="36" s="1"/>
  <c r="L53" i="36" s="1"/>
  <c r="L54" i="36" s="1"/>
  <c r="K22" i="21"/>
  <c r="K32" i="21" s="1"/>
  <c r="L12" i="21"/>
  <c r="I12" i="14"/>
  <c r="H22" i="14"/>
  <c r="H32" i="14" s="1"/>
  <c r="K6" i="19"/>
  <c r="L13" i="14" s="1"/>
  <c r="L6" i="19"/>
  <c r="M13" i="14" s="1"/>
  <c r="I6" i="19"/>
  <c r="J13" i="14" s="1"/>
  <c r="M6" i="19"/>
  <c r="N13" i="14" s="1"/>
  <c r="J6" i="19"/>
  <c r="K13" i="14" s="1"/>
  <c r="G30" i="14"/>
  <c r="G51" i="14" s="1"/>
  <c r="J51" i="14" s="1"/>
  <c r="J44" i="14" l="1"/>
  <c r="J16" i="14"/>
  <c r="J47" i="14"/>
  <c r="G50" i="21"/>
  <c r="G30" i="21"/>
  <c r="G51" i="21" s="1"/>
  <c r="G30" i="37"/>
  <c r="G51" i="37" s="1"/>
  <c r="J51" i="37" s="1"/>
  <c r="J50" i="37" s="1"/>
  <c r="G50" i="37"/>
  <c r="K44" i="14"/>
  <c r="K16" i="14"/>
  <c r="K47" i="14"/>
  <c r="L47" i="14"/>
  <c r="L48" i="14" s="1"/>
  <c r="L16" i="14"/>
  <c r="L19" i="14" s="1"/>
  <c r="L44" i="14"/>
  <c r="J51" i="21"/>
  <c r="J50" i="21" s="1"/>
  <c r="J53" i="21" s="1"/>
  <c r="J54" i="21" s="1"/>
  <c r="G50" i="38"/>
  <c r="G30" i="38"/>
  <c r="G51" i="38" s="1"/>
  <c r="J51" i="38" s="1"/>
  <c r="J50" i="38" s="1"/>
  <c r="G50" i="25"/>
  <c r="G30" i="25"/>
  <c r="G51" i="25" s="1"/>
  <c r="J51" i="25" s="1"/>
  <c r="J50" i="25" s="1"/>
  <c r="J53" i="25" s="1"/>
  <c r="J54" i="25" s="1"/>
  <c r="M44" i="14"/>
  <c r="M47" i="14"/>
  <c r="M16" i="14"/>
  <c r="N16" i="14"/>
  <c r="N47" i="14"/>
  <c r="N48" i="14" s="1"/>
  <c r="N44" i="14"/>
  <c r="G50" i="36"/>
  <c r="G30" i="36"/>
  <c r="G51" i="36" s="1"/>
  <c r="J51" i="36" s="1"/>
  <c r="J50" i="36" s="1"/>
  <c r="J53" i="36" s="1"/>
  <c r="J54" i="36" s="1"/>
  <c r="N58" i="21"/>
  <c r="F27" i="39" s="1"/>
  <c r="J48" i="14"/>
  <c r="N20" i="25"/>
  <c r="N40" i="25" s="1"/>
  <c r="N39" i="25"/>
  <c r="N42" i="25" s="1"/>
  <c r="N53" i="25" s="1"/>
  <c r="N54" i="36"/>
  <c r="N56" i="36"/>
  <c r="N57" i="36" s="1"/>
  <c r="N20" i="38"/>
  <c r="N40" i="38" s="1"/>
  <c r="N39" i="38"/>
  <c r="N42" i="38" s="1"/>
  <c r="N53" i="38" s="1"/>
  <c r="N20" i="37"/>
  <c r="N40" i="37" s="1"/>
  <c r="N39" i="37"/>
  <c r="N42" i="37" s="1"/>
  <c r="N53" i="37" s="1"/>
  <c r="L20" i="38"/>
  <c r="L40" i="38" s="1"/>
  <c r="L39" i="38"/>
  <c r="L42" i="38" s="1"/>
  <c r="L53" i="38" s="1"/>
  <c r="L54" i="38" s="1"/>
  <c r="M39" i="37"/>
  <c r="M42" i="37" s="1"/>
  <c r="M53" i="37" s="1"/>
  <c r="M54" i="37" s="1"/>
  <c r="M20" i="37"/>
  <c r="M40" i="37" s="1"/>
  <c r="J20" i="38"/>
  <c r="J40" i="38" s="1"/>
  <c r="J39" i="38"/>
  <c r="J42" i="38" s="1"/>
  <c r="K20" i="37"/>
  <c r="K40" i="37" s="1"/>
  <c r="K39" i="37"/>
  <c r="K42" i="37" s="1"/>
  <c r="K53" i="37" s="1"/>
  <c r="K54" i="37" s="1"/>
  <c r="J20" i="37"/>
  <c r="J40" i="37" s="1"/>
  <c r="J39" i="37"/>
  <c r="J42" i="37" s="1"/>
  <c r="L20" i="37"/>
  <c r="L40" i="37" s="1"/>
  <c r="L39" i="37"/>
  <c r="L42" i="37" s="1"/>
  <c r="L53" i="37" s="1"/>
  <c r="L54" i="37" s="1"/>
  <c r="M39" i="38"/>
  <c r="M42" i="38" s="1"/>
  <c r="M53" i="38" s="1"/>
  <c r="M54" i="38" s="1"/>
  <c r="M20" i="38"/>
  <c r="M40" i="38" s="1"/>
  <c r="K39" i="38"/>
  <c r="K42" i="38" s="1"/>
  <c r="K53" i="38" s="1"/>
  <c r="K54" i="38" s="1"/>
  <c r="K20" i="38"/>
  <c r="K40" i="38" s="1"/>
  <c r="M12" i="21"/>
  <c r="L22" i="21"/>
  <c r="L32" i="21" s="1"/>
  <c r="L45" i="14"/>
  <c r="L33" i="14"/>
  <c r="L50" i="14" s="1"/>
  <c r="M48" i="14"/>
  <c r="M14" i="14"/>
  <c r="M34" i="14" s="1"/>
  <c r="M45" i="14"/>
  <c r="M19" i="14"/>
  <c r="M33" i="14"/>
  <c r="M50" i="14" s="1"/>
  <c r="L14" i="14"/>
  <c r="L34" i="14" s="1"/>
  <c r="K33" i="14"/>
  <c r="K50" i="14" s="1"/>
  <c r="K19" i="14"/>
  <c r="K48" i="14"/>
  <c r="K14" i="14"/>
  <c r="K34" i="14" s="1"/>
  <c r="K45" i="14"/>
  <c r="N33" i="14"/>
  <c r="N50" i="14" s="1"/>
  <c r="N45" i="14"/>
  <c r="N19" i="14"/>
  <c r="N14" i="14"/>
  <c r="N34" i="14" s="1"/>
  <c r="J33" i="14"/>
  <c r="J50" i="14" s="1"/>
  <c r="J14" i="14"/>
  <c r="J34" i="14" s="1"/>
  <c r="J45" i="14"/>
  <c r="J12" i="14"/>
  <c r="I22" i="14"/>
  <c r="I32" i="14" s="1"/>
  <c r="J53" i="37" l="1"/>
  <c r="J54" i="37" s="1"/>
  <c r="J53" i="38"/>
  <c r="J54" i="38" s="1"/>
  <c r="N61" i="21"/>
  <c r="N63" i="21" s="1"/>
  <c r="Q5" i="21" s="1"/>
  <c r="C28" i="40"/>
  <c r="N58" i="36"/>
  <c r="N56" i="25"/>
  <c r="N57" i="25" s="1"/>
  <c r="N54" i="25"/>
  <c r="N54" i="38"/>
  <c r="N56" i="38"/>
  <c r="N57" i="38" s="1"/>
  <c r="N54" i="37"/>
  <c r="N56" i="37"/>
  <c r="N57" i="37" s="1"/>
  <c r="M22" i="21"/>
  <c r="M32" i="21" s="1"/>
  <c r="N12" i="21"/>
  <c r="N22" i="21" s="1"/>
  <c r="N32" i="21" s="1"/>
  <c r="K12" i="14"/>
  <c r="J22" i="14"/>
  <c r="N17" i="14"/>
  <c r="N37" i="14" s="1"/>
  <c r="N36" i="14"/>
  <c r="K36" i="14"/>
  <c r="K17" i="14"/>
  <c r="K37" i="14" s="1"/>
  <c r="M17" i="14"/>
  <c r="M37" i="14" s="1"/>
  <c r="M36" i="14"/>
  <c r="L17" i="14"/>
  <c r="L37" i="14" s="1"/>
  <c r="L36" i="14"/>
  <c r="J32" i="14"/>
  <c r="C29" i="40" l="1"/>
  <c r="N58" i="25"/>
  <c r="C4" i="40" s="1"/>
  <c r="N61" i="36"/>
  <c r="C17" i="40" s="1"/>
  <c r="C16" i="40"/>
  <c r="F25" i="39"/>
  <c r="G4" i="21"/>
  <c r="C30" i="40"/>
  <c r="N58" i="37"/>
  <c r="N58" i="38"/>
  <c r="M20" i="14"/>
  <c r="M40" i="14" s="1"/>
  <c r="M39" i="14"/>
  <c r="M42" i="14" s="1"/>
  <c r="M53" i="14" s="1"/>
  <c r="M54" i="14" s="1"/>
  <c r="K20" i="14"/>
  <c r="K40" i="14" s="1"/>
  <c r="K39" i="14"/>
  <c r="K42" i="14" s="1"/>
  <c r="K53" i="14" s="1"/>
  <c r="K54" i="14" s="1"/>
  <c r="L12" i="14"/>
  <c r="K22" i="14"/>
  <c r="K32" i="14" s="1"/>
  <c r="L39" i="14"/>
  <c r="L42" i="14" s="1"/>
  <c r="L53" i="14" s="1"/>
  <c r="L54" i="14" s="1"/>
  <c r="L20" i="14"/>
  <c r="L40" i="14" s="1"/>
  <c r="N20" i="14"/>
  <c r="N40" i="14" s="1"/>
  <c r="N39" i="14"/>
  <c r="N42" i="14" s="1"/>
  <c r="N53" i="14" s="1"/>
  <c r="N61" i="25" l="1"/>
  <c r="N63" i="25" s="1"/>
  <c r="G4" i="25" s="1"/>
  <c r="F23" i="39"/>
  <c r="N63" i="36"/>
  <c r="C18" i="40" s="1"/>
  <c r="C10" i="40"/>
  <c r="F24" i="39"/>
  <c r="K5" i="21"/>
  <c r="C27" i="39"/>
  <c r="C22" i="40"/>
  <c r="F26" i="39"/>
  <c r="N61" i="38"/>
  <c r="C23" i="40" s="1"/>
  <c r="N61" i="37"/>
  <c r="M12" i="14"/>
  <c r="L22" i="14"/>
  <c r="L32" i="14" s="1"/>
  <c r="N56" i="14"/>
  <c r="N57" i="14" s="1"/>
  <c r="N54" i="14"/>
  <c r="L13" i="39"/>
  <c r="L12" i="39"/>
  <c r="C5" i="40" l="1"/>
  <c r="Q5" i="25"/>
  <c r="Q5" i="36"/>
  <c r="G4" i="36"/>
  <c r="K5" i="36" s="1"/>
  <c r="K5" i="25"/>
  <c r="C23" i="39"/>
  <c r="C6" i="40"/>
  <c r="C32" i="40"/>
  <c r="E27" i="39"/>
  <c r="N63" i="37"/>
  <c r="C12" i="40" s="1"/>
  <c r="C11" i="40"/>
  <c r="N63" i="38"/>
  <c r="C24" i="40" s="1"/>
  <c r="N12" i="14"/>
  <c r="N22" i="14" s="1"/>
  <c r="M22" i="14"/>
  <c r="M32" i="14" s="1"/>
  <c r="N32" i="14"/>
  <c r="L14" i="39"/>
  <c r="C25" i="39" l="1"/>
  <c r="Q5" i="37"/>
  <c r="G4" i="37"/>
  <c r="K5" i="37" s="1"/>
  <c r="E23" i="39"/>
  <c r="C8" i="40"/>
  <c r="G4" i="38"/>
  <c r="K5" i="38" s="1"/>
  <c r="Q5" i="38"/>
  <c r="E25" i="39"/>
  <c r="C20" i="40"/>
  <c r="J36" i="14"/>
  <c r="J19" i="14"/>
  <c r="J20" i="14" s="1"/>
  <c r="J40" i="14" s="1"/>
  <c r="J17" i="14"/>
  <c r="J37" i="14" s="1"/>
  <c r="K23" i="39"/>
  <c r="C26" i="39" l="1"/>
  <c r="C24" i="39"/>
  <c r="E24" i="39"/>
  <c r="C14" i="40"/>
  <c r="C26" i="40"/>
  <c r="E26" i="39"/>
  <c r="J39" i="14"/>
  <c r="J42" i="14" s="1"/>
  <c r="J53" i="14" s="1"/>
  <c r="J54" i="14" s="1"/>
  <c r="N58" i="14" s="1"/>
  <c r="L16" i="39"/>
  <c r="F28" i="39" l="1"/>
  <c r="C34" i="40"/>
  <c r="N61" i="14"/>
  <c r="C35" i="40" s="1"/>
  <c r="N63" i="14" l="1"/>
  <c r="G4" i="14" s="1"/>
  <c r="Q5" i="14" l="1"/>
  <c r="C36" i="40"/>
  <c r="K5" i="14"/>
  <c r="C28" i="39"/>
  <c r="E28" i="39" l="1"/>
  <c r="C38" i="4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4BD941-4333-4F10-B065-9CC385607AA2}" keepAlive="1" name="Query - Sheet15" description="Connection to the 'Sheet15' query in the workbook." type="5" refreshedVersion="8" background="1" saveData="1">
    <dbPr connection="Provider=Microsoft.Mashup.OleDb.1;Data Source=$Workbook$;Location=Sheet15;Extended Properties=&quot;&quot;" command="SELECT * FROM [Sheet15]"/>
  </connection>
  <connection id="2" xr16:uid="{EB212E18-5269-44AD-9EE3-9B8EDF50BF2C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A7E4946A-61D0-4501-ACD9-7BE0E8230C31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<sst xmlns="http://schemas.openxmlformats.org/spreadsheetml/2006/main" count="701" uniqueCount="296">
  <si>
    <t>Mar '24</t>
  </si>
  <si>
    <t>Mar '22</t>
  </si>
  <si>
    <t>Mar '21</t>
  </si>
  <si>
    <t>Mar '20</t>
  </si>
  <si>
    <t>Total Rev. Ann.</t>
  </si>
  <si>
    <t>Operating Exp. Ann.</t>
  </si>
  <si>
    <t>Operating Profit Ann.</t>
  </si>
  <si>
    <t>OPM Ann. %</t>
  </si>
  <si>
    <t>Total Exp. Ann.</t>
  </si>
  <si>
    <t>EBIDT Ann.</t>
  </si>
  <si>
    <t>EBIDT Ann. margin %</t>
  </si>
  <si>
    <t>Interest Ann.</t>
  </si>
  <si>
    <t>Depr.</t>
  </si>
  <si>
    <t>PBT Ann.</t>
  </si>
  <si>
    <t>Tax Ann.</t>
  </si>
  <si>
    <t>PAT Before ExtraOrdinary Items Ann.</t>
  </si>
  <si>
    <t>Net Profit Ann.</t>
  </si>
  <si>
    <t>NPM Ann. %</t>
  </si>
  <si>
    <t>EPS Adj. latest Ann.</t>
  </si>
  <si>
    <t>Total ShareHolders Funds Ann.</t>
  </si>
  <si>
    <t>Equity Share Capital Ann.</t>
  </si>
  <si>
    <t>Total Share Capital Ann.</t>
  </si>
  <si>
    <t>Reserves Plus Surplus Ann.</t>
  </si>
  <si>
    <t>Total Reserves Plus Surplus Ann.</t>
  </si>
  <si>
    <t>Minority Interest Liability Ann.</t>
  </si>
  <si>
    <t>Total Non Current Liabilities Ann.</t>
  </si>
  <si>
    <t>Deferred Tax Liabilities Ann.</t>
  </si>
  <si>
    <t>Other LongTerm Liabilities Ann.</t>
  </si>
  <si>
    <t>Total Current Liabilities Ann.</t>
  </si>
  <si>
    <t>Trade Payables Ann.</t>
  </si>
  <si>
    <t>Other Current Liabilities Ann.</t>
  </si>
  <si>
    <t>ST Provisions Ann.</t>
  </si>
  <si>
    <t>Total Capital Plus Liabilities Ann.</t>
  </si>
  <si>
    <t>Fixed Assets Ann.</t>
  </si>
  <si>
    <t>Tangible Assets Ann.</t>
  </si>
  <si>
    <t>Intangible Assets Ann.</t>
  </si>
  <si>
    <t>Capital Work In Progress Ann.</t>
  </si>
  <si>
    <t>Total Non Current Assets Ann.</t>
  </si>
  <si>
    <t>Non Current Investments Ann.</t>
  </si>
  <si>
    <t>Deferred Tax Assets Ann.</t>
  </si>
  <si>
    <t>LT Loans Plus Advances Ann.</t>
  </si>
  <si>
    <t>Other Non Current Assets Ann.</t>
  </si>
  <si>
    <t>Total Current Assets Ann.</t>
  </si>
  <si>
    <t>Current Investments Ann.</t>
  </si>
  <si>
    <t>Trade Receivables Ann.</t>
  </si>
  <si>
    <t>Cash Plus Cash Equivalents Ann.</t>
  </si>
  <si>
    <t>ST Loans Plus Advances Ann.</t>
  </si>
  <si>
    <t>Other Current Assets Ann.</t>
  </si>
  <si>
    <t>Total Assets Ann.</t>
  </si>
  <si>
    <t>Contingent Liabilities plus Commitments Ann.</t>
  </si>
  <si>
    <t>Bonus Equity Share Capital Ann.</t>
  </si>
  <si>
    <t>Non Current Investments Unquoted Book Value Ann.</t>
  </si>
  <si>
    <t>Current Investments Unquoted Book Value Ann.</t>
  </si>
  <si>
    <t>Cash from Operating Act. Ann.</t>
  </si>
  <si>
    <t>Cash from Investing Act. Ann.</t>
  </si>
  <si>
    <t>Cash from Financing Act. Ann.</t>
  </si>
  <si>
    <t>Net Cash Flow Ann.</t>
  </si>
  <si>
    <t>Cash Plus Cash Eqv. Begin Of Year Ann.</t>
  </si>
  <si>
    <t>Cash Plus Cash Eqv. End Of Year Ann.</t>
  </si>
  <si>
    <t>Ticker</t>
  </si>
  <si>
    <t>Implied Share Price</t>
  </si>
  <si>
    <t>Date</t>
  </si>
  <si>
    <t>Today's Share Price</t>
  </si>
  <si>
    <t>Upside (Downside)</t>
  </si>
  <si>
    <t>Assumptions</t>
  </si>
  <si>
    <t>Valuation Assumptions</t>
  </si>
  <si>
    <t>WACC</t>
  </si>
  <si>
    <t>TGR</t>
  </si>
  <si>
    <t>Income Statement</t>
  </si>
  <si>
    <t>Revenue</t>
  </si>
  <si>
    <t>% growth</t>
  </si>
  <si>
    <t>EBIT</t>
  </si>
  <si>
    <t>% of sales</t>
  </si>
  <si>
    <t>Taxes</t>
  </si>
  <si>
    <t>% of EBIT</t>
  </si>
  <si>
    <t>Cash Flow Items</t>
  </si>
  <si>
    <t>D&amp;A</t>
  </si>
  <si>
    <t>CapEx</t>
  </si>
  <si>
    <t>Change in NWC</t>
  </si>
  <si>
    <t>DCF</t>
  </si>
  <si>
    <t>% margin</t>
  </si>
  <si>
    <t>EBIAT</t>
  </si>
  <si>
    <t>Unlevered FCF</t>
  </si>
  <si>
    <t>Present Value of FCF</t>
  </si>
  <si>
    <t>Terminal Value</t>
  </si>
  <si>
    <t>Present Value of Terminal Value</t>
  </si>
  <si>
    <t>Enterprise Value</t>
  </si>
  <si>
    <t>+ Cash</t>
  </si>
  <si>
    <t>- Debt</t>
  </si>
  <si>
    <t>Equity Value</t>
  </si>
  <si>
    <t>Shares</t>
  </si>
  <si>
    <t>Share Price</t>
  </si>
  <si>
    <t>WACC =  (% Equity x Cost of Equity) + (% Debt x Cost of Debt x (1 -Tax rate))</t>
  </si>
  <si>
    <t>Cost of Equity = Risk Free Rate + (Beta x (Expected Market Return - Risk Free Rate))</t>
  </si>
  <si>
    <t>Debt</t>
  </si>
  <si>
    <t>% Debt</t>
  </si>
  <si>
    <t>Cost of Debt</t>
  </si>
  <si>
    <t>Tax Rate</t>
  </si>
  <si>
    <t>% Equity</t>
  </si>
  <si>
    <t>Cost of Equity</t>
  </si>
  <si>
    <t>Risk Free Rate</t>
  </si>
  <si>
    <t>Beta</t>
  </si>
  <si>
    <t>Market Risk Premium</t>
  </si>
  <si>
    <t>Debt + Equity</t>
  </si>
  <si>
    <t>TATAMOTORS</t>
  </si>
  <si>
    <t>NWC</t>
  </si>
  <si>
    <t>TOTAL CURRENT LIABILLITIES</t>
  </si>
  <si>
    <t>TOTAL CRUUENT ASSETS</t>
  </si>
  <si>
    <t>Tata Motors DCF</t>
  </si>
  <si>
    <t xml:space="preserve">Revenue Forecast from Linear Regression Method </t>
  </si>
  <si>
    <t>A (index)</t>
  </si>
  <si>
    <t>B( revenue)</t>
  </si>
  <si>
    <t>Slope</t>
  </si>
  <si>
    <t>Intercept</t>
  </si>
  <si>
    <t>Mar '23</t>
  </si>
  <si>
    <t>Balance Sheet</t>
  </si>
  <si>
    <t>Cash Flow Statement</t>
  </si>
  <si>
    <t>NWC Forecast</t>
  </si>
  <si>
    <t>Change In NWC</t>
  </si>
  <si>
    <t>CapEx Forecast</t>
  </si>
  <si>
    <t xml:space="preserve">Income Statement </t>
  </si>
  <si>
    <t>WACC ↓ \ TGR →</t>
  </si>
  <si>
    <t>Sensitivity Table &amp; Charts</t>
  </si>
  <si>
    <t>CAGR of TATA MOTOR (2019-2024)</t>
  </si>
  <si>
    <t>Projecting Future Revenue Using CAGR</t>
  </si>
  <si>
    <t xml:space="preserve">Year </t>
  </si>
  <si>
    <t xml:space="preserve">Revenue </t>
  </si>
  <si>
    <t>CAGR</t>
  </si>
  <si>
    <t>Senario Revenue Forecast</t>
  </si>
  <si>
    <t>Worst Case: Pessimistic scenario with slower growth or risks</t>
  </si>
  <si>
    <t>Best Case: Optimistic scenario with higher growth due to opportunities</t>
  </si>
  <si>
    <t xml:space="preserve">Base Case:  Expected growth based on historical CAGR </t>
  </si>
  <si>
    <t>Base Case Growth Rate :</t>
  </si>
  <si>
    <t xml:space="preserve">Best Case Growth Rate : </t>
  </si>
  <si>
    <t>Worst Case Growth Rate :</t>
  </si>
  <si>
    <t>% Growth</t>
  </si>
  <si>
    <t>CV</t>
  </si>
  <si>
    <t>PV</t>
  </si>
  <si>
    <t>JLR</t>
  </si>
  <si>
    <t>Others</t>
  </si>
  <si>
    <t>%Growth</t>
  </si>
  <si>
    <t xml:space="preserve">Total </t>
  </si>
  <si>
    <t>Tata Motors – Segment Revenue Forecast (2019–2029E)</t>
  </si>
  <si>
    <t>📌 Tata Motors DCF Valuation – Final Summary</t>
  </si>
  <si>
    <t>Input</t>
  </si>
  <si>
    <t>Value</t>
  </si>
  <si>
    <t>Forecast Period</t>
  </si>
  <si>
    <t>EBIT Margin</t>
  </si>
  <si>
    <t>Method</t>
  </si>
  <si>
    <t>🔹 What Makes This Model Unique</t>
  </si>
  <si>
    <t>✅ Four independent revenue forecast models</t>
  </si>
  <si>
    <t>✅ Segment-wise bottom-up revenue</t>
  </si>
  <si>
    <t>✅ Full integration with CapEx, D&amp;A, NWC projections</t>
  </si>
  <si>
    <t>✅ Professional assumptions based on industry standards</t>
  </si>
  <si>
    <t>✅ Ready for investor-level sensitivity analysis and heatmaps</t>
  </si>
  <si>
    <t>✅ Clean scenario modeling &amp; breakdown by business drivers</t>
  </si>
  <si>
    <t>Metric</t>
  </si>
  <si>
    <t>Enterprise Value (EV)</t>
  </si>
  <si>
    <t>Market Price (as of date)</t>
  </si>
  <si>
    <t>Upside/Downside</t>
  </si>
  <si>
    <t>Upside (%)</t>
  </si>
  <si>
    <t>CAGR-Based</t>
  </si>
  <si>
    <t>Linear Regression</t>
  </si>
  <si>
    <t>Scenario – Base</t>
  </si>
  <si>
    <t>Scenario – Best</t>
  </si>
  <si>
    <t>Scenario – Worst</t>
  </si>
  <si>
    <t>Segment-Based</t>
  </si>
  <si>
    <t xml:space="preserve">Terminal Growth Rate </t>
  </si>
  <si>
    <t>FY25-FY29</t>
  </si>
  <si>
    <t>0.7%(est.)</t>
  </si>
  <si>
    <t xml:space="preserve">Method </t>
  </si>
  <si>
    <t xml:space="preserve">1. Segement Based </t>
  </si>
  <si>
    <t>3. CAGR Based</t>
  </si>
  <si>
    <t>4. Linear Regression</t>
  </si>
  <si>
    <t xml:space="preserve">Description </t>
  </si>
  <si>
    <t>JLR, CV, PV,  Others – bottom-up build</t>
  </si>
  <si>
    <t>Base (7.53%), Best (11.53%), Worst (4.53%)</t>
  </si>
  <si>
    <t>Using 5Y historical CAGR (7.53%)</t>
  </si>
  <si>
    <t>Forecast using regression on revenue trend</t>
  </si>
  <si>
    <t>Sheet</t>
  </si>
  <si>
    <t xml:space="preserve">Tax   Rate </t>
  </si>
  <si>
    <t>CapEx (%reveue)</t>
  </si>
  <si>
    <t>📘 Notes &amp; Disclosures</t>
  </si>
  <si>
    <r>
      <t>FY25 actuals are intentionally excluded</t>
    </r>
    <r>
      <rPr>
        <sz val="11"/>
        <color theme="1"/>
        <rFont val="Calibri"/>
        <family val="2"/>
        <scheme val="minor"/>
      </rPr>
      <t xml:space="preserve"> to preserve a pure forward-looking DCF based on projected fundamentals, not hindsight.</t>
    </r>
  </si>
  <si>
    <t>DCF Sheet</t>
  </si>
  <si>
    <t xml:space="preserve">DCF Sheet </t>
  </si>
  <si>
    <t>Enterprise Value (₹ Cr)</t>
  </si>
  <si>
    <t>Sensitivity Table</t>
  </si>
  <si>
    <t xml:space="preserve">This workbook represents a complete, multi-layered DCF analysis of Tata Motors, incorporating both top-down and bottom-up forecasting logic. </t>
  </si>
  <si>
    <t>It is built to reflect professional investment banking and equity research valuation standards. It is designed to mirror professional investment banking and euqity research valuation standrads.</t>
  </si>
  <si>
    <t>Forecast period: FY25–FY29. Projections from four independent models. FY25 actuals not used.</t>
  </si>
  <si>
    <t xml:space="preserve">2. Scenario Based </t>
  </si>
  <si>
    <t>8.68%(est.)</t>
  </si>
  <si>
    <t>9.22%(est.)</t>
  </si>
  <si>
    <t>Years</t>
  </si>
  <si>
    <t xml:space="preserve">                                                                                                     </t>
  </si>
  <si>
    <t xml:space="preserve">                                    </t>
  </si>
  <si>
    <t xml:space="preserve">            to intrinsic value.</t>
  </si>
  <si>
    <t xml:space="preserve">                   🔹 Revenue Forecasting Methods Used</t>
  </si>
  <si>
    <t xml:space="preserve">       🔹 Key Assumptions </t>
  </si>
  <si>
    <t>✅ GitHub-structured for model + README synergy</t>
  </si>
  <si>
    <t>Segment</t>
  </si>
  <si>
    <t>ScenarioBase</t>
  </si>
  <si>
    <t>ScenarioBest</t>
  </si>
  <si>
    <t>ScenarioWorst</t>
  </si>
  <si>
    <t>LinearRegression</t>
  </si>
  <si>
    <t xml:space="preserve">📉 Valuation Output </t>
  </si>
  <si>
    <t xml:space="preserve">                .</t>
  </si>
  <si>
    <t>🔍 About This Model</t>
  </si>
  <si>
    <r>
      <rPr>
        <b/>
        <u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Model completed in </t>
    </r>
    <r>
      <rPr>
        <b/>
        <sz val="11"/>
        <color theme="1"/>
        <rFont val="Calibri"/>
        <family val="2"/>
        <scheme val="minor"/>
      </rPr>
      <t>June 2025</t>
    </r>
    <r>
      <rPr>
        <sz val="11"/>
        <color theme="1"/>
        <rFont val="Calibri"/>
        <family val="2"/>
        <scheme val="minor"/>
      </rPr>
      <t xml:space="preserve"> using financial data available up to </t>
    </r>
    <r>
      <rPr>
        <b/>
        <sz val="11"/>
        <color theme="1"/>
        <rFont val="Calibri"/>
        <family val="2"/>
        <scheme val="minor"/>
      </rPr>
      <t>FY24</t>
    </r>
    <r>
      <rPr>
        <sz val="11"/>
        <color theme="1"/>
        <rFont val="Calibri"/>
        <family val="2"/>
        <scheme val="minor"/>
      </rPr>
      <t>.</t>
    </r>
  </si>
  <si>
    <t xml:space="preserve">   Valuation Output Table (All Model)</t>
  </si>
  <si>
    <r>
      <rPr>
        <b/>
        <i/>
        <u/>
        <sz val="8"/>
        <color theme="1"/>
        <rFont val="Calibri"/>
        <family val="2"/>
        <scheme val="minor"/>
      </rPr>
      <t>Note</t>
    </r>
    <r>
      <rPr>
        <b/>
        <i/>
        <sz val="8"/>
        <color theme="1"/>
        <rFont val="Calibri"/>
        <family val="2"/>
        <scheme val="minor"/>
      </rPr>
      <t xml:space="preserve">: </t>
    </r>
    <r>
      <rPr>
        <i/>
        <sz val="8"/>
        <color theme="1"/>
        <rFont val="Calibri"/>
        <family val="2"/>
        <scheme val="minor"/>
      </rPr>
      <t>Share price and upside vary across methods  full comparison below</t>
    </r>
  </si>
  <si>
    <r>
      <rPr>
        <b/>
        <i/>
        <sz val="8.5"/>
        <color theme="1"/>
        <rFont val="Calibri"/>
        <family val="2"/>
        <scheme val="minor"/>
      </rPr>
      <t xml:space="preserve"># </t>
    </r>
    <r>
      <rPr>
        <i/>
        <sz val="8.5"/>
        <color theme="1"/>
        <rFont val="Calibri"/>
        <family val="2"/>
        <scheme val="minor"/>
      </rPr>
      <t xml:space="preserve">Each method has its own </t>
    </r>
    <r>
      <rPr>
        <i/>
        <sz val="8.5"/>
        <color theme="1"/>
        <rFont val="Arial Unicode MS"/>
      </rPr>
      <t>DCF</t>
    </r>
    <r>
      <rPr>
        <i/>
        <sz val="8.5"/>
        <color theme="1"/>
        <rFont val="Calibri"/>
        <family val="2"/>
        <scheme val="minor"/>
      </rPr>
      <t xml:space="preserve"> sheet with projected EBIT, taxes, CapEx, NWC,and FCF streams leading </t>
    </r>
  </si>
  <si>
    <r>
      <rPr>
        <b/>
        <i/>
        <u/>
        <sz val="11"/>
        <color theme="1"/>
        <rFont val="Calibri"/>
        <family val="2"/>
        <scheme val="minor"/>
      </rPr>
      <t>📈 Methodology:</t>
    </r>
    <r>
      <rPr>
        <sz val="11"/>
        <color theme="1"/>
        <rFont val="Calibri"/>
        <family val="2"/>
        <scheme val="minor"/>
      </rPr>
      <t xml:space="preserve"> Discounted Cash Flow (DCF) with four revenue forecast approaches</t>
    </r>
  </si>
  <si>
    <r>
      <rPr>
        <b/>
        <i/>
        <u/>
        <sz val="11"/>
        <color theme="1"/>
        <rFont val="Calibri"/>
        <family val="2"/>
        <scheme val="minor"/>
      </rPr>
      <t>🎯 Objective:</t>
    </r>
    <r>
      <rPr>
        <sz val="11"/>
        <color theme="1"/>
        <rFont val="Calibri"/>
        <family val="2"/>
        <scheme val="minor"/>
      </rPr>
      <t xml:space="preserve"> Estimate Tata Motors’ intrinsic value under multiple revenue outlooks using a professional-grade DCF framework</t>
    </r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</si>
  <si>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</si>
  <si>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</si>
  <si>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</si>
  <si>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</si>
  <si>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</si>
  <si>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</si>
  <si>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</si>
  <si>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</si>
  <si>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</si>
  <si>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</si>
  <si>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</si>
  <si>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</si>
  <si>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</si>
  <si>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</si>
  <si>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EPS</t>
  </si>
  <si>
    <t>Price to earning</t>
  </si>
  <si>
    <t>Price</t>
  </si>
  <si>
    <t>RATIOS:</t>
  </si>
  <si>
    <t>Dividend Payout</t>
  </si>
  <si>
    <t>OPM</t>
  </si>
  <si>
    <t>TRENDS:</t>
  </si>
  <si>
    <t>10 YEARS</t>
  </si>
  <si>
    <t>7 YEARS</t>
  </si>
  <si>
    <t>5 YEARS</t>
  </si>
  <si>
    <t>3 YEARS</t>
  </si>
  <si>
    <t>RECENT</t>
  </si>
  <si>
    <t>BEST</t>
  </si>
  <si>
    <t>WORST</t>
  </si>
  <si>
    <t>Sales Growth</t>
  </si>
  <si>
    <t>Price to Earning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</si>
  <si>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</si>
  <si>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</si>
  <si>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</si>
  <si>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</si>
  <si>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</si>
  <si>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</si>
  <si>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</si>
  <si>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</si>
  <si>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</si>
  <si>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Working Capital</t>
  </si>
  <si>
    <t>Debtors</t>
  </si>
  <si>
    <t>Inventory</t>
  </si>
  <si>
    <t>Debtor Days</t>
  </si>
  <si>
    <t>Inventory Turnover</t>
  </si>
  <si>
    <t>Return on Equity</t>
  </si>
  <si>
    <t>Return on Capital Emp</t>
  </si>
  <si>
    <t>Cash from Operating Activity</t>
  </si>
  <si>
    <t>Cash from Investing Activity</t>
  </si>
  <si>
    <t>Cash from Financing Activity</t>
  </si>
  <si>
    <t>Net Cash Flow</t>
  </si>
  <si>
    <t>COMPANY NAME</t>
  </si>
  <si>
    <t>TATA MOTORS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</si>
  <si>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</si>
  <si>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</si>
  <si>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</si>
  <si>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</si>
  <si>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</si>
  <si>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</si>
  <si>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</si>
  <si>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</si>
  <si>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</si>
  <si>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</si>
  <si>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</si>
  <si>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</si>
  <si>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</si>
  <si>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</si>
  <si>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</si>
  <si>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</si>
  <si>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</si>
  <si>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Dividend Amount</t>
  </si>
  <si>
    <t>Quarters</t>
  </si>
  <si>
    <t>BALANCE SHEET</t>
  </si>
  <si>
    <t>Receivables</t>
  </si>
  <si>
    <t>Cash &amp; Bank</t>
  </si>
  <si>
    <t>No. of Equity Shares</t>
  </si>
  <si>
    <t>New Bonus Shares</t>
  </si>
  <si>
    <t>Face value</t>
  </si>
  <si>
    <t>CASH FLOW:</t>
  </si>
  <si>
    <t>PRICE:</t>
  </si>
  <si>
    <t>DERIVED:</t>
  </si>
  <si>
    <t>Adjusted Equity Shares in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</si>
</sst>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3" formatCode="_(* #,##0.00_);_(* \(#,##0.00\);_(* &quot;-&quot;??_);_(@_)"/>
    <numFmt numFmtId="164" formatCode="_([$$-409]* #,##0.00_);_([$$-409]* \(#,##0.00\);_([$$-409]* &quot;-&quot;??_);_(@_)"/>
    <numFmt numFmtId="165" formatCode="0.0%;\(0.0%\)"/>
    <numFmt numFmtId="166" formatCode="0.0%"/>
    <numFmt numFmtId="167" formatCode="[$₹-439]#,##0"/>
    <numFmt numFmtId="168" formatCode="[$₹-446]\ #,##0.00"/>
    <numFmt numFmtId="169" formatCode="[$₹-439]#,##0.00"/>
    <numFmt numFmtId="170" formatCode="[$₹-44F]\ #,##0.00"/>
    <numFmt numFmtId="171" formatCode="[$-409]mmm\-yy;@"/>
    <numFmt numFmtId="172" formatCode="_ * #,##0.00_ ;_ * \-#,##0.00_ ;_ * &quot;-&quot;??_ ;_ @_ "/>
    <numFmt numFmtId="173" formatCode="0.00000000000%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rgb="FF22222F"/>
      <name val="Calibri"/>
      <family val="2"/>
      <scheme val="minor"/>
    </font>
    <font>
      <sz val="11"/>
      <color theme="0"/>
      <name val="Calibri"/>
      <family val="2"/>
      <scheme val="minor"/>
    </font>
    <font>
      <sz val="9.25"/>
      <color rgb="FF353434"/>
      <name val="Arial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.5"/>
      <color theme="1"/>
      <name val="Calibri"/>
      <family val="2"/>
      <scheme val="minor"/>
    </font>
    <font>
      <i/>
      <sz val="8.5"/>
      <color theme="1"/>
      <name val="Arial Unicode MS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u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8.5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AE8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1069C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rgb="FFE5E5E5"/>
      </right>
      <top/>
      <bottom style="medium">
        <color rgb="FFE8E8E8"/>
      </bottom>
      <diagonal/>
    </border>
    <border>
      <left/>
      <right/>
      <top/>
      <bottom style="thin">
        <color theme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3">
    <xf numFmtId="0" fontId="0" fillId="0" borderId="0"/>
    <xf numFmtId="9" fontId="1" fillId="0" borderId="0" applyFont="0" applyFill="0" applyBorder="0" applyAlignment="0" applyProtection="0"/>
    <xf numFmtId="0" fontId="1" fillId="0" borderId="11" applyAlignment="0" applyProtection="0"/>
    <xf numFmtId="0" fontId="12" fillId="6" borderId="12" applyNumberFormat="0" applyAlignment="0" applyProtection="0"/>
    <xf numFmtId="0" fontId="1" fillId="7" borderId="13" applyNumberFormat="0" applyFont="0" applyAlignment="0" applyProtection="0"/>
    <xf numFmtId="0" fontId="2" fillId="8" borderId="0" applyNumberFormat="0" applyBorder="0" applyAlignment="0" applyProtection="0"/>
    <xf numFmtId="0" fontId="27" fillId="23" borderId="11" applyNumberForma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0" borderId="0" applyNumberFormat="0" applyFill="0" applyBorder="0" applyAlignment="0" applyProtection="0"/>
    <xf numFmtId="0" fontId="28" fillId="20" borderId="15" applyNumberFormat="0" applyAlignment="0" applyProtection="0"/>
    <xf numFmtId="0" fontId="25" fillId="13" borderId="0" applyNumberFormat="0" applyBorder="0" applyAlignment="0" applyProtection="0"/>
    <xf numFmtId="0" fontId="26" fillId="14" borderId="0" applyNumberFormat="0" applyBorder="0" applyAlignment="0" applyProtection="0"/>
    <xf numFmtId="0" fontId="15" fillId="15" borderId="0" applyNumberFormat="0" applyBorder="0" applyAlignment="0" applyProtection="0"/>
    <xf numFmtId="0" fontId="27" fillId="16" borderId="0" applyNumberFormat="0" applyBorder="0" applyAlignment="0" applyProtection="0"/>
    <xf numFmtId="0" fontId="2" fillId="17" borderId="0" applyNumberFormat="0" applyBorder="0" applyAlignment="0" applyProtection="0"/>
    <xf numFmtId="0" fontId="31" fillId="18" borderId="0" applyNumberFormat="0" applyBorder="0" applyAlignment="0" applyProtection="0"/>
    <xf numFmtId="0" fontId="15" fillId="25" borderId="0" applyNumberFormat="0" applyBorder="0" applyAlignment="0" applyProtection="0"/>
    <xf numFmtId="172" fontId="1" fillId="0" borderId="0" applyFont="0" applyFill="0" applyBorder="0" applyAlignment="0" applyProtection="0"/>
    <xf numFmtId="0" fontId="15" fillId="9" borderId="0" applyNumberFormat="0" applyBorder="0" applyAlignment="0" applyProtection="0"/>
    <xf numFmtId="0" fontId="15" fillId="17" borderId="0" applyNumberFormat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</cellStyleXfs>
  <cellXfs count="201">
    <xf numFmtId="0" fontId="0" fillId="0" borderId="0" xfId="0"/>
    <xf numFmtId="0" fontId="2" fillId="0" borderId="0" xfId="0" applyFont="1"/>
    <xf numFmtId="0" fontId="4" fillId="0" borderId="2" xfId="0" applyFont="1" applyBorder="1"/>
    <xf numFmtId="0" fontId="0" fillId="0" borderId="2" xfId="0" applyBorder="1"/>
    <xf numFmtId="0" fontId="0" fillId="3" borderId="3" xfId="0" applyFill="1" applyBorder="1" applyAlignment="1">
      <alignment horizontal="center"/>
    </xf>
    <xf numFmtId="164" fontId="0" fillId="0" borderId="0" xfId="0" applyNumberFormat="1"/>
    <xf numFmtId="14" fontId="0" fillId="3" borderId="3" xfId="0" applyNumberFormat="1" applyFill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6" fontId="0" fillId="3" borderId="4" xfId="0" applyNumberFormat="1" applyFill="1" applyBorder="1" applyAlignment="1">
      <alignment horizontal="center"/>
    </xf>
    <xf numFmtId="0" fontId="5" fillId="4" borderId="0" xfId="0" applyFont="1" applyFill="1"/>
    <xf numFmtId="3" fontId="6" fillId="4" borderId="0" xfId="0" applyNumberFormat="1" applyFont="1" applyFill="1"/>
    <xf numFmtId="0" fontId="7" fillId="4" borderId="0" xfId="0" applyFont="1" applyFill="1"/>
    <xf numFmtId="166" fontId="7" fillId="4" borderId="0" xfId="1" applyNumberFormat="1" applyFont="1" applyFill="1"/>
    <xf numFmtId="166" fontId="7" fillId="4" borderId="0" xfId="1" applyNumberFormat="1" applyFont="1" applyFill="1" applyBorder="1"/>
    <xf numFmtId="0" fontId="8" fillId="4" borderId="0" xfId="0" applyFont="1" applyFill="1"/>
    <xf numFmtId="0" fontId="5" fillId="4" borderId="5" xfId="0" applyFont="1" applyFill="1" applyBorder="1"/>
    <xf numFmtId="3" fontId="9" fillId="4" borderId="0" xfId="0" applyNumberFormat="1" applyFont="1" applyFill="1"/>
    <xf numFmtId="3" fontId="5" fillId="4" borderId="0" xfId="0" applyNumberFormat="1" applyFont="1" applyFill="1"/>
    <xf numFmtId="3" fontId="5" fillId="4" borderId="5" xfId="0" applyNumberFormat="1" applyFont="1" applyFill="1" applyBorder="1"/>
    <xf numFmtId="37" fontId="6" fillId="4" borderId="0" xfId="0" applyNumberFormat="1" applyFont="1" applyFill="1"/>
    <xf numFmtId="165" fontId="10" fillId="0" borderId="0" xfId="1" applyNumberFormat="1" applyFont="1"/>
    <xf numFmtId="0" fontId="0" fillId="0" borderId="5" xfId="0" applyBorder="1"/>
    <xf numFmtId="3" fontId="11" fillId="0" borderId="0" xfId="0" applyNumberFormat="1" applyFont="1"/>
    <xf numFmtId="0" fontId="10" fillId="0" borderId="0" xfId="0" applyFont="1"/>
    <xf numFmtId="166" fontId="10" fillId="0" borderId="0" xfId="1" applyNumberFormat="1" applyFont="1"/>
    <xf numFmtId="166" fontId="0" fillId="0" borderId="0" xfId="0" applyNumberForma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3" fontId="2" fillId="0" borderId="7" xfId="0" applyNumberFormat="1" applyFont="1" applyBorder="1"/>
    <xf numFmtId="3" fontId="0" fillId="0" borderId="0" xfId="0" applyNumberFormat="1"/>
    <xf numFmtId="166" fontId="10" fillId="0" borderId="0" xfId="1" applyNumberFormat="1" applyFont="1" applyFill="1" applyBorder="1"/>
    <xf numFmtId="37" fontId="11" fillId="0" borderId="0" xfId="0" applyNumberFormat="1" applyFont="1"/>
    <xf numFmtId="37" fontId="5" fillId="0" borderId="0" xfId="0" applyNumberFormat="1" applyFont="1"/>
    <xf numFmtId="165" fontId="10" fillId="0" borderId="0" xfId="1" applyNumberFormat="1" applyFont="1" applyBorder="1"/>
    <xf numFmtId="0" fontId="0" fillId="0" borderId="9" xfId="0" applyBorder="1"/>
    <xf numFmtId="37" fontId="2" fillId="0" borderId="7" xfId="0" applyNumberFormat="1" applyFont="1" applyBorder="1"/>
    <xf numFmtId="14" fontId="0" fillId="0" borderId="0" xfId="0" applyNumberFormat="1"/>
    <xf numFmtId="37" fontId="5" fillId="0" borderId="2" xfId="0" applyNumberFormat="1" applyFont="1" applyBorder="1"/>
    <xf numFmtId="37" fontId="8" fillId="0" borderId="0" xfId="0" applyNumberFormat="1" applyFont="1"/>
    <xf numFmtId="0" fontId="0" fillId="0" borderId="0" xfId="0" quotePrefix="1"/>
    <xf numFmtId="0" fontId="0" fillId="0" borderId="2" xfId="0" quotePrefix="1" applyBorder="1"/>
    <xf numFmtId="3" fontId="0" fillId="0" borderId="10" xfId="0" applyNumberFormat="1" applyBorder="1" applyAlignment="1">
      <alignment horizontal="right"/>
    </xf>
    <xf numFmtId="9" fontId="0" fillId="0" borderId="0" xfId="1" applyFont="1"/>
    <xf numFmtId="0" fontId="0" fillId="5" borderId="7" xfId="0" applyFill="1" applyBorder="1"/>
    <xf numFmtId="3" fontId="5" fillId="4" borderId="0" xfId="0" applyNumberFormat="1" applyFont="1" applyFill="1" applyAlignment="1">
      <alignment vertical="center"/>
    </xf>
    <xf numFmtId="167" fontId="0" fillId="0" borderId="4" xfId="0" applyNumberFormat="1" applyBorder="1" applyAlignment="1">
      <alignment horizontal="right"/>
    </xf>
    <xf numFmtId="168" fontId="2" fillId="0" borderId="0" xfId="0" applyNumberFormat="1" applyFont="1"/>
    <xf numFmtId="169" fontId="0" fillId="0" borderId="4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2" fontId="13" fillId="6" borderId="12" xfId="3" applyNumberFormat="1" applyFont="1" applyAlignment="1">
      <alignment horizontal="center"/>
    </xf>
    <xf numFmtId="9" fontId="2" fillId="0" borderId="11" xfId="2" applyNumberFormat="1" applyFont="1" applyAlignment="1">
      <alignment horizontal="center"/>
    </xf>
    <xf numFmtId="0" fontId="4" fillId="0" borderId="2" xfId="0" applyFont="1" applyBorder="1" applyAlignment="1">
      <alignment horizontal="center"/>
    </xf>
    <xf numFmtId="0" fontId="12" fillId="6" borderId="12" xfId="3" applyAlignment="1">
      <alignment horizontal="center"/>
    </xf>
    <xf numFmtId="0" fontId="2" fillId="8" borderId="0" xfId="5"/>
    <xf numFmtId="0" fontId="2" fillId="8" borderId="6" xfId="5" applyBorder="1"/>
    <xf numFmtId="0" fontId="2" fillId="8" borderId="0" xfId="5" applyAlignment="1">
      <alignment horizontal="center"/>
    </xf>
    <xf numFmtId="0" fontId="12" fillId="6" borderId="12" xfId="3"/>
    <xf numFmtId="3" fontId="12" fillId="6" borderId="12" xfId="3" applyNumberFormat="1"/>
    <xf numFmtId="0" fontId="0" fillId="7" borderId="13" xfId="4" applyFont="1" applyAlignment="1">
      <alignment horizontal="center"/>
    </xf>
    <xf numFmtId="0" fontId="1" fillId="7" borderId="13" xfId="4" applyAlignment="1">
      <alignment horizontal="center"/>
    </xf>
    <xf numFmtId="0" fontId="2" fillId="8" borderId="5" xfId="5" applyBorder="1"/>
    <xf numFmtId="3" fontId="14" fillId="0" borderId="0" xfId="0" applyNumberFormat="1" applyFont="1" applyAlignment="1">
      <alignment horizontal="center"/>
    </xf>
    <xf numFmtId="0" fontId="27" fillId="23" borderId="11" xfId="6"/>
    <xf numFmtId="0" fontId="1" fillId="23" borderId="11" xfId="6" applyFont="1"/>
    <xf numFmtId="3" fontId="1" fillId="23" borderId="11" xfId="6" applyNumberFormat="1" applyFont="1"/>
    <xf numFmtId="1" fontId="1" fillId="23" borderId="11" xfId="6" applyNumberFormat="1" applyFont="1"/>
    <xf numFmtId="0" fontId="8" fillId="8" borderId="0" xfId="5" applyFont="1"/>
    <xf numFmtId="9" fontId="27" fillId="23" borderId="11" xfId="6" applyNumberFormat="1" applyAlignment="1">
      <alignment horizontal="center"/>
    </xf>
    <xf numFmtId="2" fontId="27" fillId="23" borderId="11" xfId="6" applyNumberFormat="1" applyAlignment="1">
      <alignment horizontal="center"/>
    </xf>
    <xf numFmtId="0" fontId="2" fillId="8" borderId="11" xfId="5" applyBorder="1"/>
    <xf numFmtId="166" fontId="2" fillId="8" borderId="11" xfId="5" applyNumberFormat="1" applyBorder="1" applyAlignment="1">
      <alignment horizontal="right"/>
    </xf>
    <xf numFmtId="0" fontId="2" fillId="8" borderId="11" xfId="5" applyBorder="1" applyAlignment="1">
      <alignment horizontal="right"/>
    </xf>
    <xf numFmtId="0" fontId="27" fillId="23" borderId="11" xfId="6" applyAlignment="1">
      <alignment horizontal="center"/>
    </xf>
    <xf numFmtId="1" fontId="0" fillId="0" borderId="0" xfId="0" applyNumberFormat="1"/>
    <xf numFmtId="1" fontId="12" fillId="6" borderId="12" xfId="3" applyNumberFormat="1"/>
    <xf numFmtId="1" fontId="27" fillId="23" borderId="11" xfId="6" applyNumberFormat="1"/>
    <xf numFmtId="0" fontId="4" fillId="8" borderId="0" xfId="5" applyFont="1"/>
    <xf numFmtId="10" fontId="1" fillId="9" borderId="0" xfId="7" applyNumberFormat="1"/>
    <xf numFmtId="0" fontId="1" fillId="11" borderId="0" xfId="9"/>
    <xf numFmtId="0" fontId="16" fillId="12" borderId="14" xfId="0" applyFont="1" applyFill="1" applyBorder="1" applyAlignment="1">
      <alignment horizontal="right" vertical="center" wrapText="1"/>
    </xf>
    <xf numFmtId="168" fontId="15" fillId="0" borderId="0" xfId="0" applyNumberFormat="1" applyFont="1"/>
    <xf numFmtId="1" fontId="12" fillId="6" borderId="12" xfId="3" applyNumberFormat="1" applyAlignment="1">
      <alignment horizontal="center"/>
    </xf>
    <xf numFmtId="3" fontId="27" fillId="23" borderId="11" xfId="6" applyNumberFormat="1" applyAlignment="1">
      <alignment horizontal="center" vertical="center" wrapText="1"/>
    </xf>
    <xf numFmtId="0" fontId="13" fillId="6" borderId="12" xfId="3" applyFont="1"/>
    <xf numFmtId="0" fontId="1" fillId="0" borderId="11" xfId="2"/>
    <xf numFmtId="3" fontId="1" fillId="0" borderId="11" xfId="2" applyNumberFormat="1"/>
    <xf numFmtId="10" fontId="1" fillId="0" borderId="11" xfId="1" applyNumberFormat="1" applyBorder="1"/>
    <xf numFmtId="1" fontId="0" fillId="0" borderId="0" xfId="0" applyNumberFormat="1" applyAlignment="1">
      <alignment horizontal="right"/>
    </xf>
    <xf numFmtId="10" fontId="1" fillId="10" borderId="0" xfId="8" applyNumberFormat="1"/>
    <xf numFmtId="10" fontId="1" fillId="10" borderId="0" xfId="1" applyNumberFormat="1" applyFill="1"/>
    <xf numFmtId="1" fontId="13" fillId="6" borderId="12" xfId="3" applyNumberFormat="1" applyFont="1"/>
    <xf numFmtId="0" fontId="17" fillId="0" borderId="0" xfId="0" applyFont="1"/>
    <xf numFmtId="168" fontId="15" fillId="4" borderId="0" xfId="0" applyNumberFormat="1" applyFont="1" applyFill="1"/>
    <xf numFmtId="168" fontId="1" fillId="0" borderId="11" xfId="2" applyNumberFormat="1" applyAlignment="1">
      <alignment horizontal="center"/>
    </xf>
    <xf numFmtId="9" fontId="2" fillId="6" borderId="11" xfId="1" applyFont="1" applyFill="1" applyBorder="1" applyAlignment="1">
      <alignment horizontal="center"/>
    </xf>
    <xf numFmtId="168" fontId="15" fillId="23" borderId="11" xfId="6" applyNumberFormat="1" applyFont="1" applyAlignment="1">
      <alignment horizontal="center"/>
    </xf>
    <xf numFmtId="0" fontId="1" fillId="0" borderId="11" xfId="2" applyAlignment="1">
      <alignment horizontal="center" vertical="center" wrapText="1"/>
    </xf>
    <xf numFmtId="0" fontId="1" fillId="0" borderId="11" xfId="2" applyAlignment="1">
      <alignment vertical="center" wrapText="1"/>
    </xf>
    <xf numFmtId="0" fontId="27" fillId="23" borderId="11" xfId="6" applyAlignment="1">
      <alignment horizontal="center" vertical="center" wrapText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37" fontId="1" fillId="0" borderId="11" xfId="2" applyNumberFormat="1" applyAlignment="1">
      <alignment horizontal="center" vertical="center" wrapText="1"/>
    </xf>
    <xf numFmtId="10" fontId="13" fillId="6" borderId="12" xfId="1" applyNumberFormat="1" applyFont="1" applyFill="1" applyBorder="1"/>
    <xf numFmtId="10" fontId="13" fillId="6" borderId="12" xfId="3" applyNumberFormat="1" applyFont="1"/>
    <xf numFmtId="10" fontId="1" fillId="6" borderId="11" xfId="1" applyNumberFormat="1" applyFont="1" applyFill="1" applyBorder="1"/>
    <xf numFmtId="0" fontId="15" fillId="15" borderId="11" xfId="14" applyBorder="1" applyAlignment="1">
      <alignment vertical="center" wrapText="1"/>
    </xf>
    <xf numFmtId="0" fontId="15" fillId="15" borderId="11" xfId="14" applyBorder="1"/>
    <xf numFmtId="0" fontId="21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30" fillId="19" borderId="0" xfId="5" applyFont="1" applyFill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2" fillId="0" borderId="11" xfId="2" applyFont="1" applyAlignment="1">
      <alignment horizontal="center" vertical="center" wrapText="1"/>
    </xf>
    <xf numFmtId="0" fontId="0" fillId="4" borderId="0" xfId="0" applyFill="1"/>
    <xf numFmtId="2" fontId="1" fillId="0" borderId="11" xfId="2" applyNumberFormat="1" applyAlignment="1">
      <alignment horizontal="center" vertical="center" wrapText="1"/>
    </xf>
    <xf numFmtId="9" fontId="1" fillId="0" borderId="11" xfId="1" applyBorder="1" applyAlignment="1">
      <alignment horizontal="center" vertical="center" wrapText="1"/>
    </xf>
    <xf numFmtId="10" fontId="26" fillId="14" borderId="11" xfId="13" applyNumberFormat="1" applyBorder="1" applyAlignment="1">
      <alignment horizontal="center" vertical="center" wrapText="1"/>
    </xf>
    <xf numFmtId="10" fontId="26" fillId="14" borderId="11" xfId="13" applyNumberFormat="1" applyBorder="1" applyAlignment="1">
      <alignment horizontal="center" vertical="center"/>
    </xf>
    <xf numFmtId="0" fontId="26" fillId="14" borderId="11" xfId="13" applyBorder="1" applyAlignment="1">
      <alignment horizontal="center"/>
    </xf>
    <xf numFmtId="10" fontId="25" fillId="13" borderId="11" xfId="12" applyNumberFormat="1" applyBorder="1" applyAlignment="1">
      <alignment horizontal="center" vertical="center" wrapText="1"/>
    </xf>
    <xf numFmtId="10" fontId="31" fillId="18" borderId="11" xfId="17" applyNumberFormat="1" applyBorder="1" applyAlignment="1">
      <alignment horizontal="center"/>
    </xf>
    <xf numFmtId="0" fontId="31" fillId="18" borderId="11" xfId="17" applyBorder="1" applyAlignment="1">
      <alignment horizontal="center"/>
    </xf>
    <xf numFmtId="0" fontId="15" fillId="15" borderId="11" xfId="14" applyBorder="1" applyAlignment="1">
      <alignment horizontal="left" vertical="center" wrapText="1"/>
    </xf>
    <xf numFmtId="0" fontId="2" fillId="17" borderId="11" xfId="16" applyBorder="1" applyAlignment="1">
      <alignment horizontal="center" vertical="center" wrapText="1"/>
    </xf>
    <xf numFmtId="0" fontId="2" fillId="17" borderId="11" xfId="16" applyBorder="1" applyAlignment="1">
      <alignment horizontal="center"/>
    </xf>
    <xf numFmtId="9" fontId="1" fillId="0" borderId="11" xfId="1" applyBorder="1" applyAlignment="1">
      <alignment horizontal="center"/>
    </xf>
    <xf numFmtId="9" fontId="1" fillId="0" borderId="11" xfId="1" applyBorder="1" applyAlignment="1">
      <alignment horizontal="center" vertical="center"/>
    </xf>
    <xf numFmtId="2" fontId="32" fillId="0" borderId="11" xfId="2" applyNumberFormat="1" applyFont="1" applyAlignment="1">
      <alignment horizontal="center" vertical="center"/>
    </xf>
    <xf numFmtId="0" fontId="2" fillId="17" borderId="20" xfId="16" applyBorder="1" applyAlignment="1">
      <alignment vertical="center"/>
    </xf>
    <xf numFmtId="0" fontId="2" fillId="17" borderId="20" xfId="16" applyBorder="1" applyAlignment="1">
      <alignment horizontal="right" vertical="center"/>
    </xf>
    <xf numFmtId="0" fontId="0" fillId="0" borderId="0" xfId="0" applyAlignment="1">
      <alignment horizontal="right"/>
    </xf>
    <xf numFmtId="169" fontId="1" fillId="0" borderId="11" xfId="2" applyNumberFormat="1" applyAlignment="1">
      <alignment horizontal="center"/>
    </xf>
    <xf numFmtId="0" fontId="30" fillId="23" borderId="20" xfId="6" applyFont="1" applyBorder="1" applyAlignment="1">
      <alignment horizontal="left"/>
    </xf>
    <xf numFmtId="0" fontId="30" fillId="23" borderId="17" xfId="6" applyFont="1" applyBorder="1" applyAlignment="1">
      <alignment horizontal="left"/>
    </xf>
    <xf numFmtId="0" fontId="30" fillId="4" borderId="18" xfId="6" applyFont="1" applyFill="1" applyBorder="1" applyAlignment="1"/>
    <xf numFmtId="0" fontId="30" fillId="4" borderId="0" xfId="6" applyFont="1" applyFill="1" applyBorder="1" applyAlignment="1"/>
    <xf numFmtId="0" fontId="30" fillId="4" borderId="18" xfId="6" applyFont="1" applyFill="1" applyBorder="1" applyAlignment="1">
      <alignment vertical="top"/>
    </xf>
    <xf numFmtId="0" fontId="30" fillId="4" borderId="0" xfId="6" applyFont="1" applyFill="1" applyBorder="1" applyAlignment="1">
      <alignment vertical="top"/>
    </xf>
    <xf numFmtId="0" fontId="27" fillId="22" borderId="18" xfId="6" applyFill="1" applyBorder="1" applyAlignment="1">
      <alignment horizontal="left"/>
    </xf>
    <xf numFmtId="0" fontId="27" fillId="22" borderId="0" xfId="6" applyFill="1" applyBorder="1" applyAlignment="1">
      <alignment horizontal="left"/>
    </xf>
    <xf numFmtId="9" fontId="1" fillId="24" borderId="11" xfId="1" applyFont="1" applyFill="1" applyBorder="1" applyAlignment="1">
      <alignment horizontal="center" vertical="center" wrapText="1"/>
    </xf>
    <xf numFmtId="0" fontId="18" fillId="15" borderId="11" xfId="10" applyFill="1" applyBorder="1" applyAlignment="1">
      <alignment horizontal="left" vertical="center"/>
    </xf>
    <xf numFmtId="0" fontId="33" fillId="21" borderId="0" xfId="0" applyFont="1" applyFill="1" applyAlignment="1">
      <alignment horizontal="right"/>
    </xf>
    <xf numFmtId="0" fontId="33" fillId="19" borderId="0" xfId="5" applyFont="1" applyFill="1" applyAlignment="1">
      <alignment vertical="center"/>
    </xf>
    <xf numFmtId="0" fontId="33" fillId="23" borderId="16" xfId="6" applyFont="1" applyBorder="1" applyAlignment="1">
      <alignment horizontal="left"/>
    </xf>
    <xf numFmtId="0" fontId="33" fillId="23" borderId="20" xfId="6" applyFont="1" applyBorder="1" applyAlignment="1">
      <alignment horizontal="left"/>
    </xf>
    <xf numFmtId="9" fontId="2" fillId="0" borderId="0" xfId="1" applyFont="1" applyBorder="1"/>
    <xf numFmtId="10" fontId="2" fillId="0" borderId="0" xfId="1" applyNumberFormat="1" applyFont="1" applyBorder="1"/>
    <xf numFmtId="3" fontId="0" fillId="0" borderId="0" xfId="0" applyNumberFormat="1" applyAlignment="1">
      <alignment vertical="center"/>
    </xf>
    <xf numFmtId="10" fontId="0" fillId="0" borderId="0" xfId="0" applyNumberFormat="1" applyAlignment="1">
      <alignment horizontal="right"/>
    </xf>
    <xf numFmtId="10" fontId="2" fillId="8" borderId="11" xfId="5" applyNumberFormat="1" applyBorder="1" applyAlignment="1">
      <alignment horizontal="right"/>
    </xf>
    <xf numFmtId="10" fontId="2" fillId="5" borderId="8" xfId="1" applyNumberFormat="1" applyFont="1" applyFill="1" applyBorder="1"/>
    <xf numFmtId="0" fontId="38" fillId="0" borderId="0" xfId="0" applyFont="1"/>
    <xf numFmtId="0" fontId="27" fillId="26" borderId="0" xfId="0" applyFont="1" applyFill="1"/>
    <xf numFmtId="171" fontId="27" fillId="26" borderId="0" xfId="0" applyNumberFormat="1" applyFont="1" applyFill="1" applyAlignment="1">
      <alignment horizontal="center"/>
    </xf>
    <xf numFmtId="0" fontId="27" fillId="26" borderId="0" xfId="0" applyFont="1" applyFill="1" applyAlignment="1">
      <alignment horizontal="center"/>
    </xf>
    <xf numFmtId="172" fontId="2" fillId="0" borderId="0" xfId="19" applyFont="1" applyBorder="1"/>
    <xf numFmtId="172" fontId="1" fillId="0" borderId="0" xfId="19" applyFont="1" applyBorder="1"/>
    <xf numFmtId="9" fontId="1" fillId="0" borderId="0" xfId="19" applyNumberFormat="1" applyFont="1" applyBorder="1"/>
    <xf numFmtId="172" fontId="27" fillId="9" borderId="0" xfId="20" applyNumberFormat="1" applyFont="1" applyBorder="1"/>
    <xf numFmtId="172" fontId="27" fillId="17" borderId="0" xfId="21" applyNumberFormat="1" applyFont="1" applyBorder="1"/>
    <xf numFmtId="10" fontId="0" fillId="0" borderId="0" xfId="0" applyNumberFormat="1"/>
    <xf numFmtId="10" fontId="2" fillId="0" borderId="0" xfId="0" applyNumberFormat="1" applyFont="1"/>
    <xf numFmtId="173" fontId="0" fillId="0" borderId="0" xfId="0" applyNumberFormat="1"/>
    <xf numFmtId="0" fontId="5" fillId="0" borderId="0" xfId="0" applyFont="1"/>
    <xf numFmtId="172" fontId="0" fillId="0" borderId="0" xfId="19" applyFont="1" applyBorder="1" applyAlignment="1">
      <alignment horizontal="center"/>
    </xf>
    <xf numFmtId="172" fontId="2" fillId="0" borderId="0" xfId="19" applyFont="1" applyBorder="1" applyAlignment="1">
      <alignment horizontal="center"/>
    </xf>
    <xf numFmtId="172" fontId="0" fillId="0" borderId="0" xfId="19" applyFont="1" applyBorder="1"/>
    <xf numFmtId="9" fontId="0" fillId="0" borderId="0" xfId="0" applyNumberFormat="1"/>
    <xf numFmtId="9" fontId="0" fillId="0" borderId="0" xfId="1" applyFont="1" applyBorder="1"/>
    <xf numFmtId="171" fontId="27" fillId="26" borderId="0" xfId="19" applyNumberFormat="1" applyFont="1" applyFill="1" applyBorder="1"/>
    <xf numFmtId="171" fontId="5" fillId="0" borderId="0" xfId="19" applyNumberFormat="1" applyFont="1" applyFill="1" applyBorder="1"/>
    <xf numFmtId="43" fontId="0" fillId="0" borderId="0" xfId="19" applyNumberFormat="1" applyFont="1" applyBorder="1"/>
    <xf numFmtId="10" fontId="0" fillId="3" borderId="4" xfId="0" applyNumberFormat="1" applyFill="1" applyBorder="1" applyAlignment="1">
      <alignment horizontal="center"/>
    </xf>
    <xf numFmtId="0" fontId="33" fillId="23" borderId="16" xfId="6" applyFont="1" applyBorder="1" applyAlignment="1">
      <alignment horizontal="center"/>
    </xf>
    <xf numFmtId="0" fontId="33" fillId="23" borderId="20" xfId="6" applyFont="1" applyBorder="1" applyAlignment="1">
      <alignment horizontal="center"/>
    </xf>
    <xf numFmtId="0" fontId="33" fillId="23" borderId="17" xfId="6" applyFont="1" applyBorder="1" applyAlignment="1">
      <alignment horizontal="center"/>
    </xf>
    <xf numFmtId="0" fontId="33" fillId="19" borderId="19" xfId="0" applyFont="1" applyFill="1" applyBorder="1" applyAlignment="1">
      <alignment horizontal="center"/>
    </xf>
    <xf numFmtId="0" fontId="33" fillId="23" borderId="16" xfId="6" applyFont="1" applyBorder="1" applyAlignment="1">
      <alignment horizontal="center" vertical="center"/>
    </xf>
    <xf numFmtId="0" fontId="33" fillId="23" borderId="20" xfId="6" applyFont="1" applyBorder="1" applyAlignment="1">
      <alignment horizontal="center" vertical="center"/>
    </xf>
    <xf numFmtId="0" fontId="33" fillId="23" borderId="17" xfId="6" applyFont="1" applyBorder="1" applyAlignment="1">
      <alignment horizontal="center" vertical="center"/>
    </xf>
    <xf numFmtId="0" fontId="33" fillId="23" borderId="11" xfId="6" applyFont="1" applyAlignment="1">
      <alignment horizontal="center" vertical="center"/>
    </xf>
    <xf numFmtId="0" fontId="29" fillId="20" borderId="15" xfId="11" applyFont="1" applyAlignment="1">
      <alignment horizontal="left"/>
    </xf>
    <xf numFmtId="0" fontId="2" fillId="17" borderId="11" xfId="16" applyBorder="1" applyAlignment="1">
      <alignment horizontal="center"/>
    </xf>
    <xf numFmtId="4" fontId="31" fillId="18" borderId="11" xfId="17" applyNumberFormat="1" applyBorder="1" applyAlignment="1">
      <alignment horizontal="center" vertical="center"/>
    </xf>
    <xf numFmtId="169" fontId="25" fillId="13" borderId="11" xfId="12" applyNumberFormat="1" applyBorder="1" applyAlignment="1">
      <alignment horizontal="center"/>
    </xf>
    <xf numFmtId="169" fontId="26" fillId="14" borderId="11" xfId="13" applyNumberFormat="1" applyBorder="1" applyAlignment="1">
      <alignment horizontal="center"/>
    </xf>
    <xf numFmtId="9" fontId="25" fillId="13" borderId="11" xfId="12" applyNumberFormat="1" applyBorder="1" applyAlignment="1">
      <alignment horizontal="center"/>
    </xf>
    <xf numFmtId="0" fontId="33" fillId="21" borderId="19" xfId="0" applyFont="1" applyFill="1" applyBorder="1" applyAlignment="1">
      <alignment horizontal="center"/>
    </xf>
    <xf numFmtId="37" fontId="31" fillId="18" borderId="11" xfId="17" applyNumberFormat="1" applyBorder="1" applyAlignment="1">
      <alignment horizontal="center" vertical="center" wrapText="1"/>
    </xf>
    <xf numFmtId="0" fontId="31" fillId="18" borderId="11" xfId="17" applyBorder="1" applyAlignment="1">
      <alignment horizontal="center" vertical="center" wrapText="1"/>
    </xf>
    <xf numFmtId="0" fontId="15" fillId="15" borderId="11" xfId="14" applyBorder="1" applyAlignment="1">
      <alignment horizontal="left"/>
    </xf>
    <xf numFmtId="0" fontId="2" fillId="17" borderId="11" xfId="16" applyBorder="1" applyAlignment="1">
      <alignment horizontal="center" vertical="center" wrapText="1"/>
    </xf>
    <xf numFmtId="170" fontId="1" fillId="24" borderId="11" xfId="2" applyNumberFormat="1" applyFill="1" applyAlignment="1">
      <alignment horizontal="center"/>
    </xf>
    <xf numFmtId="172" fontId="39" fillId="0" borderId="0" xfId="22" applyNumberFormat="1" applyBorder="1" applyAlignment="1" applyProtection="1">
      <alignment horizontal="center"/>
    </xf>
    <xf numFmtId="172" fontId="27" fillId="25" borderId="0" xfId="18" applyNumberFormat="1" applyFont="1" applyBorder="1" applyAlignment="1">
      <alignment horizontal="center"/>
    </xf>
  </cellXfs>
  <cellStyles count="23">
    <cellStyle name="40% - Accent3" xfId="15" builtinId="39" customBuiltin="1"/>
    <cellStyle name="40% - Accent5" xfId="17" builtinId="47" customBuiltin="1"/>
    <cellStyle name="60% - Accent1" xfId="7" builtinId="32"/>
    <cellStyle name="60% - Accent1 2" xfId="20" xr:uid="{846C6822-0C14-4D3F-A039-7DA68ED3FE21}"/>
    <cellStyle name="60% - Accent3" xfId="16" builtinId="40" customBuiltin="1"/>
    <cellStyle name="60% - Accent3 2" xfId="21" xr:uid="{9FE4FC96-0EAE-4E3C-BC1C-982A431E17E9}"/>
    <cellStyle name="60% - Accent5" xfId="8" builtinId="48"/>
    <cellStyle name="60% - Accent6" xfId="9" builtinId="52"/>
    <cellStyle name="Accent3" xfId="14" builtinId="37"/>
    <cellStyle name="Accent5" xfId="5" builtinId="45" customBuiltin="1"/>
    <cellStyle name="Accent6" xfId="18" builtinId="49"/>
    <cellStyle name="Calculation" xfId="6" builtinId="22" customBuiltin="1"/>
    <cellStyle name="Comma 2" xfId="19" xr:uid="{139C3B4D-35A6-4F70-B8B1-A4B77EAA38BF}"/>
    <cellStyle name="Good" xfId="12" builtinId="26"/>
    <cellStyle name="Heading 1" xfId="11" builtinId="16" customBuiltin="1"/>
    <cellStyle name="Hyperlink" xfId="10" builtinId="8"/>
    <cellStyle name="Hyperlink 2" xfId="22" xr:uid="{F28A5DE9-5A15-4647-8371-6F8BF2FFE1D1}"/>
    <cellStyle name="Input" xfId="2" builtinId="20" customBuiltin="1"/>
    <cellStyle name="Neutral" xfId="13" builtinId="28"/>
    <cellStyle name="Normal" xfId="0" builtinId="0"/>
    <cellStyle name="Note" xfId="4" builtinId="10"/>
    <cellStyle name="Output" xfId="3" builtinId="21"/>
    <cellStyle name="Percent" xfId="1" builtinId="5"/>
  </cellStyles>
  <dxfs count="68">
    <dxf>
      <font>
        <color rgb="FFEE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</dxf>
    <dxf>
      <font>
        <color rgb="FFEE0000"/>
      </font>
    </dxf>
    <dxf>
      <font>
        <color rgb="FF00B050"/>
      </font>
    </dxf>
    <dxf>
      <font>
        <color theme="4"/>
      </font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ont>
        <color theme="4"/>
      </font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1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color theme="0"/>
      </font>
      <fill>
        <patternFill>
          <bgColor theme="5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0"/>
      </font>
      <fill>
        <patternFill patternType="solid"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5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0"/>
      </font>
      <fill>
        <patternFill patternType="solid"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Investment Tracker Table" pivot="0" count="2" xr9:uid="{52AB2633-8B22-4E61-966A-3F81F8D4DCAD}">
      <tableStyleElement type="wholeTable" dxfId="67"/>
      <tableStyleElement type="headerRow" dxfId="66"/>
    </tableStyle>
    <tableStyle name="Investment Tracker Table 2" pivot="0" count="2" xr9:uid="{135DA5ED-E712-4D99-BE87-7E974D8E5800}">
      <tableStyleElement type="wholeTable" dxfId="65"/>
      <tableStyleElement type="headerRow" dxfId="64"/>
    </tableStyle>
  </tableStyles>
  <colors>
    <mruColors>
      <color rgb="FFFF6A47"/>
      <color rgb="FFFF7979"/>
      <color rgb="FFABDB77"/>
      <color rgb="FF70AC2E"/>
      <color rgb="FF7EC234"/>
      <color rgb="FFB10F9E"/>
      <color rgb="FF1069CA"/>
      <color rgb="FF53F353"/>
      <color rgb="FF3333FF"/>
      <color rgb="FF0067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dbl" strike="noStrike" kern="1200" spc="0" baseline="0">
                <a:ln>
                  <a:noFill/>
                </a:ln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Implied Share Price Comparison</a:t>
            </a: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dbl" strike="noStrike" kern="1200" spc="0" baseline="0">
              <a:ln>
                <a:noFill/>
              </a:ln>
              <a:solidFill>
                <a:srgbClr val="00B0F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E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1F6-4BFE-9FCF-B6853A0F922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1F6-4BFE-9FCF-B6853A0F9220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1F6-4BFE-9FCF-B6853A0F9220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1F6-4BFE-9FCF-B6853A0F9220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1F6-4BFE-9FCF-B6853A0F922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Summary!$B$23:$B$28</c:f>
              <c:strCache>
                <c:ptCount val="6"/>
                <c:pt idx="0">
                  <c:v>Segment-Based</c:v>
                </c:pt>
                <c:pt idx="1">
                  <c:v>Scenario – Best</c:v>
                </c:pt>
                <c:pt idx="2">
                  <c:v>Scenario – Base</c:v>
                </c:pt>
                <c:pt idx="3">
                  <c:v>Scenario – Worst</c:v>
                </c:pt>
                <c:pt idx="4">
                  <c:v>CAGR-Based</c:v>
                </c:pt>
                <c:pt idx="5">
                  <c:v>Linear Regression</c:v>
                </c:pt>
              </c:strCache>
            </c:strRef>
          </c:cat>
          <c:val>
            <c:numRef>
              <c:f>Summary!$C$23:$C$28</c:f>
              <c:numCache>
                <c:formatCode>[$₹-44F]\ #,##0.00</c:formatCode>
                <c:ptCount val="6"/>
                <c:pt idx="0">
                  <c:v>1557.0764194078472</c:v>
                </c:pt>
                <c:pt idx="1">
                  <c:v>1085.9504859598846</c:v>
                </c:pt>
                <c:pt idx="2">
                  <c:v>904.00136824298158</c:v>
                </c:pt>
                <c:pt idx="3">
                  <c:v>632.7405923676605</c:v>
                </c:pt>
                <c:pt idx="4">
                  <c:v>904.00136824298158</c:v>
                </c:pt>
                <c:pt idx="5">
                  <c:v>1061.4699458315538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6-4BFE-9FCF-B6853A0F9220}"/>
            </c:ext>
          </c:extLst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Summary!$B$23:$B$28</c:f>
              <c:strCache>
                <c:ptCount val="6"/>
                <c:pt idx="0">
                  <c:v>Segment-Based</c:v>
                </c:pt>
                <c:pt idx="1">
                  <c:v>Scenario – Best</c:v>
                </c:pt>
                <c:pt idx="2">
                  <c:v>Scenario – Base</c:v>
                </c:pt>
                <c:pt idx="3">
                  <c:v>Scenario – Worst</c:v>
                </c:pt>
                <c:pt idx="4">
                  <c:v>CAGR-Based</c:v>
                </c:pt>
                <c:pt idx="5">
                  <c:v>Linear Regression</c:v>
                </c:pt>
              </c:strCache>
            </c:strRef>
          </c:cat>
          <c:val>
            <c:numRef>
              <c:f>Summary!$D$23:$D$28</c:f>
              <c:numCache>
                <c:formatCode>[$₹-44F]\ #,##0.00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2-31F6-4BFE-9FCF-B6853A0F922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3"/>
        <c:axId val="701297728"/>
        <c:axId val="701298808"/>
      </c:barChart>
      <c:catAx>
        <c:axId val="7012977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rgbClr val="B10F9E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298808"/>
        <c:crosses val="autoZero"/>
        <c:auto val="1"/>
        <c:lblAlgn val="ctr"/>
        <c:lblOffset val="100"/>
        <c:noMultiLvlLbl val="0"/>
      </c:catAx>
      <c:valAx>
        <c:axId val="70129880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₹-44F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rgbClr val="B10F9E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29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n>
            <a:noFill/>
          </a:ln>
          <a:solidFill>
            <a:srgbClr val="00B0F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dbl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baseline="0">
                <a:solidFill>
                  <a:schemeClr val="tx1"/>
                </a:solidFill>
              </a:rPr>
              <a:t>Revenue Projection: FY25–FY29 (All Forecast Models)</a:t>
            </a:r>
            <a:endParaRPr lang="en-US" b="1" i="1" u="dbl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5986112509049547"/>
          <c:y val="1.85184859113596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dbl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Segement Based 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E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EE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EE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0C6-424D-A953-5733998FB988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EE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EE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B0C6-424D-A953-5733998FB988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rgbClr val="EE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EE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0C6-424D-A953-5733998FB988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rgbClr val="EE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EE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B0C6-424D-A953-5733998FB988}"/>
              </c:ext>
            </c:extLst>
          </c:dPt>
          <c:cat>
            <c:numRef>
              <c:f>'DCF-Segment'!$J$12:$N$12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'DCF-Segment'!$J$13:$N$13</c:f>
              <c:numCache>
                <c:formatCode>#,##0</c:formatCode>
                <c:ptCount val="5"/>
                <c:pt idx="0">
                  <c:v>510363.26990547497</c:v>
                </c:pt>
                <c:pt idx="1">
                  <c:v>602207.98053720046</c:v>
                </c:pt>
                <c:pt idx="2">
                  <c:v>720901.44219253247</c:v>
                </c:pt>
                <c:pt idx="3">
                  <c:v>877228.08249179262</c:v>
                </c:pt>
                <c:pt idx="4">
                  <c:v>1086912.9898352891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C6-424D-A953-5733998FB988}"/>
            </c:ext>
          </c:extLst>
        </c:ser>
        <c:ser>
          <c:idx val="2"/>
          <c:order val="1"/>
          <c:tx>
            <c:v>Scenario Best</c:v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DCF_Best!$J$13:$N$13</c:f>
              <c:numCache>
                <c:formatCode>#,##0</c:formatCode>
                <c:ptCount val="5"/>
                <c:pt idx="0">
                  <c:v>484045.09313952905</c:v>
                </c:pt>
                <c:pt idx="1">
                  <c:v>539841.04777808965</c:v>
                </c:pt>
                <c:pt idx="2">
                  <c:v>602068.61095509469</c:v>
                </c:pt>
                <c:pt idx="3">
                  <c:v>671469.15520659543</c:v>
                </c:pt>
                <c:pt idx="4">
                  <c:v>748869.51119842904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C6-424D-A953-5733998FB988}"/>
            </c:ext>
          </c:extLst>
        </c:ser>
        <c:ser>
          <c:idx val="3"/>
          <c:order val="2"/>
          <c:tx>
            <c:v>Scenario Base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DCF_Base!$J$13:$N$13</c:f>
              <c:numCache>
                <c:formatCode>#,##0</c:formatCode>
                <c:ptCount val="5"/>
                <c:pt idx="0">
                  <c:v>466684.45313952904</c:v>
                </c:pt>
                <c:pt idx="1">
                  <c:v>501811.86592692725</c:v>
                </c:pt>
                <c:pt idx="2">
                  <c:v>539583.32464479352</c:v>
                </c:pt>
                <c:pt idx="3">
                  <c:v>580197.84704956587</c:v>
                </c:pt>
                <c:pt idx="4">
                  <c:v>623869.43099576677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C6-424D-A953-5733998FB988}"/>
            </c:ext>
          </c:extLst>
        </c:ser>
        <c:ser>
          <c:idx val="4"/>
          <c:order val="3"/>
          <c:tx>
            <c:v>Scenario Worst 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DCF_Worst!$J$13:$N$13</c:f>
              <c:numCache>
                <c:formatCode>#,##0</c:formatCode>
                <c:ptCount val="5"/>
                <c:pt idx="0">
                  <c:v>453663.973139529</c:v>
                </c:pt>
                <c:pt idx="1">
                  <c:v>474201.41313855554</c:v>
                </c:pt>
                <c:pt idx="2">
                  <c:v>495668.58630284684</c:v>
                </c:pt>
                <c:pt idx="3">
                  <c:v>518107.58180021716</c:v>
                </c:pt>
                <c:pt idx="4">
                  <c:v>541562.39418178145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C6-424D-A953-5733998FB988}"/>
            </c:ext>
          </c:extLst>
        </c:ser>
        <c:ser>
          <c:idx val="5"/>
          <c:order val="4"/>
          <c:tx>
            <c:v>CAGR Based 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DCF_CAGR!$J$13:$N$13</c:f>
              <c:numCache>
                <c:formatCode>#,##0</c:formatCode>
                <c:ptCount val="5"/>
                <c:pt idx="0">
                  <c:v>466684.45313952904</c:v>
                </c:pt>
                <c:pt idx="1">
                  <c:v>501811.86592692725</c:v>
                </c:pt>
                <c:pt idx="2">
                  <c:v>539583.32464479352</c:v>
                </c:pt>
                <c:pt idx="3">
                  <c:v>580197.84704956587</c:v>
                </c:pt>
                <c:pt idx="4">
                  <c:v>623869.43099576677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C6-424D-A953-5733998FB988}"/>
            </c:ext>
          </c:extLst>
        </c:ser>
        <c:ser>
          <c:idx val="6"/>
          <c:order val="5"/>
          <c:tx>
            <c:v>Linear Regression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 DCF_ LINEAR REGRESSION'!$J$13:$N$13</c:f>
              <c:numCache>
                <c:formatCode>#,##0</c:formatCode>
                <c:ptCount val="5"/>
                <c:pt idx="0">
                  <c:v>483097.14999999991</c:v>
                </c:pt>
                <c:pt idx="1">
                  <c:v>544479.87</c:v>
                </c:pt>
                <c:pt idx="2">
                  <c:v>605862.59</c:v>
                </c:pt>
                <c:pt idx="3">
                  <c:v>667245.30999999994</c:v>
                </c:pt>
                <c:pt idx="4">
                  <c:v>728628.02999999991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0C6-424D-A953-5733998FB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452488"/>
        <c:axId val="652061576"/>
      </c:lineChart>
      <c:catAx>
        <c:axId val="496452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B10F9E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061576"/>
        <c:crosses val="autoZero"/>
        <c:auto val="1"/>
        <c:lblAlgn val="ctr"/>
        <c:lblOffset val="100"/>
        <c:noMultiLvlLbl val="0"/>
      </c:catAx>
      <c:valAx>
        <c:axId val="65206157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B10F9E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452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Revenue Projection</a:t>
            </a:r>
          </a:p>
        </c:rich>
      </c:tx>
      <c:layout>
        <c:manualLayout>
          <c:xMode val="edge"/>
          <c:yMode val="edge"/>
          <c:x val="0.35090981045012676"/>
          <c:y val="3.20826700869984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Revenue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'DCF-Segment'!$J$12:$N$12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'DCF-Segment'!$J$13:$N$13</c:f>
              <c:numCache>
                <c:formatCode>#,##0</c:formatCode>
                <c:ptCount val="5"/>
                <c:pt idx="0">
                  <c:v>510363.26990547497</c:v>
                </c:pt>
                <c:pt idx="1">
                  <c:v>602207.98053720046</c:v>
                </c:pt>
                <c:pt idx="2">
                  <c:v>720901.44219253247</c:v>
                </c:pt>
                <c:pt idx="3">
                  <c:v>877228.08249179262</c:v>
                </c:pt>
                <c:pt idx="4">
                  <c:v>1086912.9898352891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24-409F-B68B-7FB6882D6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600624"/>
        <c:axId val="791595224"/>
      </c:lineChart>
      <c:catAx>
        <c:axId val="79160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5224"/>
        <c:crosses val="autoZero"/>
        <c:auto val="1"/>
        <c:lblAlgn val="ctr"/>
        <c:lblOffset val="100"/>
        <c:noMultiLvlLbl val="0"/>
      </c:catAx>
      <c:valAx>
        <c:axId val="7915952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Segment</a:t>
            </a:r>
            <a:r>
              <a:rPr lang="en-US" b="1" i="1" u="dbl" baseline="0">
                <a:solidFill>
                  <a:schemeClr val="tx1"/>
                </a:solidFill>
              </a:rPr>
              <a:t> Wise Revenue Projection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Commercial Vechiles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Segement!$K$4:$O$4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Segement!$K$5:$O$5</c:f>
              <c:numCache>
                <c:formatCode>0</c:formatCode>
                <c:ptCount val="5"/>
                <c:pt idx="0">
                  <c:v>95616.403620866768</c:v>
                </c:pt>
                <c:pt idx="1">
                  <c:v>116034.78368580807</c:v>
                </c:pt>
                <c:pt idx="2">
                  <c:v>140813.40141592556</c:v>
                </c:pt>
                <c:pt idx="3">
                  <c:v>170883.36263040538</c:v>
                </c:pt>
                <c:pt idx="4">
                  <c:v>207374.6058986405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84-460F-A46C-809FBCBE320B}"/>
            </c:ext>
          </c:extLst>
        </c:ser>
        <c:ser>
          <c:idx val="1"/>
          <c:order val="1"/>
          <c:tx>
            <c:v>Passenger Vechiles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Segement!$K$9:$O$9</c:f>
              <c:numCache>
                <c:formatCode>General</c:formatCode>
                <c:ptCount val="5"/>
                <c:pt idx="0">
                  <c:v>78264.700511401155</c:v>
                </c:pt>
                <c:pt idx="1">
                  <c:v>117001.19087997472</c:v>
                </c:pt>
                <c:pt idx="2">
                  <c:v>174909.9987335683</c:v>
                </c:pt>
                <c:pt idx="3">
                  <c:v>261480.30995993118</c:v>
                </c:pt>
                <c:pt idx="4">
                  <c:v>390897.9074483288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84-460F-A46C-809FBCBE320B}"/>
            </c:ext>
          </c:extLst>
        </c:ser>
        <c:ser>
          <c:idx val="2"/>
          <c:order val="2"/>
          <c:tx>
            <c:v>JLR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Segement!$K$13:$O$13</c:f>
              <c:numCache>
                <c:formatCode>General</c:formatCode>
                <c:ptCount val="5"/>
                <c:pt idx="0">
                  <c:v>324986.72236622038</c:v>
                </c:pt>
                <c:pt idx="1">
                  <c:v>355311.58861005481</c:v>
                </c:pt>
                <c:pt idx="2">
                  <c:v>388466.10126532073</c:v>
                </c:pt>
                <c:pt idx="3">
                  <c:v>424714.29773120553</c:v>
                </c:pt>
                <c:pt idx="4">
                  <c:v>464344.85302518267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84-460F-A46C-809FBCBE320B}"/>
            </c:ext>
          </c:extLst>
        </c:ser>
        <c:ser>
          <c:idx val="3"/>
          <c:order val="3"/>
          <c:tx>
            <c:v>Others 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Segement!$K$17:$O$17</c:f>
              <c:numCache>
                <c:formatCode>General</c:formatCode>
                <c:ptCount val="5"/>
                <c:pt idx="0">
                  <c:v>11495.443406986669</c:v>
                </c:pt>
                <c:pt idx="1">
                  <c:v>13860.417361362835</c:v>
                </c:pt>
                <c:pt idx="2">
                  <c:v>16711.940777717849</c:v>
                </c:pt>
                <c:pt idx="3">
                  <c:v>20150.112170250504</c:v>
                </c:pt>
                <c:pt idx="4">
                  <c:v>24295.623463136984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84-460F-A46C-809FBCBE3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490368"/>
        <c:axId val="474481008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v>Total Revenue 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Segement!$K$21:$O$21</c15:sqref>
                        </c15:formulaRef>
                      </c:ext>
                    </c:extLst>
                    <c:numCache>
                      <c:formatCode>#,##0</c:formatCode>
                      <c:ptCount val="5"/>
                      <c:pt idx="0">
                        <c:v>510363.26990547497</c:v>
                      </c:pt>
                      <c:pt idx="1">
                        <c:v>602207.98053720046</c:v>
                      </c:pt>
                      <c:pt idx="2">
                        <c:v>720901.44219253247</c:v>
                      </c:pt>
                      <c:pt idx="3">
                        <c:v>877228.08249179262</c:v>
                      </c:pt>
                      <c:pt idx="4">
                        <c:v>1086912.9898352891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D84-460F-A46C-809FBCBE320B}"/>
                  </c:ext>
                </c:extLst>
              </c15:ser>
            </c15:filteredLineSeries>
          </c:ext>
        </c:extLst>
      </c:lineChart>
      <c:catAx>
        <c:axId val="47449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81008"/>
        <c:crosses val="autoZero"/>
        <c:auto val="1"/>
        <c:lblAlgn val="ctr"/>
        <c:lblOffset val="100"/>
        <c:noMultiLvlLbl val="0"/>
      </c:catAx>
      <c:valAx>
        <c:axId val="4744810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9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dbl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Unlevered FCF vs Present</a:t>
            </a:r>
            <a:r>
              <a:rPr lang="en-US" b="1" i="1" u="dbl" baseline="0">
                <a:solidFill>
                  <a:schemeClr val="tx1"/>
                </a:solidFill>
              </a:rPr>
              <a:t> value</a:t>
            </a:r>
            <a:r>
              <a:rPr lang="en-US" b="1" i="1" u="dbl">
                <a:solidFill>
                  <a:schemeClr val="tx1"/>
                </a:solidFill>
              </a:rPr>
              <a:t> of FCF</a:t>
            </a:r>
          </a:p>
        </c:rich>
      </c:tx>
      <c:layout>
        <c:manualLayout>
          <c:xMode val="edge"/>
          <c:yMode val="edge"/>
          <c:x val="0.2079996987432308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dbl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Unlevered FCF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'DCF-Segment'!$J$12:$N$12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'DCF-Segment'!$J$53:$N$53</c:f>
              <c:numCache>
                <c:formatCode>#,##0_);\(#,##0\)</c:formatCode>
                <c:ptCount val="5"/>
                <c:pt idx="0">
                  <c:v>38320.083157919915</c:v>
                </c:pt>
                <c:pt idx="1">
                  <c:v>45286.040136397482</c:v>
                </c:pt>
                <c:pt idx="2">
                  <c:v>54211.788452878449</c:v>
                </c:pt>
                <c:pt idx="3">
                  <c:v>65967.551803382827</c:v>
                </c:pt>
                <c:pt idx="4">
                  <c:v>81735.856835613755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9F-47F6-A5B3-4165EA884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91597744"/>
        <c:axId val="791598104"/>
      </c:barChart>
      <c:lineChart>
        <c:grouping val="standard"/>
        <c:varyColors val="0"/>
        <c:ser>
          <c:idx val="1"/>
          <c:order val="1"/>
          <c:tx>
            <c:v>Present Value of FCF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numRef>
              <c:f>'DCF-Segment'!$J$12:$N$12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'DCF-Segment'!$J$54:$N$54</c:f>
              <c:numCache>
                <c:formatCode>#,##0_);\(#,##0\)</c:formatCode>
                <c:ptCount val="5"/>
                <c:pt idx="0">
                  <c:v>33526.410002887111</c:v>
                </c:pt>
                <c:pt idx="1">
                  <c:v>34664.549861543674</c:v>
                </c:pt>
                <c:pt idx="2">
                  <c:v>36305.762453775023</c:v>
                </c:pt>
                <c:pt idx="3">
                  <c:v>38652.074019567997</c:v>
                </c:pt>
                <c:pt idx="4">
                  <c:v>41900.158362494934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9F-47F6-A5B3-4165EA884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97744"/>
        <c:axId val="791598104"/>
      </c:lineChart>
      <c:catAx>
        <c:axId val="79159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8104"/>
        <c:crosses val="autoZero"/>
        <c:auto val="1"/>
        <c:lblAlgn val="ctr"/>
        <c:lblOffset val="100"/>
        <c:noMultiLvlLbl val="0"/>
      </c:catAx>
      <c:valAx>
        <c:axId val="7915981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7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Enterprise to Equity Value Bridge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'DCF-Segment'!$B$59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'DCF-Segment'!$C$59:$N$59</c15:sqref>
                  </c15:fullRef>
                </c:ext>
              </c:extLst>
              <c:f>'DCF-Segment'!$N$59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20-4741-8531-ECA142E864F3}"/>
            </c:ext>
          </c:extLst>
        </c:ser>
        <c:ser>
          <c:idx val="1"/>
          <c:order val="1"/>
          <c:tx>
            <c:strRef>
              <c:f>'DCF-Segment'!$B$60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'DCF-Segment'!$C$60:$N$60</c15:sqref>
                  </c15:fullRef>
                </c:ext>
              </c:extLst>
              <c:f>'DCF-Segment'!$N$60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20-4741-8531-ECA142E864F3}"/>
            </c:ext>
          </c:extLst>
        </c:ser>
        <c:ser>
          <c:idx val="2"/>
          <c:order val="2"/>
          <c:tx>
            <c:strRef>
              <c:f>'DCF-Segment'!$B$61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'DCF-Segment'!$C$61:$N$61</c15:sqref>
                  </c15:fullRef>
                </c:ext>
              </c:extLst>
              <c:f>'DCF-Segment'!$N$61</c:f>
              <c:numCache>
                <c:formatCode>General</c:formatCode>
                <c:ptCount val="1"/>
                <c:pt idx="0" formatCode="#,##0_);\(#,##0\)">
                  <c:v>596749.53773805744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20-4741-8531-ECA142E86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605664"/>
        <c:axId val="791606384"/>
      </c:barChart>
      <c:catAx>
        <c:axId val="791605664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791606384"/>
        <c:crosses val="autoZero"/>
        <c:auto val="1"/>
        <c:lblAlgn val="ctr"/>
        <c:lblOffset val="100"/>
        <c:noMultiLvlLbl val="0"/>
      </c:catAx>
      <c:valAx>
        <c:axId val="79160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dbl" strike="noStrike" kern="1200" spc="0" baseline="0">
                <a:solidFill>
                  <a:schemeClr val="tx1"/>
                </a:solidFill>
              </a:rPr>
              <a:t>Enterprise Value Composition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'DCF-Segment'!$B$54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6559305985274142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5D4-4776-883E-12A455EA742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'DCF-Segment'!$C$54:$N$54</c15:sqref>
                  </c15:fullRef>
                </c:ext>
              </c:extLst>
              <c:f>'DCF-Segment'!$N$54</c:f>
              <c:numCache>
                <c:formatCode>General</c:formatCode>
                <c:ptCount val="1"/>
                <c:pt idx="0" formatCode="#,##0_);\(#,##0\)">
                  <c:v>41900.158362494934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D4-4776-883E-12A455EA7429}"/>
            </c:ext>
          </c:extLst>
        </c:ser>
        <c:ser>
          <c:idx val="2"/>
          <c:order val="2"/>
          <c:tx>
            <c:strRef>
              <c:f>'DCF-Segment'!$B$56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'DCF-Segment'!$C$56:$N$56</c15:sqref>
                  </c15:fullRef>
                </c:ext>
              </c:extLst>
              <c:f>'DCF-Segment'!$N$56</c:f>
              <c:numCache>
                <c:formatCode>General</c:formatCode>
                <c:ptCount val="1"/>
                <c:pt idx="0" formatCode="#,##0_);\(#,##0\)">
                  <c:v>923002.8357896629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D4-4776-883E-12A455EA7429}"/>
            </c:ext>
          </c:extLst>
        </c:ser>
        <c:ser>
          <c:idx val="4"/>
          <c:order val="4"/>
          <c:tx>
            <c:strRef>
              <c:f>'DCF-Segment'!$B$58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F5D4-4776-883E-12A455EA74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'DCF-Segment'!$C$58:$N$58</c15:sqref>
                  </c15:fullRef>
                </c:ext>
              </c:extLst>
              <c:f>'DCF-Segment'!$N$58</c:f>
              <c:numCache>
                <c:formatCode>General</c:formatCode>
                <c:ptCount val="1"/>
                <c:pt idx="0" formatCode="#,##0_);\(#,##0\)">
                  <c:v>658206.83773805748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D4-4776-883E-12A455EA742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0689944"/>
        <c:axId val="95069030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'DCF-Segment'!$B$55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'DCF-Segment'!$C$55:$N$55</c15:sqref>
                        </c15:fullRef>
                        <c15:formulaRef>
                          <c15:sqref>'DCF-Segment'!$N$55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5D4-4776-883E-12A455EA7429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'DCF-Segment'!$B$57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'DCF-Segment'!$C$57:$N$57</c15:sqref>
                        </c15:fullRef>
                        <c15:formulaRef>
                          <c15:sqref>'DCF-Segment'!$N$57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473157.88303778879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D4-4776-883E-12A455EA7429}"/>
                  </c:ext>
                </c:extLst>
              </c15:ser>
            </c15:filteredBarSeries>
          </c:ext>
        </c:extLst>
      </c:barChart>
      <c:catAx>
        <c:axId val="950689944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950690304"/>
        <c:crosses val="autoZero"/>
        <c:auto val="1"/>
        <c:lblAlgn val="ctr"/>
        <c:lblOffset val="100"/>
        <c:noMultiLvlLbl val="0"/>
      </c:catAx>
      <c:valAx>
        <c:axId val="95069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Unlevered FCF vs Present value of FCF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Unlevered FCF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DCF_Best!$J$32:$N$32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DCF_Best!$J$53:$N$53</c:f>
              <c:numCache>
                <c:formatCode>#,##0_);\(#,##0\)</c:formatCode>
                <c:ptCount val="5"/>
                <c:pt idx="0">
                  <c:v>36344.010854709952</c:v>
                </c:pt>
                <c:pt idx="1">
                  <c:v>40596.046792912341</c:v>
                </c:pt>
                <c:pt idx="2">
                  <c:v>45275.559543823125</c:v>
                </c:pt>
                <c:pt idx="3">
                  <c:v>50494.480471535971</c:v>
                </c:pt>
                <c:pt idx="4">
                  <c:v>56314.987242121875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75-4AB3-A399-F48C4D22B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0687424"/>
        <c:axId val="950692464"/>
      </c:barChart>
      <c:lineChart>
        <c:grouping val="standard"/>
        <c:varyColors val="0"/>
        <c:ser>
          <c:idx val="1"/>
          <c:order val="1"/>
          <c:tx>
            <c:v>Present Value of FCF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numRef>
              <c:f>DCF_Best!$J$32:$N$32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DCF_Best!$J$54:$N$54</c:f>
              <c:numCache>
                <c:formatCode>#,##0_);\(#,##0\)</c:formatCode>
                <c:ptCount val="5"/>
                <c:pt idx="0">
                  <c:v>31797.535617105041</c:v>
                </c:pt>
                <c:pt idx="1">
                  <c:v>31074.558163972353</c:v>
                </c:pt>
                <c:pt idx="2">
                  <c:v>30321.148898981053</c:v>
                </c:pt>
                <c:pt idx="3">
                  <c:v>29586.006201693766</c:v>
                </c:pt>
                <c:pt idx="4">
                  <c:v>28868.687195295493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75-4AB3-A399-F48C4D22B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0687424"/>
        <c:axId val="950692464"/>
      </c:lineChart>
      <c:catAx>
        <c:axId val="95068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92464"/>
        <c:crosses val="autoZero"/>
        <c:auto val="1"/>
        <c:lblAlgn val="ctr"/>
        <c:lblOffset val="100"/>
        <c:noMultiLvlLbl val="0"/>
      </c:catAx>
      <c:valAx>
        <c:axId val="95069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Revenue Projection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Revenue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DCF_Best!$J$32:$N$32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DCF_Best!$J$33:$N$33</c:f>
              <c:numCache>
                <c:formatCode>#,##0</c:formatCode>
                <c:ptCount val="5"/>
                <c:pt idx="0">
                  <c:v>484045.09313952905</c:v>
                </c:pt>
                <c:pt idx="1">
                  <c:v>539841.04777808965</c:v>
                </c:pt>
                <c:pt idx="2">
                  <c:v>602068.61095509469</c:v>
                </c:pt>
                <c:pt idx="3">
                  <c:v>671469.15520659543</c:v>
                </c:pt>
                <c:pt idx="4">
                  <c:v>748869.51119842904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85-4FD8-A587-15D8198C485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50699664"/>
        <c:axId val="950693544"/>
      </c:lineChart>
      <c:catAx>
        <c:axId val="95069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93544"/>
        <c:crosses val="autoZero"/>
        <c:auto val="1"/>
        <c:lblAlgn val="ctr"/>
        <c:lblOffset val="100"/>
        <c:noMultiLvlLbl val="0"/>
      </c:catAx>
      <c:valAx>
        <c:axId val="95069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9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dbl" strike="noStrike" kern="1200" spc="0" baseline="0">
                <a:solidFill>
                  <a:schemeClr val="tx1"/>
                </a:solidFill>
              </a:rPr>
              <a:t>Enterprise Value Composition </a:t>
            </a:r>
          </a:p>
        </c:rich>
      </c:tx>
      <c:layout>
        <c:manualLayout>
          <c:xMode val="edge"/>
          <c:yMode val="edge"/>
          <c:x val="0.31248859118543382"/>
          <c:y val="4.9689408591703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DCF_Best!$B$54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7912292213473318E-2"/>
                  <c:y val="4.629629629629629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24A-4E18-BA08-20445C553A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DCF_Best!$C$54:$N$54</c15:sqref>
                  </c15:fullRef>
                </c:ext>
              </c:extLst>
              <c:f>DCF_Best!$N$54</c:f>
              <c:numCache>
                <c:formatCode>General</c:formatCode>
                <c:ptCount val="1"/>
                <c:pt idx="0" formatCode="#,##0_);\(#,##0\)">
                  <c:v>28868.687195295493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4A-4E18-BA08-20445C553A31}"/>
            </c:ext>
          </c:extLst>
        </c:ser>
        <c:ser>
          <c:idx val="2"/>
          <c:order val="2"/>
          <c:tx>
            <c:strRef>
              <c:f>DCF_Best!$B$56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424A-4E18-BA08-20445C553A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DCF_Best!$C$56:$N$56</c15:sqref>
                  </c15:fullRef>
                </c:ext>
              </c:extLst>
              <c:f>DCF_Best!$N$56</c:f>
              <c:numCache>
                <c:formatCode>General</c:formatCode>
                <c:ptCount val="1"/>
                <c:pt idx="0" formatCode="#,##0_);\(#,##0\)">
                  <c:v>635937.45675752242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4A-4E18-BA08-20445C553A31}"/>
            </c:ext>
          </c:extLst>
        </c:ser>
        <c:ser>
          <c:idx val="4"/>
          <c:order val="4"/>
          <c:tx>
            <c:strRef>
              <c:f>DCF_Best!$B$58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24A-4E18-BA08-20445C553A3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424A-4E18-BA08-20445C553A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DCF_Best!$C$58:$N$58</c15:sqref>
                  </c15:fullRef>
                </c:ext>
              </c:extLst>
              <c:f>DCF_Best!$N$58</c:f>
              <c:numCache>
                <c:formatCode>General</c:formatCode>
                <c:ptCount val="1"/>
                <c:pt idx="0" formatCode="#,##0_);\(#,##0\)">
                  <c:v>477647.82374412578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4A-4E18-BA08-20445C553A3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899556208"/>
        <c:axId val="8995493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DCF_Best!$B$55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DCF_Best!$C$55:$N$55</c15:sqref>
                        </c15:fullRef>
                        <c15:formulaRef>
                          <c15:sqref>DCF_Best!$N$55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24A-4E18-BA08-20445C553A3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DCF_Best!$B$57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DCF_Best!$C$57:$N$57</c15:sqref>
                        </c15:fullRef>
                        <c15:formulaRef>
                          <c15:sqref>DCF_Best!$N$57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325999.88766707812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24A-4E18-BA08-20445C553A31}"/>
                  </c:ext>
                </c:extLst>
              </c15:ser>
            </c15:filteredBarSeries>
          </c:ext>
        </c:extLst>
      </c:barChart>
      <c:catAx>
        <c:axId val="899556208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899549368"/>
        <c:crosses val="autoZero"/>
        <c:auto val="1"/>
        <c:lblAlgn val="ctr"/>
        <c:lblOffset val="100"/>
        <c:noMultiLvlLbl val="0"/>
      </c:catAx>
      <c:valAx>
        <c:axId val="899549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55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Enterprise to Equity Value Bridge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DCF_Best!$B$59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DCF_Best!$C$59:$N$59</c15:sqref>
                  </c15:fullRef>
                </c:ext>
              </c:extLst>
              <c:f>DCF_Best!$N$59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7D-47B2-B6CD-55D0BCE0562F}"/>
            </c:ext>
          </c:extLst>
        </c:ser>
        <c:ser>
          <c:idx val="1"/>
          <c:order val="1"/>
          <c:tx>
            <c:strRef>
              <c:f>DCF_Best!$B$60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DCF_Best!$C$60:$N$60</c15:sqref>
                  </c15:fullRef>
                </c:ext>
              </c:extLst>
              <c:f>DCF_Best!$N$60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7D-47B2-B6CD-55D0BCE0562F}"/>
            </c:ext>
          </c:extLst>
        </c:ser>
        <c:ser>
          <c:idx val="2"/>
          <c:order val="2"/>
          <c:tx>
            <c:strRef>
              <c:f>DCF_Best!$B$61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77D-47B2-B6CD-55D0BCE0562F}"/>
              </c:ext>
            </c:extLst>
          </c:dPt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DCF_Best!$C$61:$N$61</c15:sqref>
                  </c15:fullRef>
                </c:ext>
              </c:extLst>
              <c:f>DCF_Best!$N$61</c:f>
              <c:numCache>
                <c:formatCode>General</c:formatCode>
                <c:ptCount val="1"/>
                <c:pt idx="0" formatCode="#,##0_);\(#,##0\)">
                  <c:v>416190.52374412579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7D-47B2-B6CD-55D0BCE05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915952"/>
        <c:axId val="793913432"/>
      </c:barChart>
      <c:catAx>
        <c:axId val="793915952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793913432"/>
        <c:crosses val="autoZero"/>
        <c:auto val="1"/>
        <c:lblAlgn val="ctr"/>
        <c:lblOffset val="100"/>
        <c:noMultiLvlLbl val="0"/>
      </c:catAx>
      <c:valAx>
        <c:axId val="79391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Revenue Projection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Revenue</c:v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5">
                    <a:lumMod val="75000"/>
                  </a:schemeClr>
                </a:solidFill>
                <a:ln w="9525">
                  <a:solidFill>
                    <a:schemeClr val="accent5">
                      <a:lumMod val="75000"/>
                    </a:schemeClr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5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EE4-4599-AAD1-93B4D4067AE1}"/>
              </c:ext>
            </c:extLst>
          </c:dPt>
          <c:cat>
            <c:numRef>
              <c:f>DCF_Base!$J$12:$N$12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DCF_Base!$J$13:$N$13</c:f>
              <c:numCache>
                <c:formatCode>#,##0</c:formatCode>
                <c:ptCount val="5"/>
                <c:pt idx="0">
                  <c:v>466684.45313952904</c:v>
                </c:pt>
                <c:pt idx="1">
                  <c:v>501811.86592692725</c:v>
                </c:pt>
                <c:pt idx="2">
                  <c:v>539583.32464479352</c:v>
                </c:pt>
                <c:pt idx="3">
                  <c:v>580197.84704956587</c:v>
                </c:pt>
                <c:pt idx="4">
                  <c:v>623869.43099576677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E4-4599-AAD1-93B4D4067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0688864"/>
        <c:axId val="950685624"/>
      </c:lineChart>
      <c:catAx>
        <c:axId val="95068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5624"/>
        <c:crosses val="autoZero"/>
        <c:auto val="1"/>
        <c:lblAlgn val="ctr"/>
        <c:lblOffset val="100"/>
        <c:noMultiLvlLbl val="0"/>
      </c:catAx>
      <c:valAx>
        <c:axId val="9506856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Unlevered FCF vs Present value of FCF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Unlevered FCF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DCF_Base!$J$32:$N$32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DCF_Base!$J$53:$N$53</c:f>
              <c:numCache>
                <c:formatCode>#,##0_);\(#,##0\)</c:formatCode>
                <c:ptCount val="5"/>
                <c:pt idx="0">
                  <c:v>35040.50566986794</c:v>
                </c:pt>
                <c:pt idx="1">
                  <c:v>37736.252317704937</c:v>
                </c:pt>
                <c:pt idx="2">
                  <c:v>40576.666013288479</c:v>
                </c:pt>
                <c:pt idx="3">
                  <c:v>43630.878098127352</c:v>
                </c:pt>
                <c:pt idx="4">
                  <c:v>46914.981210881662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AB-45DD-BC56-BF42AABC4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0696064"/>
        <c:axId val="950698224"/>
      </c:barChart>
      <c:lineChart>
        <c:grouping val="standard"/>
        <c:varyColors val="0"/>
        <c:ser>
          <c:idx val="1"/>
          <c:order val="1"/>
          <c:tx>
            <c:v>Present Value of FCF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numRef>
              <c:f>DCF_Base!$J$32:$N$32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DCF_Base!$J$54:$N$54</c:f>
              <c:numCache>
                <c:formatCode>#,##0_);\(#,##0\)</c:formatCode>
                <c:ptCount val="5"/>
                <c:pt idx="0">
                  <c:v>30657.093173705223</c:v>
                </c:pt>
                <c:pt idx="1">
                  <c:v>28885.506352839981</c:v>
                </c:pt>
                <c:pt idx="2">
                  <c:v>27174.288830650046</c:v>
                </c:pt>
                <c:pt idx="3">
                  <c:v>25564.446211585593</c:v>
                </c:pt>
                <c:pt idx="4">
                  <c:v>24049.972905562128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AB-45DD-BC56-BF42AABC4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0696064"/>
        <c:axId val="950698224"/>
      </c:lineChart>
      <c:catAx>
        <c:axId val="95069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98224"/>
        <c:crosses val="autoZero"/>
        <c:auto val="1"/>
        <c:lblAlgn val="ctr"/>
        <c:lblOffset val="100"/>
        <c:noMultiLvlLbl val="0"/>
      </c:catAx>
      <c:valAx>
        <c:axId val="95069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9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Enterprise to Equity Value Bridge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DCF_Base!$B$59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DCF_Base!$C$59:$N$59</c15:sqref>
                  </c15:fullRef>
                </c:ext>
              </c:extLst>
              <c:f>DCF_Base!$N$59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40-4C98-84EE-CA82C63EEB75}"/>
            </c:ext>
          </c:extLst>
        </c:ser>
        <c:ser>
          <c:idx val="1"/>
          <c:order val="1"/>
          <c:tx>
            <c:strRef>
              <c:f>DCF_Base!$B$60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DCF_Base!$C$60:$N$60</c15:sqref>
                  </c15:fullRef>
                </c:ext>
              </c:extLst>
              <c:f>DCF_Base!$N$60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40-4C98-84EE-CA82C63EEB75}"/>
            </c:ext>
          </c:extLst>
        </c:ser>
        <c:ser>
          <c:idx val="2"/>
          <c:order val="2"/>
          <c:tx>
            <c:strRef>
              <c:f>DCF_Base!$B$61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DCF_Base!$C$61:$N$61</c15:sqref>
                  </c15:fullRef>
                </c:ext>
              </c:extLst>
              <c:f>DCF_Base!$N$61</c:f>
              <c:numCache>
                <c:formatCode>General</c:formatCode>
                <c:ptCount val="1"/>
                <c:pt idx="0" formatCode="#,##0_);\(#,##0\)">
                  <c:v>346458.52437912271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40-4C98-84EE-CA82C63EE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923152"/>
        <c:axId val="793928192"/>
      </c:barChart>
      <c:catAx>
        <c:axId val="793923152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793928192"/>
        <c:crosses val="autoZero"/>
        <c:auto val="1"/>
        <c:lblAlgn val="ctr"/>
        <c:lblOffset val="100"/>
        <c:noMultiLvlLbl val="0"/>
      </c:catAx>
      <c:valAx>
        <c:axId val="79392819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2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dbl" strike="noStrike" kern="1200" spc="0" baseline="0">
                <a:solidFill>
                  <a:schemeClr val="tx1"/>
                </a:solidFill>
              </a:rPr>
              <a:t>Enterprise Value Composition </a:t>
            </a:r>
          </a:p>
        </c:rich>
      </c:tx>
      <c:layout>
        <c:manualLayout>
          <c:xMode val="edge"/>
          <c:yMode val="edge"/>
          <c:x val="0.27319586034064014"/>
          <c:y val="4.9689408591703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DCF_Base!$B$54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7912292213473318E-2"/>
                  <c:y val="4.629629629629629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2DB-4C0C-AE26-41C46707A6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DCF_Base!$C$54:$N$54</c15:sqref>
                  </c15:fullRef>
                </c:ext>
              </c:extLst>
              <c:f>DCF_Base!$N$54</c:f>
              <c:numCache>
                <c:formatCode>General</c:formatCode>
                <c:ptCount val="1"/>
                <c:pt idx="0" formatCode="#,##0_);\(#,##0\)">
                  <c:v>24049.972905562128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F89-4EE9-B31D-3BFCE2AB5BF4}"/>
            </c:ext>
          </c:extLst>
        </c:ser>
        <c:ser>
          <c:idx val="2"/>
          <c:order val="2"/>
          <c:tx>
            <c:strRef>
              <c:f>DCF_Base!$B$56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82DB-4C0C-AE26-41C46707A6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DCF_Base!$C$56:$N$56</c15:sqref>
                  </c15:fullRef>
                </c:ext>
              </c:extLst>
              <c:f>DCF_Base!$N$56</c:f>
              <c:numCache>
                <c:formatCode>General</c:formatCode>
                <c:ptCount val="1"/>
                <c:pt idx="0" formatCode="#,##0_);\(#,##0\)">
                  <c:v>529787.81131214357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F89-4EE9-B31D-3BFCE2AB5BF4}"/>
            </c:ext>
          </c:extLst>
        </c:ser>
        <c:ser>
          <c:idx val="4"/>
          <c:order val="4"/>
          <c:tx>
            <c:strRef>
              <c:f>DCF_Base!$B$58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2DB-4C0C-AE26-41C46707A69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82DB-4C0C-AE26-41C46707A6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DCF_Base!$C$58:$N$58</c15:sqref>
                  </c15:fullRef>
                </c:ext>
              </c:extLst>
              <c:f>DCF_Base!$N$58</c:f>
              <c:numCache>
                <c:formatCode>General</c:formatCode>
                <c:ptCount val="1"/>
                <c:pt idx="0" formatCode="#,##0_);\(#,##0\)">
                  <c:v>407915.8243791227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F89-4EE9-B31D-3BFCE2AB5BF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899556208"/>
        <c:axId val="8995493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DCF_Base!$B$55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DCF_Base!$C$55:$N$55</c15:sqref>
                        </c15:fullRef>
                        <c15:formulaRef>
                          <c15:sqref>DCF_Base!$N$55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B-3F89-4EE9-B31D-3BFCE2AB5BF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DCF_Base!$B$57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DCF_Base!$C$57:$N$57</c15:sqref>
                        </c15:fullRef>
                        <c15:formulaRef>
                          <c15:sqref>DCF_Base!$N$57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271584.51690477971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F89-4EE9-B31D-3BFCE2AB5BF4}"/>
                  </c:ext>
                </c:extLst>
              </c15:ser>
            </c15:filteredBarSeries>
          </c:ext>
        </c:extLst>
      </c:barChart>
      <c:catAx>
        <c:axId val="899556208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899549368"/>
        <c:crosses val="autoZero"/>
        <c:auto val="1"/>
        <c:lblAlgn val="ctr"/>
        <c:lblOffset val="100"/>
        <c:noMultiLvlLbl val="0"/>
      </c:catAx>
      <c:valAx>
        <c:axId val="899549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55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Revenue Projection</a:t>
            </a:r>
          </a:p>
        </c:rich>
      </c:tx>
      <c:layout>
        <c:manualLayout>
          <c:xMode val="edge"/>
          <c:yMode val="edge"/>
          <c:x val="0.34270376397561791"/>
          <c:y val="2.67812049363173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a</c:v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DCF_Worst!$J$32:$N$32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DCF_Worst!$J$33:$N$33</c:f>
              <c:numCache>
                <c:formatCode>#,##0</c:formatCode>
                <c:ptCount val="5"/>
                <c:pt idx="0">
                  <c:v>453663.973139529</c:v>
                </c:pt>
                <c:pt idx="1">
                  <c:v>474201.41313855554</c:v>
                </c:pt>
                <c:pt idx="2">
                  <c:v>495668.58630284684</c:v>
                </c:pt>
                <c:pt idx="3">
                  <c:v>518107.58180021716</c:v>
                </c:pt>
                <c:pt idx="4">
                  <c:v>541562.39418178145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FA-4BED-85A4-8CF4F7E3A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600624"/>
        <c:axId val="791595224"/>
      </c:lineChart>
      <c:catAx>
        <c:axId val="79160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5224"/>
        <c:crosses val="autoZero"/>
        <c:auto val="1"/>
        <c:lblAlgn val="ctr"/>
        <c:lblOffset val="100"/>
        <c:noMultiLvlLbl val="0"/>
      </c:catAx>
      <c:valAx>
        <c:axId val="7915952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dbl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Unlevered FCF vs Present</a:t>
            </a:r>
            <a:r>
              <a:rPr lang="en-US" b="1" i="1" u="dbl" baseline="0">
                <a:solidFill>
                  <a:schemeClr val="tx1"/>
                </a:solidFill>
              </a:rPr>
              <a:t> value</a:t>
            </a:r>
            <a:r>
              <a:rPr lang="en-US" b="1" i="1" u="dbl">
                <a:solidFill>
                  <a:schemeClr val="tx1"/>
                </a:solidFill>
              </a:rPr>
              <a:t> of FCF</a:t>
            </a:r>
          </a:p>
        </c:rich>
      </c:tx>
      <c:layout>
        <c:manualLayout>
          <c:xMode val="edge"/>
          <c:yMode val="edge"/>
          <c:x val="0.2079996987432308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dbl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Unlevered FCF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DCF_Worst!$J$32:$N$32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DCF_Worst!$J$53:$N$53</c:f>
              <c:numCache>
                <c:formatCode>#,##0_);\(#,##0\)</c:formatCode>
                <c:ptCount val="5"/>
                <c:pt idx="0">
                  <c:v>34062.876781236424</c:v>
                </c:pt>
                <c:pt idx="1">
                  <c:v>29471.617826561225</c:v>
                </c:pt>
                <c:pt idx="2">
                  <c:v>30805.802638721936</c:v>
                </c:pt>
                <c:pt idx="3">
                  <c:v>32200.38620888349</c:v>
                </c:pt>
                <c:pt idx="4">
                  <c:v>33658.102798397726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36C-43E0-B78E-BF6CE7CFB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1597744"/>
        <c:axId val="791598104"/>
      </c:barChart>
      <c:lineChart>
        <c:grouping val="standard"/>
        <c:varyColors val="0"/>
        <c:ser>
          <c:idx val="1"/>
          <c:order val="1"/>
          <c:tx>
            <c:v>Present Value of FCF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numRef>
              <c:f>DCF_Worst!$J$32:$N$32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DCF_Worst!$J$54:$N$54</c:f>
              <c:numCache>
                <c:formatCode>#,##0_);\(#,##0\)</c:formatCode>
                <c:ptCount val="5"/>
                <c:pt idx="0">
                  <c:v>29801.76134115535</c:v>
                </c:pt>
                <c:pt idx="1">
                  <c:v>22559.277926976225</c:v>
                </c:pt>
                <c:pt idx="2">
                  <c:v>20630.718607844232</c:v>
                </c:pt>
                <c:pt idx="3">
                  <c:v>18867.028973790373</c:v>
                </c:pt>
                <c:pt idx="4">
                  <c:v>17254.114559174901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36C-43E0-B78E-BF6CE7CFB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97744"/>
        <c:axId val="791598104"/>
      </c:lineChart>
      <c:catAx>
        <c:axId val="79159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8104"/>
        <c:crosses val="autoZero"/>
        <c:auto val="1"/>
        <c:lblAlgn val="ctr"/>
        <c:lblOffset val="100"/>
        <c:noMultiLvlLbl val="0"/>
      </c:catAx>
      <c:valAx>
        <c:axId val="7915981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7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Enterprise to Equity Value Bridge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DCF_Worst!$B$59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DCF_Worst!$C$59:$N$59</c15:sqref>
                  </c15:fullRef>
                </c:ext>
              </c:extLst>
              <c:f>DCF_Worst!$N$59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99-4158-B7A4-829469123D4B}"/>
            </c:ext>
          </c:extLst>
        </c:ser>
        <c:ser>
          <c:idx val="1"/>
          <c:order val="1"/>
          <c:tx>
            <c:strRef>
              <c:f>DCF_Worst!$B$60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DCF_Worst!$C$60:$N$60</c15:sqref>
                  </c15:fullRef>
                </c:ext>
              </c:extLst>
              <c:f>DCF_Worst!$N$60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A99-4158-B7A4-829469123D4B}"/>
            </c:ext>
          </c:extLst>
        </c:ser>
        <c:ser>
          <c:idx val="2"/>
          <c:order val="2"/>
          <c:tx>
            <c:strRef>
              <c:f>DCF_Worst!$B$61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DCF_Worst!$C$61:$N$61</c15:sqref>
                  </c15:fullRef>
                </c:ext>
              </c:extLst>
              <c:f>DCF_Worst!$N$61</c:f>
              <c:numCache>
                <c:formatCode>General</c:formatCode>
                <c:ptCount val="1"/>
                <c:pt idx="0" formatCode="#,##0_);\(#,##0\)">
                  <c:v>242497.83202490589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A99-4158-B7A4-829469123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605664"/>
        <c:axId val="791606384"/>
      </c:barChart>
      <c:catAx>
        <c:axId val="791605664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791606384"/>
        <c:crosses val="autoZero"/>
        <c:auto val="1"/>
        <c:lblAlgn val="ctr"/>
        <c:lblOffset val="100"/>
        <c:noMultiLvlLbl val="0"/>
      </c:catAx>
      <c:valAx>
        <c:axId val="79160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dbl" strike="noStrike" kern="1200" spc="0" baseline="0">
                <a:solidFill>
                  <a:schemeClr val="tx1"/>
                </a:solidFill>
              </a:rPr>
              <a:t>Enterprise Value Composition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DCF_Worst!$B$54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3.3555983005347824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5E9-4CA5-BA2B-D98DBDC241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DCF_Worst!$C$54:$N$54</c15:sqref>
                  </c15:fullRef>
                </c:ext>
              </c:extLst>
              <c:f>DCF_Worst!$N$54</c:f>
              <c:numCache>
                <c:formatCode>General</c:formatCode>
                <c:ptCount val="1"/>
                <c:pt idx="0" formatCode="#,##0_);\(#,##0\)">
                  <c:v>17254.114559174901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5E9-4CA5-BA2B-D98DBDC24104}"/>
            </c:ext>
          </c:extLst>
        </c:ser>
        <c:ser>
          <c:idx val="2"/>
          <c:order val="2"/>
          <c:tx>
            <c:strRef>
              <c:f>DCF_Worst!$B$56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DCF_Worst!$C$56:$N$56</c15:sqref>
                  </c15:fullRef>
                </c:ext>
              </c:extLst>
              <c:f>DCF_Worst!$N$56</c:f>
              <c:numCache>
                <c:formatCode>General</c:formatCode>
                <c:ptCount val="1"/>
                <c:pt idx="0" formatCode="#,##0_);\(#,##0\)">
                  <c:v>380084.40276954253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5E9-4CA5-BA2B-D98DBDC24104}"/>
            </c:ext>
          </c:extLst>
        </c:ser>
        <c:ser>
          <c:idx val="4"/>
          <c:order val="4"/>
          <c:tx>
            <c:strRef>
              <c:f>DCF_Worst!$B$58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DCF_Worst!$C$58:$N$58</c15:sqref>
                  </c15:fullRef>
                </c:ext>
              </c:extLst>
              <c:f>DCF_Worst!$N$58</c:f>
              <c:numCache>
                <c:formatCode>General</c:formatCode>
                <c:ptCount val="1"/>
                <c:pt idx="0" formatCode="#,##0_);\(#,##0\)">
                  <c:v>303955.13202490588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5E9-4CA5-BA2B-D98DBDC2410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0689944"/>
        <c:axId val="95069030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DCF_Worst!$B$55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DCF_Worst!$C$55:$N$55</c15:sqref>
                        </c15:fullRef>
                        <c15:formulaRef>
                          <c15:sqref>DCF_Worst!$N$55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65E9-4CA5-BA2B-D98DBDC2410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DCF_Worst!$B$57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DCF_Worst!$C$57:$N$57</c15:sqref>
                        </c15:fullRef>
                        <c15:formulaRef>
                          <c15:sqref>DCF_Worst!$N$57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194842.23061596483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5E9-4CA5-BA2B-D98DBDC24104}"/>
                  </c:ext>
                </c:extLst>
              </c15:ser>
            </c15:filteredBarSeries>
          </c:ext>
        </c:extLst>
      </c:barChart>
      <c:catAx>
        <c:axId val="950689944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950690304"/>
        <c:crosses val="autoZero"/>
        <c:auto val="1"/>
        <c:lblAlgn val="ctr"/>
        <c:lblOffset val="100"/>
        <c:noMultiLvlLbl val="0"/>
      </c:catAx>
      <c:valAx>
        <c:axId val="95069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Revenue Projection</a:t>
            </a:r>
          </a:p>
        </c:rich>
      </c:tx>
      <c:layout>
        <c:manualLayout>
          <c:xMode val="edge"/>
          <c:yMode val="edge"/>
          <c:x val="0.34270376397561791"/>
          <c:y val="2.67812049363173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DCF_CAGR!$J$32:$N$32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DCF_CAGR!$J$33:$N$33</c:f>
              <c:numCache>
                <c:formatCode>#,##0</c:formatCode>
                <c:ptCount val="5"/>
                <c:pt idx="0">
                  <c:v>466684.45313952904</c:v>
                </c:pt>
                <c:pt idx="1">
                  <c:v>501811.86592692725</c:v>
                </c:pt>
                <c:pt idx="2">
                  <c:v>539583.32464479352</c:v>
                </c:pt>
                <c:pt idx="3">
                  <c:v>580197.84704956587</c:v>
                </c:pt>
                <c:pt idx="4">
                  <c:v>623869.43099576677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7-44ED-BCAF-CE0F89414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600624"/>
        <c:axId val="791595224"/>
      </c:lineChart>
      <c:catAx>
        <c:axId val="79160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5224"/>
        <c:crosses val="autoZero"/>
        <c:auto val="1"/>
        <c:lblAlgn val="ctr"/>
        <c:lblOffset val="100"/>
        <c:noMultiLvlLbl val="0"/>
      </c:catAx>
      <c:valAx>
        <c:axId val="7915952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dbl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>
                <a:solidFill>
                  <a:schemeClr val="tx1"/>
                </a:solidFill>
              </a:rPr>
              <a:t>Unlevered FCF vs Present</a:t>
            </a:r>
            <a:r>
              <a:rPr lang="en-US" b="1" i="1" u="dbl" baseline="0">
                <a:solidFill>
                  <a:schemeClr val="tx1"/>
                </a:solidFill>
              </a:rPr>
              <a:t> value</a:t>
            </a:r>
            <a:r>
              <a:rPr lang="en-US" b="1" i="1" u="dbl">
                <a:solidFill>
                  <a:schemeClr val="tx1"/>
                </a:solidFill>
              </a:rPr>
              <a:t> of FCF</a:t>
            </a:r>
          </a:p>
        </c:rich>
      </c:tx>
      <c:layout>
        <c:manualLayout>
          <c:xMode val="edge"/>
          <c:yMode val="edge"/>
          <c:x val="0.2079996987432308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dbl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Unlevered 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DCF_CAGR!$J$32:$N$32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DCF_CAGR!$J$53:$N$53</c:f>
              <c:numCache>
                <c:formatCode>#,##0_);\(#,##0\)</c:formatCode>
                <c:ptCount val="5"/>
                <c:pt idx="0">
                  <c:v>35040.50566986794</c:v>
                </c:pt>
                <c:pt idx="1">
                  <c:v>37736.252317704937</c:v>
                </c:pt>
                <c:pt idx="2">
                  <c:v>40576.666013288479</c:v>
                </c:pt>
                <c:pt idx="3">
                  <c:v>43630.878098127352</c:v>
                </c:pt>
                <c:pt idx="4">
                  <c:v>46914.981210881662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30-4F5E-BB89-BCE01E193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1597744"/>
        <c:axId val="791598104"/>
      </c:barChart>
      <c:lineChart>
        <c:grouping val="standard"/>
        <c:varyColors val="0"/>
        <c:ser>
          <c:idx val="1"/>
          <c:order val="1"/>
          <c:tx>
            <c:v>Present Value of FCF</c:v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numRef>
              <c:f>DCF_CAGR!$J$32:$N$32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DCF_CAGR!$J$54:$N$54</c:f>
              <c:numCache>
                <c:formatCode>#,##0_);\(#,##0\)</c:formatCode>
                <c:ptCount val="5"/>
                <c:pt idx="0">
                  <c:v>30657.093173705223</c:v>
                </c:pt>
                <c:pt idx="1">
                  <c:v>28885.506352839981</c:v>
                </c:pt>
                <c:pt idx="2">
                  <c:v>27174.288830650046</c:v>
                </c:pt>
                <c:pt idx="3">
                  <c:v>25564.446211585593</c:v>
                </c:pt>
                <c:pt idx="4">
                  <c:v>24049.972905562128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30-4F5E-BB89-BCE01E193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97744"/>
        <c:axId val="791598104"/>
      </c:lineChart>
      <c:catAx>
        <c:axId val="79159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8104"/>
        <c:crosses val="autoZero"/>
        <c:auto val="1"/>
        <c:lblAlgn val="ctr"/>
        <c:lblOffset val="100"/>
        <c:noMultiLvlLbl val="0"/>
      </c:catAx>
      <c:valAx>
        <c:axId val="7915981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7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dbl" strike="noStrike" kern="1200" spc="0" baseline="0">
                <a:solidFill>
                  <a:schemeClr val="tx1"/>
                </a:solidFill>
              </a:rPr>
              <a:t>Enterprise to Equity Value Bridge</a:t>
            </a:r>
          </a:p>
        </c:rich>
      </c:tx>
      <c:layout>
        <c:manualLayout>
          <c:xMode val="edge"/>
          <c:yMode val="edge"/>
          <c:x val="0.24347350486184549"/>
          <c:y val="2.56317279081079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DCF_CAGR!$B$59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DCF_CAGR!$C$59:$N$59</c15:sqref>
                  </c15:fullRef>
                </c:ext>
              </c:extLst>
              <c:f>DCF_CAGR!$N$59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B6-4C49-843A-C96FF1D4652C}"/>
            </c:ext>
          </c:extLst>
        </c:ser>
        <c:ser>
          <c:idx val="1"/>
          <c:order val="1"/>
          <c:tx>
            <c:strRef>
              <c:f>DCF_CAGR!$B$60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DCF_CAGR!$C$60:$N$60</c15:sqref>
                  </c15:fullRef>
                </c:ext>
              </c:extLst>
              <c:f>DCF_CAGR!$N$60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B6-4C49-843A-C96FF1D4652C}"/>
            </c:ext>
          </c:extLst>
        </c:ser>
        <c:ser>
          <c:idx val="2"/>
          <c:order val="2"/>
          <c:tx>
            <c:strRef>
              <c:f>DCF_CAGR!$B$61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DCF_CAGR!$C$61:$N$61</c15:sqref>
                  </c15:fullRef>
                </c:ext>
              </c:extLst>
              <c:f>DCF_CAGR!$N$61</c:f>
              <c:numCache>
                <c:formatCode>General</c:formatCode>
                <c:ptCount val="1"/>
                <c:pt idx="0" formatCode="#,##0_);\(#,##0\)">
                  <c:v>346458.52437912271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B6-4C49-843A-C96FF1D46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605664"/>
        <c:axId val="791606384"/>
      </c:barChart>
      <c:catAx>
        <c:axId val="791605664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791606384"/>
        <c:crosses val="autoZero"/>
        <c:auto val="1"/>
        <c:lblAlgn val="ctr"/>
        <c:lblOffset val="100"/>
        <c:noMultiLvlLbl val="0"/>
      </c:catAx>
      <c:valAx>
        <c:axId val="79160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dbl" strike="noStrike" kern="1200" spc="0" baseline="0">
                <a:solidFill>
                  <a:schemeClr val="tx1"/>
                </a:solidFill>
              </a:rPr>
              <a:t>Enterprise Value Composition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DCF_CAGR!$B$54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11"/>
              <c:layout>
                <c:manualLayout>
                  <c:x val="4.6668633309277688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92E-4902-9B78-B0DEEF3230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DCF_CAGR!$C$54:$N$54</c:f>
              <c:numCache>
                <c:formatCode>General</c:formatCode>
                <c:ptCount val="12"/>
                <c:pt idx="7" formatCode="#,##0_);\(#,##0\)">
                  <c:v>30657.093173705223</c:v>
                </c:pt>
                <c:pt idx="8" formatCode="#,##0_);\(#,##0\)">
                  <c:v>28885.506352839981</c:v>
                </c:pt>
                <c:pt idx="9" formatCode="#,##0_);\(#,##0\)">
                  <c:v>27174.288830650046</c:v>
                </c:pt>
                <c:pt idx="10" formatCode="#,##0_);\(#,##0\)">
                  <c:v>25564.446211585593</c:v>
                </c:pt>
                <c:pt idx="11" formatCode="#,##0_);\(#,##0\)">
                  <c:v>24049.972905562128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2E-4902-9B78-B0DEEF32300B}"/>
            </c:ext>
          </c:extLst>
        </c:ser>
        <c:ser>
          <c:idx val="2"/>
          <c:order val="2"/>
          <c:tx>
            <c:strRef>
              <c:f>DCF_CAGR!$B$56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DCF_CAGR!$C$56:$N$56</c:f>
              <c:numCache>
                <c:formatCode>General</c:formatCode>
                <c:ptCount val="12"/>
                <c:pt idx="11" formatCode="#,##0_);\(#,##0\)">
                  <c:v>529787.81131214357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92E-4902-9B78-B0DEEF32300B}"/>
            </c:ext>
          </c:extLst>
        </c:ser>
        <c:ser>
          <c:idx val="4"/>
          <c:order val="4"/>
          <c:tx>
            <c:strRef>
              <c:f>DCF_CAGR!$B$58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A92E-4902-9B78-B0DEEF3230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DCF_CAGR!$C$58:$N$58</c:f>
              <c:numCache>
                <c:formatCode>General</c:formatCode>
                <c:ptCount val="12"/>
                <c:pt idx="11" formatCode="#,##0_);\(#,##0\)">
                  <c:v>407915.8243791227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92E-4902-9B78-B0DEEF32300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0689944"/>
        <c:axId val="95069030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DCF_CAGR!$B$55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DCF_CAGR!$C$55:$N$55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A92E-4902-9B78-B0DEEF32300B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DCF_CAGR!$B$57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DCF_CAGR!$C$57:$N$57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11" formatCode="#,##0_);\(#,##0\)">
                        <c:v>271584.51690477971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92E-4902-9B78-B0DEEF32300B}"/>
                  </c:ext>
                </c:extLst>
              </c15:ser>
            </c15:filteredBarSeries>
          </c:ext>
        </c:extLst>
      </c:barChart>
      <c:catAx>
        <c:axId val="950689944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extTo"/>
        <c:crossAx val="950690304"/>
        <c:crosses val="autoZero"/>
        <c:auto val="1"/>
        <c:lblAlgn val="ctr"/>
        <c:lblOffset val="100"/>
        <c:noMultiLvlLbl val="0"/>
      </c:catAx>
      <c:valAx>
        <c:axId val="95069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Unlevered FCF vs Present Value of FCF (₹ Cr)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DCF_ LINEAR REGRESSION'!$B$53</c:f>
              <c:strCache>
                <c:ptCount val="1"/>
                <c:pt idx="0">
                  <c:v>Unlevered FCF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 DCF_ LINEAR REGRESSION'!$C$32:$N$32</c15:sqref>
                  </c15:fullRef>
                </c:ext>
              </c:extLst>
              <c:f>' DCF_ LINEAR REGRESSION'!$J$32:$N$32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REGRESSION'!$C$53:$N$53</c15:sqref>
                  </c15:fullRef>
                </c:ext>
              </c:extLst>
              <c:f>' DCF_ LINEAR REGRESSION'!$J$53:$N$53</c:f>
              <c:numCache>
                <c:formatCode>General</c:formatCode>
                <c:ptCount val="5"/>
                <c:pt idx="0" formatCode="#,##0_);\(#,##0\)">
                  <c:v>36272.8355525718</c:v>
                </c:pt>
                <c:pt idx="1" formatCode="#,##0_);\(#,##0\)">
                  <c:v>40944.886223999994</c:v>
                </c:pt>
                <c:pt idx="2" formatCode="#,##0_);\(#,##0\)">
                  <c:v>45560.866767999993</c:v>
                </c:pt>
                <c:pt idx="3" formatCode="#,##0_);\(#,##0\)">
                  <c:v>50176.847311999998</c:v>
                </c:pt>
                <c:pt idx="4" formatCode="#,##0_);\(#,##0\)">
                  <c:v>54792.827856000004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6A-4B9C-97C4-F7CAD6496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0823200"/>
        <c:axId val="690823560"/>
      </c:barChart>
      <c:lineChart>
        <c:grouping val="standard"/>
        <c:varyColors val="0"/>
        <c:ser>
          <c:idx val="1"/>
          <c:order val="1"/>
          <c:tx>
            <c:strRef>
              <c:f>' DCF_ LINEAR REGRESSION'!$B$54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2025</c:v>
              </c:pt>
              <c:pt idx="1">
                <c:v>2026</c:v>
              </c:pt>
              <c:pt idx="2">
                <c:v>2027</c:v>
              </c:pt>
              <c:pt idx="3">
                <c:v>2028</c:v>
              </c:pt>
              <c:pt idx="4">
                <c:v>2029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REGRESSION'!$C$54:$N$54</c15:sqref>
                  </c15:fullRef>
                </c:ext>
              </c:extLst>
              <c:f>' DCF_ LINEAR REGRESSION'!$J$54:$N$54</c:f>
              <c:numCache>
                <c:formatCode>General</c:formatCode>
                <c:ptCount val="5"/>
                <c:pt idx="0" formatCode="#,##0_);\(#,##0\)">
                  <c:v>31735.264030904949</c:v>
                </c:pt>
                <c:pt idx="1" formatCode="#,##0_);\(#,##0\)">
                  <c:v>31341.580005939311</c:v>
                </c:pt>
                <c:pt idx="2" formatCode="#,##0_);\(#,##0\)">
                  <c:v>30512.219819216691</c:v>
                </c:pt>
                <c:pt idx="3" formatCode="#,##0_);\(#,##0\)">
                  <c:v>29399.896818249523</c:v>
                </c:pt>
                <c:pt idx="4" formatCode="#,##0_);\(#,##0\)">
                  <c:v>28088.384378384482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6A-4B9C-97C4-F7CAD6496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0823200"/>
        <c:axId val="690823560"/>
      </c:lineChart>
      <c:catAx>
        <c:axId val="69082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823560"/>
        <c:crosses val="autoZero"/>
        <c:auto val="1"/>
        <c:lblAlgn val="ctr"/>
        <c:lblOffset val="100"/>
        <c:noMultiLvlLbl val="0"/>
      </c:catAx>
      <c:valAx>
        <c:axId val="6908235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82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Enterprise to Equity Value Bridge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DCF_ LINEAR REGRESSION'!$B$59</c:f>
              <c:strCache>
                <c:ptCount val="1"/>
                <c:pt idx="0">
                  <c:v>+ Cash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REGRESSION'!$C$59:$N$59</c15:sqref>
                  </c15:fullRef>
                </c:ext>
              </c:extLst>
              <c:f>' DCF_ LINEAR REGRESSION'!$N$59</c:f>
              <c:numCache>
                <c:formatCode>General</c:formatCode>
                <c:ptCount val="1"/>
                <c:pt idx="0" formatCode="[$₹-439]#,##0">
                  <c:v>45806.7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E9-4445-B65C-4C5BA94AE9EE}"/>
            </c:ext>
          </c:extLst>
        </c:ser>
        <c:ser>
          <c:idx val="1"/>
          <c:order val="1"/>
          <c:tx>
            <c:strRef>
              <c:f>' DCF_ LINEAR REGRESSION'!$B$60</c:f>
              <c:strCache>
                <c:ptCount val="1"/>
                <c:pt idx="0">
                  <c:v>- Debt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REGRESSION'!$C$60:$N$60</c15:sqref>
                  </c15:fullRef>
                </c:ext>
              </c:extLst>
              <c:f>' DCF_ LINEAR REGRESSION'!$N$60</c:f>
              <c:numCache>
                <c:formatCode>General</c:formatCode>
                <c:ptCount val="1"/>
                <c:pt idx="0" formatCode="[$₹-439]#,##0">
                  <c:v>107264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E9-4445-B65C-4C5BA94AE9EE}"/>
            </c:ext>
          </c:extLst>
        </c:ser>
        <c:ser>
          <c:idx val="2"/>
          <c:order val="2"/>
          <c:tx>
            <c:strRef>
              <c:f>' DCF_ LINEAR REGRESSION'!$B$61</c:f>
              <c:strCache>
                <c:ptCount val="1"/>
                <c:pt idx="0">
                  <c:v>Equity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REGRESSION'!$C$61:$N$61</c15:sqref>
                  </c15:fullRef>
                </c:ext>
              </c:extLst>
              <c:f>' DCF_ LINEAR REGRESSION'!$N$61</c:f>
              <c:numCache>
                <c:formatCode>General</c:formatCode>
                <c:ptCount val="1"/>
                <c:pt idx="0" formatCode="#,##0_);\(#,##0\)">
                  <c:v>406808.35673994303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E9-4445-B65C-4C5BA94AE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689328"/>
        <c:axId val="586686448"/>
      </c:barChart>
      <c:catAx>
        <c:axId val="586689328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586686448"/>
        <c:crosses val="autoZero"/>
        <c:auto val="1"/>
        <c:lblAlgn val="ctr"/>
        <c:lblOffset val="100"/>
        <c:noMultiLvlLbl val="0"/>
      </c:catAx>
      <c:valAx>
        <c:axId val="58668644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68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Enterprise Value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962106615285805E-2"/>
          <c:y val="0.39685942239095323"/>
          <c:w val="0.90247912652536932"/>
          <c:h val="0.4008533074595769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 DCF_ LINEAR REGRESSION'!$B$54</c:f>
              <c:strCache>
                <c:ptCount val="1"/>
                <c:pt idx="0">
                  <c:v>Present Value of FCF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REGRESSION'!$C$54:$N$54</c15:sqref>
                  </c15:fullRef>
                </c:ext>
              </c:extLst>
              <c:f>' DCF_ LINEAR REGRESSION'!$N$54</c:f>
              <c:numCache>
                <c:formatCode>General</c:formatCode>
                <c:ptCount val="1"/>
                <c:pt idx="0" formatCode="#,##0_);\(#,##0\)">
                  <c:v>28088.384378384482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A8-44D8-92DF-9D561F34816B}"/>
            </c:ext>
          </c:extLst>
        </c:ser>
        <c:ser>
          <c:idx val="2"/>
          <c:order val="2"/>
          <c:tx>
            <c:strRef>
              <c:f>' DCF_ LINEAR REGRESSION'!$B$56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REGRESSION'!$C$56:$N$56</c15:sqref>
                  </c15:fullRef>
                </c:ext>
              </c:extLst>
              <c:f>' DCF_ LINEAR REGRESSION'!$N$56</c:f>
              <c:numCache>
                <c:formatCode>General</c:formatCode>
                <c:ptCount val="1"/>
                <c:pt idx="0" formatCode="#,##0_);\(#,##0\)">
                  <c:v>618748.4593663289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A8-44D8-92DF-9D561F34816B}"/>
            </c:ext>
          </c:extLst>
        </c:ser>
        <c:ser>
          <c:idx val="4"/>
          <c:order val="4"/>
          <c:tx>
            <c:strRef>
              <c:f>' DCF_ LINEAR REGRESSION'!$B$58</c:f>
              <c:strCache>
                <c:ptCount val="1"/>
                <c:pt idx="0">
                  <c:v>Enterprise Value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DCF_ LINEAR REGRESSION'!$C$58:$N$58</c15:sqref>
                  </c15:fullRef>
                </c:ext>
              </c:extLst>
              <c:f>' DCF_ LINEAR REGRESSION'!$N$58</c:f>
              <c:numCache>
                <c:formatCode>General</c:formatCode>
                <c:ptCount val="1"/>
                <c:pt idx="0" formatCode="#,##0_);\(#,##0\)">
                  <c:v>468265.65673994302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A8-44D8-92DF-9D561F34816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91571216"/>
        <c:axId val="69157229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 DCF_ LINEAR REGRESSION'!$B$55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' DCF_ LINEAR REGRESSION'!$C$55:$N$55</c15:sqref>
                        </c15:fullRef>
                        <c15:formulaRef>
                          <c15:sqref>' DCF_ LINEAR REGRESSION'!$N$55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7A8-44D8-92DF-9D561F34816B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DCF_ LINEAR REGRESSION'!$B$57</c15:sqref>
                        </c15:formulaRef>
                      </c:ext>
                    </c:extLst>
                    <c:strCache>
                      <c:ptCount val="1"/>
                      <c:pt idx="0">
                        <c:v>Present Value of Terminal Value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 DCF_ LINEAR REGRESSION'!$C$57:$N$57</c15:sqref>
                        </c15:fullRef>
                        <c15:formulaRef>
                          <c15:sqref>' DCF_ LINEAR REGRESSION'!$N$57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 formatCode="#,##0_);\(#,##0\)">
                        <c:v>317188.31168724806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7A8-44D8-92DF-9D561F34816B}"/>
                  </c:ext>
                </c:extLst>
              </c15:ser>
            </c15:filteredBarSeries>
          </c:ext>
        </c:extLst>
      </c:barChart>
      <c:catAx>
        <c:axId val="691571216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extTo"/>
        <c:crossAx val="691572296"/>
        <c:crosses val="autoZero"/>
        <c:auto val="1"/>
        <c:lblAlgn val="ctr"/>
        <c:lblOffset val="100"/>
        <c:noMultiLvlLbl val="0"/>
      </c:catAx>
      <c:valAx>
        <c:axId val="69157229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57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Projection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Revenue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 DCF_ LINEAR REGRESSION'!$J$32:$N$32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 DCF_ LINEAR REGRESSION'!$J$33:$N$33</c:f>
              <c:numCache>
                <c:formatCode>#,##0</c:formatCode>
                <c:ptCount val="5"/>
                <c:pt idx="0">
                  <c:v>483097.14999999991</c:v>
                </c:pt>
                <c:pt idx="1">
                  <c:v>544479.87</c:v>
                </c:pt>
                <c:pt idx="2">
                  <c:v>605862.59</c:v>
                </c:pt>
                <c:pt idx="3">
                  <c:v>667245.30999999994</c:v>
                </c:pt>
                <c:pt idx="4">
                  <c:v>728628.02999999991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77-499B-AD02-57AA6595ABC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93916312"/>
        <c:axId val="79391199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EBIT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' DCF_ LINEAR REGRESSION'!$J$36:$N$36</c15:sqref>
                        </c15:formulaRef>
                      </c:ext>
                    </c:extLst>
                    <c:numCache>
                      <c:formatCode>#,##0</c:formatCode>
                      <c:ptCount val="5"/>
                      <c:pt idx="0">
                        <c:v>49469.14815999999</c:v>
                      </c:pt>
                      <c:pt idx="1">
                        <c:v>55754.738688000005</c:v>
                      </c:pt>
                      <c:pt idx="2">
                        <c:v>62040.329215999998</c:v>
                      </c:pt>
                      <c:pt idx="3">
                        <c:v>68325.919743999999</c:v>
                      </c:pt>
                      <c:pt idx="4">
                        <c:v>74611.510272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977-499B-AD02-57AA6595ABC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Taxes 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DCF_ LINEAR REGRESSION'!$J$39:$N$39</c15:sqref>
                        </c15:formulaRef>
                      </c:ext>
                    </c:extLst>
                    <c:numCache>
                      <c:formatCode>#,##0</c:formatCode>
                      <c:ptCount val="5"/>
                      <c:pt idx="0">
                        <c:v>12367.287039999997</c:v>
                      </c:pt>
                      <c:pt idx="1">
                        <c:v>13938.684672000001</c:v>
                      </c:pt>
                      <c:pt idx="2">
                        <c:v>15510.082304</c:v>
                      </c:pt>
                      <c:pt idx="3">
                        <c:v>17081.479936</c:v>
                      </c:pt>
                      <c:pt idx="4">
                        <c:v>18652.877568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977-499B-AD02-57AA6595ABC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D&amp;A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DCF_ LINEAR REGRESSION'!$J$44:$N$44</c15:sqref>
                        </c15:formulaRef>
                      </c:ext>
                    </c:extLst>
                    <c:numCache>
                      <c:formatCode>#,##0</c:formatCode>
                      <c:ptCount val="5"/>
                      <c:pt idx="0">
                        <c:v>44541.557229999991</c:v>
                      </c:pt>
                      <c:pt idx="1">
                        <c:v>50201.044013999999</c:v>
                      </c:pt>
                      <c:pt idx="2">
                        <c:v>55860.530798</c:v>
                      </c:pt>
                      <c:pt idx="3">
                        <c:v>61520.017582</c:v>
                      </c:pt>
                      <c:pt idx="4">
                        <c:v>67179.504365999994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977-499B-AD02-57AA6595ABC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CapEx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DCF_ LINEAR REGRESSION'!$J$47:$N$47</c15:sqref>
                        </c15:formulaRef>
                      </c:ext>
                    </c:extLst>
                    <c:numCache>
                      <c:formatCode>#,##0</c:formatCode>
                      <c:ptCount val="5"/>
                      <c:pt idx="0">
                        <c:v>41932.832619999994</c:v>
                      </c:pt>
                      <c:pt idx="1">
                        <c:v>47260.852716000001</c:v>
                      </c:pt>
                      <c:pt idx="2">
                        <c:v>52588.872812000001</c:v>
                      </c:pt>
                      <c:pt idx="3">
                        <c:v>57916.892907999994</c:v>
                      </c:pt>
                      <c:pt idx="4">
                        <c:v>63244.913003999995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977-499B-AD02-57AA6595ABC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Change in NWC</c:v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DCF_ LINEAR REGRESSION'!$J$50:$N$50</c15:sqref>
                        </c15:formulaRef>
                      </c:ext>
                    </c:extLst>
                    <c:numCache>
                      <c:formatCode>#,##0_);\(#,##0\)</c:formatCode>
                      <c:ptCount val="5"/>
                      <c:pt idx="0">
                        <c:v>3437.7501774281959</c:v>
                      </c:pt>
                      <c:pt idx="1">
                        <c:v>3811.3590899999999</c:v>
                      </c:pt>
                      <c:pt idx="2">
                        <c:v>4241.0381299999999</c:v>
                      </c:pt>
                      <c:pt idx="3">
                        <c:v>4670.7171699999999</c:v>
                      </c:pt>
                      <c:pt idx="4">
                        <c:v>5100.3962099999999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977-499B-AD02-57AA6595ABCE}"/>
                  </c:ext>
                </c:extLst>
              </c15:ser>
            </c15:filteredLineSeries>
          </c:ext>
        </c:extLst>
      </c:lineChart>
      <c:catAx>
        <c:axId val="793916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11992"/>
        <c:crosses val="autoZero"/>
        <c:auto val="1"/>
        <c:lblAlgn val="ctr"/>
        <c:lblOffset val="100"/>
        <c:noMultiLvlLbl val="0"/>
      </c:catAx>
      <c:valAx>
        <c:axId val="7939119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16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4" Type="http://schemas.openxmlformats.org/officeDocument/2006/relationships/chart" Target="../charts/chart1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4" Type="http://schemas.openxmlformats.org/officeDocument/2006/relationships/chart" Target="../charts/chart2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4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33</xdr:row>
      <xdr:rowOff>23811</xdr:rowOff>
    </xdr:from>
    <xdr:to>
      <xdr:col>10</xdr:col>
      <xdr:colOff>0</xdr:colOff>
      <xdr:row>49</xdr:row>
      <xdr:rowOff>163286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9D5B14-96DE-47D0-B861-116DD78A1F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259555</xdr:colOff>
      <xdr:row>32</xdr:row>
      <xdr:rowOff>78581</xdr:rowOff>
    </xdr:from>
    <xdr:to>
      <xdr:col>20</xdr:col>
      <xdr:colOff>0</xdr:colOff>
      <xdr:row>50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811BEF-D712-4EDF-9939-770B91940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898</xdr:colOff>
      <xdr:row>11</xdr:row>
      <xdr:rowOff>8926</xdr:rowOff>
    </xdr:from>
    <xdr:to>
      <xdr:col>22</xdr:col>
      <xdr:colOff>736839</xdr:colOff>
      <xdr:row>26</xdr:row>
      <xdr:rowOff>23662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7E9C5A-BCFE-822E-3CF1-D045317339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180615</xdr:colOff>
      <xdr:row>10</xdr:row>
      <xdr:rowOff>173965</xdr:rowOff>
    </xdr:from>
    <xdr:to>
      <xdr:col>31</xdr:col>
      <xdr:colOff>197689</xdr:colOff>
      <xdr:row>25</xdr:row>
      <xdr:rowOff>161746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C971DE-E934-2ED5-3957-18869BDF9C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898</xdr:colOff>
      <xdr:row>27</xdr:row>
      <xdr:rowOff>3235</xdr:rowOff>
    </xdr:from>
    <xdr:to>
      <xdr:col>23</xdr:col>
      <xdr:colOff>17971</xdr:colOff>
      <xdr:row>43</xdr:row>
      <xdr:rowOff>8986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C9D8D1-557C-EBD8-DB75-A4942D4C3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189602</xdr:colOff>
      <xdr:row>26</xdr:row>
      <xdr:rowOff>155995</xdr:rowOff>
    </xdr:from>
    <xdr:to>
      <xdr:col>31</xdr:col>
      <xdr:colOff>170731</xdr:colOff>
      <xdr:row>42</xdr:row>
      <xdr:rowOff>80873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C7D9E14-805A-3E3E-1000-B17A9F61A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170731</xdr:colOff>
      <xdr:row>2</xdr:row>
      <xdr:rowOff>73385</xdr:rowOff>
    </xdr:from>
    <xdr:to>
      <xdr:col>31</xdr:col>
      <xdr:colOff>192296</xdr:colOff>
      <xdr:row>10</xdr:row>
      <xdr:rowOff>55414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56EA373-89D5-B69E-0EE8-6ADF68D6FF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9524</xdr:colOff>
      <xdr:row>11</xdr:row>
      <xdr:rowOff>4762</xdr:rowOff>
    </xdr:from>
    <xdr:to>
      <xdr:col>31</xdr:col>
      <xdr:colOff>590549</xdr:colOff>
      <xdr:row>26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9318E4-9154-E1AA-6D99-3C9E6B0DF3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9524</xdr:colOff>
      <xdr:row>11</xdr:row>
      <xdr:rowOff>14287</xdr:rowOff>
    </xdr:from>
    <xdr:to>
      <xdr:col>23</xdr:col>
      <xdr:colOff>438149</xdr:colOff>
      <xdr:row>27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7CC158-9713-BF9E-A002-2BD94E291F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571500</xdr:colOff>
      <xdr:row>2</xdr:row>
      <xdr:rowOff>95250</xdr:rowOff>
    </xdr:from>
    <xdr:to>
      <xdr:col>32</xdr:col>
      <xdr:colOff>-1</xdr:colOff>
      <xdr:row>10</xdr:row>
      <xdr:rowOff>9526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DC194D-20C1-436E-0055-67ADDB631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9525</xdr:colOff>
      <xdr:row>28</xdr:row>
      <xdr:rowOff>4762</xdr:rowOff>
    </xdr:from>
    <xdr:to>
      <xdr:col>23</xdr:col>
      <xdr:colOff>466725</xdr:colOff>
      <xdr:row>42</xdr:row>
      <xdr:rowOff>80962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80312E5-FA62-AD43-61FF-80436DF1EE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600075</xdr:colOff>
      <xdr:row>11</xdr:row>
      <xdr:rowOff>14287</xdr:rowOff>
    </xdr:from>
    <xdr:to>
      <xdr:col>23</xdr:col>
      <xdr:colOff>581025</xdr:colOff>
      <xdr:row>26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01A236-5DC6-B86F-EF88-CBD4FB1E4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152399</xdr:colOff>
      <xdr:row>10</xdr:row>
      <xdr:rowOff>185737</xdr:rowOff>
    </xdr:from>
    <xdr:to>
      <xdr:col>32</xdr:col>
      <xdr:colOff>142874</xdr:colOff>
      <xdr:row>26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5943F14-2EFE-08FD-1B93-17C2DB664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600075</xdr:colOff>
      <xdr:row>26</xdr:row>
      <xdr:rowOff>185737</xdr:rowOff>
    </xdr:from>
    <xdr:to>
      <xdr:col>23</xdr:col>
      <xdr:colOff>600075</xdr:colOff>
      <xdr:row>41</xdr:row>
      <xdr:rowOff>71437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E8C261E-8DB1-CBE0-6DD4-947BCD2B3F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15875</xdr:colOff>
      <xdr:row>2</xdr:row>
      <xdr:rowOff>47625</xdr:rowOff>
    </xdr:from>
    <xdr:to>
      <xdr:col>31</xdr:col>
      <xdr:colOff>596900</xdr:colOff>
      <xdr:row>10</xdr:row>
      <xdr:rowOff>57151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FEDFD08-573C-49E3-9E10-AF0B56F964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898</xdr:colOff>
      <xdr:row>29</xdr:row>
      <xdr:rowOff>120051</xdr:rowOff>
    </xdr:from>
    <xdr:to>
      <xdr:col>23</xdr:col>
      <xdr:colOff>261938</xdr:colOff>
      <xdr:row>44</xdr:row>
      <xdr:rowOff>134787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0DB92E-B7D9-4AA0-9C54-6A0F9AD180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897</xdr:colOff>
      <xdr:row>11</xdr:row>
      <xdr:rowOff>95250</xdr:rowOff>
    </xdr:from>
    <xdr:to>
      <xdr:col>23</xdr:col>
      <xdr:colOff>392906</xdr:colOff>
      <xdr:row>27</xdr:row>
      <xdr:rowOff>178594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D81149-8976-42E7-AD6B-9998BE0A2C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558697</xdr:colOff>
      <xdr:row>11</xdr:row>
      <xdr:rowOff>108369</xdr:rowOff>
    </xdr:from>
    <xdr:to>
      <xdr:col>32</xdr:col>
      <xdr:colOff>107157</xdr:colOff>
      <xdr:row>27</xdr:row>
      <xdr:rowOff>190498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20E82A-C718-497B-B80E-504116E15B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587450</xdr:colOff>
      <xdr:row>2</xdr:row>
      <xdr:rowOff>93229</xdr:rowOff>
    </xdr:from>
    <xdr:to>
      <xdr:col>32</xdr:col>
      <xdr:colOff>1796</xdr:colOff>
      <xdr:row>10</xdr:row>
      <xdr:rowOff>75258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E03987-1E3D-4015-ABEB-71B3640BB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898</xdr:colOff>
      <xdr:row>29</xdr:row>
      <xdr:rowOff>120051</xdr:rowOff>
    </xdr:from>
    <xdr:to>
      <xdr:col>22</xdr:col>
      <xdr:colOff>736839</xdr:colOff>
      <xdr:row>44</xdr:row>
      <xdr:rowOff>134787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706513-BB98-47CE-8EF2-14923532B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898</xdr:colOff>
      <xdr:row>12</xdr:row>
      <xdr:rowOff>3235</xdr:rowOff>
    </xdr:from>
    <xdr:to>
      <xdr:col>23</xdr:col>
      <xdr:colOff>17971</xdr:colOff>
      <xdr:row>28</xdr:row>
      <xdr:rowOff>8986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2BF327-B6D9-4F10-ABE2-957E308E81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189602</xdr:colOff>
      <xdr:row>11</xdr:row>
      <xdr:rowOff>155995</xdr:rowOff>
    </xdr:from>
    <xdr:to>
      <xdr:col>31</xdr:col>
      <xdr:colOff>170731</xdr:colOff>
      <xdr:row>27</xdr:row>
      <xdr:rowOff>80873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67223D-F19B-4606-80D6-DB7052BB6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265981</xdr:colOff>
      <xdr:row>28</xdr:row>
      <xdr:rowOff>152760</xdr:rowOff>
    </xdr:from>
    <xdr:to>
      <xdr:col>31</xdr:col>
      <xdr:colOff>287546</xdr:colOff>
      <xdr:row>36</xdr:row>
      <xdr:rowOff>134789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4E0C82-B79B-446C-AA8B-1CAE85FE6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11</xdr:row>
      <xdr:rowOff>0</xdr:rowOff>
    </xdr:from>
    <xdr:to>
      <xdr:col>23</xdr:col>
      <xdr:colOff>19050</xdr:colOff>
      <xdr:row>31</xdr:row>
      <xdr:rowOff>19049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6A03096-BDE4-FAAC-3E9A-D6DF92864E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295274</xdr:colOff>
      <xdr:row>11</xdr:row>
      <xdr:rowOff>23809</xdr:rowOff>
    </xdr:from>
    <xdr:to>
      <xdr:col>31</xdr:col>
      <xdr:colOff>400049</xdr:colOff>
      <xdr:row>31</xdr:row>
      <xdr:rowOff>9525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57D6B9A-8B17-0CE0-60B8-055A1D78F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314325</xdr:colOff>
      <xdr:row>2</xdr:row>
      <xdr:rowOff>23811</xdr:rowOff>
    </xdr:from>
    <xdr:to>
      <xdr:col>31</xdr:col>
      <xdr:colOff>381000</xdr:colOff>
      <xdr:row>10</xdr:row>
      <xdr:rowOff>95250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0289BF7-3145-6183-A25B-D19A82114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33</xdr:row>
      <xdr:rowOff>109536</xdr:rowOff>
    </xdr:from>
    <xdr:to>
      <xdr:col>23</xdr:col>
      <xdr:colOff>219075</xdr:colOff>
      <xdr:row>49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920F41-5AF8-7BC0-8A52-692C56886B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ratyush%20singh\Downloads\Tata%20Motors%20(4).xlsx" TargetMode="External"/><Relationship Id="rId1" Type="http://schemas.openxmlformats.org/officeDocument/2006/relationships/externalLinkPath" Target="file:///C:\Users\Pratyush%20singh\Downloads\Tata%20Motors%20(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fit &amp; Loss"/>
      <sheetName val="Quarters"/>
      <sheetName val="Balance Sheet"/>
      <sheetName val="Cash Flow"/>
      <sheetName val="Customization"/>
      <sheetName val="Data Sheet"/>
    </sheetNames>
    <sheetDataSet>
      <sheetData sheetId="0">
        <row r="1">
          <cell r="A1"/>
        </row>
        <row r="4">
          <cell r="B4"/>
          <cell r="C4"/>
          <cell r="D4"/>
          <cell r="E4"/>
          <cell r="F4"/>
          <cell r="G4"/>
          <cell r="H4"/>
          <cell r="I4"/>
          <cell r="J4"/>
          <cell r="K4"/>
        </row>
        <row r="9">
          <cell r="C9"/>
          <cell r="D9"/>
          <cell r="E9"/>
          <cell r="F9"/>
          <cell r="G9"/>
          <cell r="H9"/>
          <cell r="I9"/>
          <cell r="J9"/>
          <cell r="K9"/>
        </row>
        <row r="10">
          <cell r="C10"/>
          <cell r="D10"/>
          <cell r="E10"/>
          <cell r="F10"/>
          <cell r="G10"/>
          <cell r="H10"/>
          <cell r="I10"/>
          <cell r="J10"/>
          <cell r="K10"/>
        </row>
        <row r="12">
          <cell r="B12"/>
          <cell r="C12"/>
          <cell r="D12"/>
          <cell r="E12"/>
          <cell r="F12"/>
          <cell r="G12"/>
          <cell r="H12"/>
          <cell r="I12"/>
          <cell r="J12"/>
          <cell r="K12"/>
        </row>
      </sheetData>
      <sheetData sheetId="1">
        <row r="4">
          <cell r="H4"/>
          <cell r="I4"/>
          <cell r="J4"/>
          <cell r="K4"/>
        </row>
        <row r="5">
          <cell r="H5"/>
          <cell r="I5"/>
          <cell r="J5"/>
          <cell r="K5"/>
        </row>
        <row r="6">
          <cell r="H6"/>
          <cell r="I6"/>
          <cell r="J6"/>
          <cell r="K6"/>
        </row>
        <row r="7">
          <cell r="H7"/>
          <cell r="I7"/>
          <cell r="J7"/>
          <cell r="K7"/>
        </row>
        <row r="8">
          <cell r="H8"/>
          <cell r="I8"/>
          <cell r="J8"/>
          <cell r="K8"/>
        </row>
        <row r="9">
          <cell r="H9"/>
          <cell r="I9"/>
          <cell r="J9"/>
          <cell r="K9"/>
        </row>
        <row r="10">
          <cell r="H10"/>
          <cell r="I10"/>
          <cell r="J10"/>
          <cell r="K10"/>
        </row>
        <row r="11">
          <cell r="H11"/>
          <cell r="I11"/>
          <cell r="J11"/>
          <cell r="K11"/>
        </row>
        <row r="12">
          <cell r="H12"/>
          <cell r="I12"/>
          <cell r="J12"/>
          <cell r="K12"/>
        </row>
      </sheetData>
      <sheetData sheetId="2">
        <row r="1">
          <cell r="A1"/>
        </row>
        <row r="6">
          <cell r="J6"/>
        </row>
      </sheetData>
      <sheetData sheetId="3"/>
      <sheetData sheetId="4"/>
      <sheetData sheetId="5">
        <row r="1">
          <cell r="B1" t="str">
            <v>TATA MOTORS LTD</v>
          </cell>
        </row>
        <row r="6">
          <cell r="B6"/>
        </row>
        <row r="8">
          <cell r="B8">
            <v>688</v>
          </cell>
        </row>
        <row r="16">
          <cell r="B16">
            <v>42460</v>
          </cell>
          <cell r="C16">
            <v>42825</v>
          </cell>
          <cell r="D16">
            <v>43190</v>
          </cell>
          <cell r="E16">
            <v>43555</v>
          </cell>
          <cell r="F16">
            <v>43921</v>
          </cell>
          <cell r="G16">
            <v>44286</v>
          </cell>
          <cell r="H16">
            <v>44651</v>
          </cell>
          <cell r="I16">
            <v>45016</v>
          </cell>
          <cell r="J16">
            <v>45382</v>
          </cell>
          <cell r="K16">
            <v>45747</v>
          </cell>
        </row>
        <row r="17">
          <cell r="B17">
            <v>273045.59999999998</v>
          </cell>
          <cell r="C17">
            <v>269692.51</v>
          </cell>
          <cell r="D17">
            <v>291550.48</v>
          </cell>
          <cell r="E17">
            <v>301938.40000000002</v>
          </cell>
          <cell r="F17">
            <v>261067.97</v>
          </cell>
          <cell r="G17">
            <v>249794.75</v>
          </cell>
          <cell r="H17">
            <v>278453.62</v>
          </cell>
          <cell r="I17">
            <v>345966.97</v>
          </cell>
          <cell r="J17">
            <v>434016</v>
          </cell>
          <cell r="K17">
            <v>439695</v>
          </cell>
        </row>
        <row r="18">
          <cell r="B18">
            <v>166134.01</v>
          </cell>
          <cell r="C18">
            <v>173294.07999999999</v>
          </cell>
          <cell r="D18">
            <v>187896.58</v>
          </cell>
          <cell r="E18">
            <v>194267.91</v>
          </cell>
          <cell r="F18">
            <v>164899.82</v>
          </cell>
          <cell r="G18">
            <v>153607.35999999999</v>
          </cell>
          <cell r="H18">
            <v>179295.33</v>
          </cell>
          <cell r="I18">
            <v>231251.26</v>
          </cell>
          <cell r="J18">
            <v>274321</v>
          </cell>
          <cell r="K18">
            <v>268950</v>
          </cell>
        </row>
        <row r="19">
          <cell r="B19">
            <v>2750.99</v>
          </cell>
          <cell r="C19">
            <v>7399.92</v>
          </cell>
          <cell r="D19">
            <v>2046.58</v>
          </cell>
          <cell r="E19">
            <v>-2053.2800000000002</v>
          </cell>
          <cell r="F19">
            <v>-2231.19</v>
          </cell>
          <cell r="G19">
            <v>-4684.16</v>
          </cell>
          <cell r="H19">
            <v>-1590.49</v>
          </cell>
          <cell r="I19">
            <v>4781.62</v>
          </cell>
          <cell r="J19">
            <v>1566</v>
          </cell>
          <cell r="K19">
            <v>-2836</v>
          </cell>
        </row>
        <row r="20">
          <cell r="B20">
            <v>1143.6300000000001</v>
          </cell>
          <cell r="C20">
            <v>1159.82</v>
          </cell>
          <cell r="D20">
            <v>1308.08</v>
          </cell>
          <cell r="E20">
            <v>1585.93</v>
          </cell>
          <cell r="F20">
            <v>1264.95</v>
          </cell>
          <cell r="G20">
            <v>1112.8699999999999</v>
          </cell>
          <cell r="H20">
            <v>2178.29</v>
          </cell>
          <cell r="I20">
            <v>2513.33</v>
          </cell>
          <cell r="J20">
            <v>2189</v>
          </cell>
          <cell r="K20">
            <v>2443</v>
          </cell>
        </row>
        <row r="21">
          <cell r="B21">
            <v>12101.53</v>
          </cell>
          <cell r="C21">
            <v>10067.370000000001</v>
          </cell>
          <cell r="D21">
            <v>10971.66</v>
          </cell>
          <cell r="E21">
            <v>11694.54</v>
          </cell>
          <cell r="F21">
            <v>11541.51</v>
          </cell>
          <cell r="G21">
            <v>8273.17</v>
          </cell>
          <cell r="H21">
            <v>9427.3799999999992</v>
          </cell>
          <cell r="I21">
            <v>11765.97</v>
          </cell>
          <cell r="J21">
            <v>17446</v>
          </cell>
          <cell r="K21">
            <v>18813</v>
          </cell>
        </row>
        <row r="22">
          <cell r="B22">
            <v>28880.89</v>
          </cell>
          <cell r="C22">
            <v>28332.89</v>
          </cell>
          <cell r="D22">
            <v>30300.09</v>
          </cell>
          <cell r="E22">
            <v>33243.870000000003</v>
          </cell>
          <cell r="F22">
            <v>30438.6</v>
          </cell>
          <cell r="G22">
            <v>27648.48</v>
          </cell>
          <cell r="H22">
            <v>30808.52</v>
          </cell>
          <cell r="I22">
            <v>33654.699999999997</v>
          </cell>
          <cell r="J22">
            <v>41990</v>
          </cell>
          <cell r="K22">
            <v>47767</v>
          </cell>
        </row>
        <row r="23">
          <cell r="B23">
            <v>21991.9</v>
          </cell>
          <cell r="C23">
            <v>30039.38</v>
          </cell>
          <cell r="D23">
            <v>31004.58</v>
          </cell>
          <cell r="E23">
            <v>32719.8</v>
          </cell>
          <cell r="F23">
            <v>29248.32</v>
          </cell>
          <cell r="G23">
            <v>23015.79</v>
          </cell>
          <cell r="H23">
            <v>29205.4</v>
          </cell>
          <cell r="I23">
            <v>34839.19</v>
          </cell>
          <cell r="J23">
            <v>42765</v>
          </cell>
          <cell r="K23">
            <v>47099</v>
          </cell>
        </row>
        <row r="24">
          <cell r="B24">
            <v>7149.38</v>
          </cell>
          <cell r="C24">
            <v>4610.2</v>
          </cell>
          <cell r="D24">
            <v>658.39</v>
          </cell>
          <cell r="E24">
            <v>1708.74</v>
          </cell>
          <cell r="F24">
            <v>3456.51</v>
          </cell>
          <cell r="G24">
            <v>-834.51</v>
          </cell>
          <cell r="H24">
            <v>1228.1199999999999</v>
          </cell>
          <cell r="I24">
            <v>4908.34</v>
          </cell>
          <cell r="J24">
            <v>-953</v>
          </cell>
          <cell r="K24">
            <v>-3429</v>
          </cell>
        </row>
        <row r="25">
          <cell r="B25">
            <v>-2669.62</v>
          </cell>
          <cell r="C25">
            <v>1869.1</v>
          </cell>
          <cell r="D25">
            <v>5932.73</v>
          </cell>
          <cell r="E25">
            <v>-26686.25</v>
          </cell>
          <cell r="F25">
            <v>101.71</v>
          </cell>
          <cell r="G25">
            <v>-11117.83</v>
          </cell>
          <cell r="H25">
            <v>2424.0500000000002</v>
          </cell>
          <cell r="I25">
            <v>6663.97</v>
          </cell>
          <cell r="J25">
            <v>4792</v>
          </cell>
          <cell r="K25">
            <v>11774</v>
          </cell>
        </row>
        <row r="26">
          <cell r="B26">
            <v>16710.78</v>
          </cell>
          <cell r="C26">
            <v>17904.990000000002</v>
          </cell>
          <cell r="D26">
            <v>21553.59</v>
          </cell>
          <cell r="E26">
            <v>23590.63</v>
          </cell>
          <cell r="F26">
            <v>21425.43</v>
          </cell>
          <cell r="G26">
            <v>23546.71</v>
          </cell>
          <cell r="H26">
            <v>24835.69</v>
          </cell>
          <cell r="I26">
            <v>24860.36</v>
          </cell>
          <cell r="J26">
            <v>27239</v>
          </cell>
          <cell r="K26">
            <v>23256</v>
          </cell>
        </row>
        <row r="27">
          <cell r="B27">
            <v>4889.08</v>
          </cell>
          <cell r="C27">
            <v>4238.01</v>
          </cell>
          <cell r="D27">
            <v>4681.79</v>
          </cell>
          <cell r="E27">
            <v>5758.6</v>
          </cell>
          <cell r="F27">
            <v>7243.33</v>
          </cell>
          <cell r="G27">
            <v>8097.17</v>
          </cell>
          <cell r="H27">
            <v>9311.86</v>
          </cell>
          <cell r="I27">
            <v>10225.48</v>
          </cell>
          <cell r="J27">
            <v>7594</v>
          </cell>
          <cell r="K27">
            <v>5083</v>
          </cell>
        </row>
        <row r="28">
          <cell r="B28">
            <v>14125.77</v>
          </cell>
          <cell r="C28">
            <v>9314.7900000000009</v>
          </cell>
          <cell r="D28">
            <v>11155.03</v>
          </cell>
          <cell r="E28">
            <v>-31371.15</v>
          </cell>
          <cell r="F28">
            <v>-10579.98</v>
          </cell>
          <cell r="G28">
            <v>-10474.280000000001</v>
          </cell>
          <cell r="H28">
            <v>-7003.41</v>
          </cell>
          <cell r="I28">
            <v>3393.93</v>
          </cell>
          <cell r="J28">
            <v>27783</v>
          </cell>
          <cell r="K28">
            <v>38651</v>
          </cell>
        </row>
        <row r="29">
          <cell r="B29">
            <v>3025.05</v>
          </cell>
          <cell r="C29">
            <v>3251.23</v>
          </cell>
          <cell r="D29">
            <v>4341.93</v>
          </cell>
          <cell r="E29">
            <v>-2437.4499999999998</v>
          </cell>
          <cell r="F29">
            <v>395.25</v>
          </cell>
          <cell r="G29">
            <v>2541.86</v>
          </cell>
          <cell r="H29">
            <v>4231.29</v>
          </cell>
          <cell r="I29">
            <v>704.06</v>
          </cell>
          <cell r="J29">
            <v>-4024</v>
          </cell>
          <cell r="K29">
            <v>10502</v>
          </cell>
        </row>
        <row r="30">
          <cell r="B30">
            <v>11579.31</v>
          </cell>
          <cell r="C30">
            <v>7454.36</v>
          </cell>
          <cell r="D30">
            <v>8988.91</v>
          </cell>
          <cell r="E30">
            <v>-28826.23</v>
          </cell>
          <cell r="F30">
            <v>-12070.85</v>
          </cell>
          <cell r="G30">
            <v>-13451.39</v>
          </cell>
          <cell r="H30">
            <v>-11441.47</v>
          </cell>
          <cell r="I30">
            <v>2414.29</v>
          </cell>
          <cell r="J30">
            <v>31399</v>
          </cell>
          <cell r="K30">
            <v>27830</v>
          </cell>
        </row>
        <row r="31">
          <cell r="B31">
            <v>67.92</v>
          </cell>
          <cell r="I31">
            <v>766.02</v>
          </cell>
          <cell r="J31">
            <v>2301</v>
          </cell>
          <cell r="K31">
            <v>2208</v>
          </cell>
        </row>
        <row r="41">
          <cell r="B41">
            <v>44926</v>
          </cell>
          <cell r="C41">
            <v>45016</v>
          </cell>
          <cell r="D41">
            <v>45107</v>
          </cell>
          <cell r="E41">
            <v>45199</v>
          </cell>
          <cell r="F41">
            <v>45291</v>
          </cell>
          <cell r="G41">
            <v>45382</v>
          </cell>
          <cell r="H41">
            <v>45473</v>
          </cell>
          <cell r="I41">
            <v>45565</v>
          </cell>
          <cell r="J41">
            <v>45657</v>
          </cell>
          <cell r="K41">
            <v>45747</v>
          </cell>
        </row>
        <row r="42">
          <cell r="B42">
            <v>88488.59</v>
          </cell>
          <cell r="C42">
            <v>105932.35</v>
          </cell>
          <cell r="D42">
            <v>102236</v>
          </cell>
          <cell r="E42">
            <v>105129</v>
          </cell>
          <cell r="F42">
            <v>110577</v>
          </cell>
          <cell r="G42">
            <v>119033</v>
          </cell>
          <cell r="H42">
            <v>108048</v>
          </cell>
          <cell r="I42">
            <v>101450</v>
          </cell>
          <cell r="J42">
            <v>112608</v>
          </cell>
          <cell r="K42">
            <v>119503</v>
          </cell>
        </row>
        <row r="43">
          <cell r="B43">
            <v>77668.350000000006</v>
          </cell>
          <cell r="C43">
            <v>92817.95</v>
          </cell>
          <cell r="D43">
            <v>89019</v>
          </cell>
          <cell r="E43">
            <v>91362</v>
          </cell>
          <cell r="F43">
            <v>95159</v>
          </cell>
          <cell r="G43">
            <v>102348</v>
          </cell>
          <cell r="H43">
            <v>92263</v>
          </cell>
          <cell r="I43">
            <v>89291</v>
          </cell>
          <cell r="J43">
            <v>100185</v>
          </cell>
          <cell r="K43">
            <v>102685</v>
          </cell>
        </row>
        <row r="44">
          <cell r="B44">
            <v>1129.98</v>
          </cell>
          <cell r="C44">
            <v>1452.86</v>
          </cell>
          <cell r="D44">
            <v>895</v>
          </cell>
          <cell r="E44">
            <v>1557</v>
          </cell>
          <cell r="F44">
            <v>1604</v>
          </cell>
          <cell r="G44">
            <v>1412</v>
          </cell>
          <cell r="H44">
            <v>1747</v>
          </cell>
          <cell r="I44">
            <v>1647</v>
          </cell>
          <cell r="J44">
            <v>1700</v>
          </cell>
          <cell r="K44">
            <v>1057</v>
          </cell>
        </row>
        <row r="45">
          <cell r="B45">
            <v>6071.78</v>
          </cell>
          <cell r="C45">
            <v>7050.2</v>
          </cell>
          <cell r="D45">
            <v>6633</v>
          </cell>
          <cell r="E45">
            <v>6637</v>
          </cell>
          <cell r="F45">
            <v>6850</v>
          </cell>
          <cell r="G45">
            <v>7143</v>
          </cell>
          <cell r="H45">
            <v>6574</v>
          </cell>
          <cell r="I45">
            <v>6005</v>
          </cell>
          <cell r="J45">
            <v>5399</v>
          </cell>
          <cell r="K45">
            <v>5295</v>
          </cell>
        </row>
        <row r="46">
          <cell r="B46">
            <v>2675.83</v>
          </cell>
          <cell r="C46">
            <v>2641.67</v>
          </cell>
          <cell r="D46">
            <v>2615</v>
          </cell>
          <cell r="E46">
            <v>2652</v>
          </cell>
          <cell r="F46">
            <v>2485</v>
          </cell>
          <cell r="G46">
            <v>1645</v>
          </cell>
          <cell r="H46">
            <v>2088</v>
          </cell>
          <cell r="I46">
            <v>2034</v>
          </cell>
          <cell r="J46">
            <v>1119</v>
          </cell>
          <cell r="K46">
            <v>1076</v>
          </cell>
        </row>
        <row r="47">
          <cell r="B47">
            <v>3202.61</v>
          </cell>
          <cell r="C47">
            <v>4875.3900000000003</v>
          </cell>
          <cell r="D47">
            <v>4864</v>
          </cell>
          <cell r="E47">
            <v>6035</v>
          </cell>
          <cell r="F47">
            <v>7687</v>
          </cell>
          <cell r="G47">
            <v>9309</v>
          </cell>
          <cell r="H47">
            <v>8870</v>
          </cell>
          <cell r="I47">
            <v>5767</v>
          </cell>
          <cell r="J47">
            <v>7605</v>
          </cell>
          <cell r="K47">
            <v>11504</v>
          </cell>
        </row>
        <row r="48">
          <cell r="B48">
            <v>262.83</v>
          </cell>
          <cell r="C48">
            <v>-620.65</v>
          </cell>
          <cell r="D48">
            <v>1563</v>
          </cell>
          <cell r="E48">
            <v>2203</v>
          </cell>
          <cell r="F48">
            <v>542</v>
          </cell>
          <cell r="G48">
            <v>-8219</v>
          </cell>
          <cell r="H48">
            <v>3178</v>
          </cell>
          <cell r="I48">
            <v>2317</v>
          </cell>
          <cell r="J48">
            <v>2120</v>
          </cell>
          <cell r="K48">
            <v>2948</v>
          </cell>
        </row>
        <row r="49">
          <cell r="B49">
            <v>2957.71</v>
          </cell>
          <cell r="C49">
            <v>5407.79</v>
          </cell>
          <cell r="D49">
            <v>3203</v>
          </cell>
          <cell r="E49">
            <v>3764</v>
          </cell>
          <cell r="F49">
            <v>7025</v>
          </cell>
          <cell r="G49">
            <v>17407</v>
          </cell>
          <cell r="H49">
            <v>5566</v>
          </cell>
          <cell r="I49">
            <v>3343</v>
          </cell>
          <cell r="J49">
            <v>5406</v>
          </cell>
          <cell r="K49">
            <v>8470</v>
          </cell>
        </row>
        <row r="50">
          <cell r="B50">
            <v>10820.24</v>
          </cell>
          <cell r="C50">
            <v>13114.4</v>
          </cell>
          <cell r="D50">
            <v>13217</v>
          </cell>
          <cell r="E50">
            <v>13767</v>
          </cell>
          <cell r="F50">
            <v>15418</v>
          </cell>
          <cell r="G50">
            <v>16685</v>
          </cell>
          <cell r="H50">
            <v>15785</v>
          </cell>
          <cell r="I50">
            <v>12159</v>
          </cell>
          <cell r="J50">
            <v>12423</v>
          </cell>
          <cell r="K50">
            <v>16818</v>
          </cell>
        </row>
        <row r="56">
          <cell r="B56">
            <v>42460</v>
          </cell>
          <cell r="C56">
            <v>42825</v>
          </cell>
          <cell r="D56">
            <v>43190</v>
          </cell>
          <cell r="E56">
            <v>43555</v>
          </cell>
          <cell r="F56">
            <v>43921</v>
          </cell>
          <cell r="G56">
            <v>44286</v>
          </cell>
          <cell r="H56">
            <v>44651</v>
          </cell>
          <cell r="I56">
            <v>45016</v>
          </cell>
          <cell r="J56">
            <v>45382</v>
          </cell>
          <cell r="K56">
            <v>45747</v>
          </cell>
        </row>
        <row r="57">
          <cell r="B57">
            <v>679.18</v>
          </cell>
          <cell r="C57">
            <v>679.22</v>
          </cell>
          <cell r="D57">
            <v>679.22</v>
          </cell>
          <cell r="E57">
            <v>679.22</v>
          </cell>
          <cell r="F57">
            <v>719.54</v>
          </cell>
          <cell r="G57">
            <v>765.81</v>
          </cell>
          <cell r="H57">
            <v>765.88</v>
          </cell>
          <cell r="I57">
            <v>766.02</v>
          </cell>
          <cell r="J57">
            <v>767</v>
          </cell>
          <cell r="K57">
            <v>736</v>
          </cell>
        </row>
        <row r="58">
          <cell r="B58">
            <v>78273.23</v>
          </cell>
          <cell r="C58">
            <v>57382.67</v>
          </cell>
          <cell r="D58">
            <v>94748.69</v>
          </cell>
          <cell r="E58">
            <v>59500.34</v>
          </cell>
          <cell r="F58">
            <v>62358.99</v>
          </cell>
          <cell r="G58">
            <v>54480.91</v>
          </cell>
          <cell r="H58">
            <v>43795.360000000001</v>
          </cell>
          <cell r="I58">
            <v>44555.77</v>
          </cell>
          <cell r="J58">
            <v>84151</v>
          </cell>
          <cell r="K58">
            <v>115408</v>
          </cell>
        </row>
        <row r="59">
          <cell r="B59">
            <v>69359.960000000006</v>
          </cell>
          <cell r="C59">
            <v>78603.98</v>
          </cell>
          <cell r="D59">
            <v>88950.47</v>
          </cell>
          <cell r="E59">
            <v>106175.34</v>
          </cell>
          <cell r="F59">
            <v>124787.64</v>
          </cell>
          <cell r="G59">
            <v>142130.57</v>
          </cell>
          <cell r="H59">
            <v>146449.03</v>
          </cell>
          <cell r="I59">
            <v>134113.44</v>
          </cell>
          <cell r="J59">
            <v>107264</v>
          </cell>
          <cell r="K59">
            <v>71540</v>
          </cell>
        </row>
        <row r="60">
          <cell r="B60">
            <v>114871.75</v>
          </cell>
          <cell r="C60">
            <v>135914.49</v>
          </cell>
          <cell r="D60">
            <v>142813.43</v>
          </cell>
          <cell r="E60">
            <v>139348.59</v>
          </cell>
          <cell r="F60">
            <v>132313.22</v>
          </cell>
          <cell r="G60">
            <v>144192.62</v>
          </cell>
          <cell r="H60">
            <v>138051.22</v>
          </cell>
          <cell r="I60">
            <v>155239.20000000001</v>
          </cell>
          <cell r="J60">
            <v>177339</v>
          </cell>
          <cell r="K60">
            <v>189289</v>
          </cell>
        </row>
        <row r="61">
          <cell r="B61">
            <v>263184.12</v>
          </cell>
          <cell r="C61">
            <v>272580.36</v>
          </cell>
          <cell r="D61">
            <v>327191.81</v>
          </cell>
          <cell r="E61">
            <v>305703.49</v>
          </cell>
          <cell r="F61">
            <v>320179.39</v>
          </cell>
          <cell r="G61">
            <v>341569.91</v>
          </cell>
          <cell r="H61">
            <v>329061.49</v>
          </cell>
          <cell r="I61">
            <v>334674.43</v>
          </cell>
          <cell r="J61">
            <v>369521</v>
          </cell>
          <cell r="K61">
            <v>376973</v>
          </cell>
        </row>
        <row r="62">
          <cell r="B62">
            <v>107231.76</v>
          </cell>
          <cell r="C62">
            <v>95944.08</v>
          </cell>
          <cell r="D62">
            <v>121413.86</v>
          </cell>
          <cell r="E62">
            <v>111234.47</v>
          </cell>
          <cell r="F62">
            <v>127107.14</v>
          </cell>
          <cell r="G62">
            <v>138707.60999999999</v>
          </cell>
          <cell r="H62">
            <v>138855.45000000001</v>
          </cell>
          <cell r="I62">
            <v>132079.76</v>
          </cell>
          <cell r="J62">
            <v>121285</v>
          </cell>
          <cell r="K62">
            <v>115697</v>
          </cell>
        </row>
        <row r="63">
          <cell r="B63">
            <v>25918.94</v>
          </cell>
          <cell r="C63">
            <v>33698.839999999997</v>
          </cell>
          <cell r="D63">
            <v>40033.5</v>
          </cell>
          <cell r="E63">
            <v>31883.84</v>
          </cell>
          <cell r="F63">
            <v>35622.29</v>
          </cell>
          <cell r="G63">
            <v>20963.93</v>
          </cell>
          <cell r="H63">
            <v>10251.09</v>
          </cell>
          <cell r="I63">
            <v>14274.5</v>
          </cell>
          <cell r="J63">
            <v>35698</v>
          </cell>
          <cell r="K63">
            <v>65806</v>
          </cell>
        </row>
        <row r="64">
          <cell r="B64">
            <v>23767.02</v>
          </cell>
          <cell r="C64">
            <v>20337.919999999998</v>
          </cell>
          <cell r="D64">
            <v>20812.75</v>
          </cell>
          <cell r="E64">
            <v>15770.72</v>
          </cell>
          <cell r="F64">
            <v>16308.48</v>
          </cell>
          <cell r="G64">
            <v>24620.28</v>
          </cell>
          <cell r="H64">
            <v>29379.53</v>
          </cell>
          <cell r="I64">
            <v>26379.16</v>
          </cell>
          <cell r="J64">
            <v>22971</v>
          </cell>
          <cell r="K64">
            <v>35656</v>
          </cell>
        </row>
        <row r="65">
          <cell r="B65">
            <v>106266.4</v>
          </cell>
          <cell r="C65">
            <v>122599.52</v>
          </cell>
          <cell r="D65">
            <v>144931.70000000001</v>
          </cell>
          <cell r="E65">
            <v>146814.46</v>
          </cell>
          <cell r="F65">
            <v>141141.48000000001</v>
          </cell>
          <cell r="G65">
            <v>157278.09</v>
          </cell>
          <cell r="H65">
            <v>150575.42000000001</v>
          </cell>
          <cell r="I65">
            <v>161941.01</v>
          </cell>
          <cell r="J65">
            <v>189567</v>
          </cell>
          <cell r="K65">
            <v>159814</v>
          </cell>
        </row>
        <row r="66">
          <cell r="B66">
            <v>263184.12</v>
          </cell>
          <cell r="C66">
            <v>272580.36</v>
          </cell>
          <cell r="D66">
            <v>327191.81</v>
          </cell>
          <cell r="E66">
            <v>305703.49</v>
          </cell>
          <cell r="F66">
            <v>320179.39</v>
          </cell>
          <cell r="G66">
            <v>341569.91</v>
          </cell>
          <cell r="H66">
            <v>329061.49</v>
          </cell>
          <cell r="I66">
            <v>334674.43</v>
          </cell>
          <cell r="J66">
            <v>369521</v>
          </cell>
          <cell r="K66">
            <v>376973</v>
          </cell>
        </row>
        <row r="67">
          <cell r="B67">
            <v>13570.91</v>
          </cell>
          <cell r="C67">
            <v>14075.55</v>
          </cell>
          <cell r="D67">
            <v>19893.3</v>
          </cell>
          <cell r="E67">
            <v>18996.169999999998</v>
          </cell>
          <cell r="F67">
            <v>11172.69</v>
          </cell>
          <cell r="G67">
            <v>12679.08</v>
          </cell>
          <cell r="H67">
            <v>12442.12</v>
          </cell>
          <cell r="I67">
            <v>15737.97</v>
          </cell>
          <cell r="J67">
            <v>16952</v>
          </cell>
          <cell r="K67">
            <v>13248</v>
          </cell>
        </row>
        <row r="68">
          <cell r="B68">
            <v>32655.73</v>
          </cell>
          <cell r="C68">
            <v>35085.31</v>
          </cell>
          <cell r="D68">
            <v>42137.63</v>
          </cell>
          <cell r="E68">
            <v>39013.730000000003</v>
          </cell>
          <cell r="F68">
            <v>37456.879999999997</v>
          </cell>
          <cell r="G68">
            <v>36088.589999999997</v>
          </cell>
          <cell r="H68">
            <v>35240.339999999997</v>
          </cell>
          <cell r="I68">
            <v>40755.39</v>
          </cell>
          <cell r="J68">
            <v>47788</v>
          </cell>
          <cell r="K68">
            <v>47269</v>
          </cell>
        </row>
        <row r="81">
          <cell r="B81">
            <v>42460</v>
          </cell>
          <cell r="C81">
            <v>42825</v>
          </cell>
          <cell r="D81">
            <v>43190</v>
          </cell>
          <cell r="E81">
            <v>43555</v>
          </cell>
          <cell r="F81">
            <v>43921</v>
          </cell>
          <cell r="G81">
            <v>44286</v>
          </cell>
          <cell r="H81">
            <v>44651</v>
          </cell>
          <cell r="I81">
            <v>45016</v>
          </cell>
          <cell r="J81">
            <v>45382</v>
          </cell>
          <cell r="K81">
            <v>45747</v>
          </cell>
        </row>
        <row r="82">
          <cell r="B82">
            <v>37899.54</v>
          </cell>
          <cell r="C82">
            <v>30199.25</v>
          </cell>
          <cell r="D82">
            <v>23857.42</v>
          </cell>
          <cell r="E82">
            <v>18890.75</v>
          </cell>
          <cell r="F82">
            <v>26632.94</v>
          </cell>
          <cell r="G82">
            <v>29000.51</v>
          </cell>
          <cell r="H82">
            <v>14282.83</v>
          </cell>
          <cell r="I82">
            <v>35388.01</v>
          </cell>
          <cell r="J82">
            <v>67915</v>
          </cell>
          <cell r="K82">
            <v>63102</v>
          </cell>
        </row>
        <row r="83">
          <cell r="B83">
            <v>-36693.9</v>
          </cell>
          <cell r="C83">
            <v>-39571.4</v>
          </cell>
          <cell r="D83">
            <v>-25139.14</v>
          </cell>
          <cell r="E83">
            <v>-20878.07</v>
          </cell>
          <cell r="F83">
            <v>-33114.550000000003</v>
          </cell>
          <cell r="G83">
            <v>-25672.5</v>
          </cell>
          <cell r="H83">
            <v>-4443.66</v>
          </cell>
          <cell r="I83">
            <v>-15417.17</v>
          </cell>
          <cell r="J83">
            <v>-22781</v>
          </cell>
          <cell r="K83">
            <v>-49982</v>
          </cell>
        </row>
        <row r="84">
          <cell r="B84">
            <v>-3795.12</v>
          </cell>
          <cell r="C84">
            <v>6205.3</v>
          </cell>
          <cell r="D84">
            <v>2011.71</v>
          </cell>
          <cell r="E84">
            <v>8830.3700000000008</v>
          </cell>
          <cell r="F84">
            <v>3389.61</v>
          </cell>
          <cell r="G84">
            <v>9904.2000000000007</v>
          </cell>
          <cell r="H84">
            <v>-3380.17</v>
          </cell>
          <cell r="I84">
            <v>-26242.9</v>
          </cell>
          <cell r="J84">
            <v>-37006</v>
          </cell>
          <cell r="K84">
            <v>-18786</v>
          </cell>
        </row>
        <row r="85">
          <cell r="B85">
            <v>-2589.48</v>
          </cell>
          <cell r="C85">
            <v>-3166.85</v>
          </cell>
          <cell r="D85">
            <v>729.99</v>
          </cell>
          <cell r="E85">
            <v>6843.05</v>
          </cell>
          <cell r="F85">
            <v>-3092</v>
          </cell>
          <cell r="G85">
            <v>13232.21</v>
          </cell>
          <cell r="H85">
            <v>6459</v>
          </cell>
          <cell r="I85">
            <v>-6272.06</v>
          </cell>
          <cell r="J85">
            <v>8128</v>
          </cell>
          <cell r="K85">
            <v>-5666</v>
          </cell>
        </row>
        <row r="90">
          <cell r="B90">
            <v>386.6</v>
          </cell>
          <cell r="C90">
            <v>465.85</v>
          </cell>
          <cell r="D90">
            <v>326.85000000000002</v>
          </cell>
          <cell r="E90">
            <v>174.25</v>
          </cell>
          <cell r="F90">
            <v>71.05</v>
          </cell>
          <cell r="G90">
            <v>301.8</v>
          </cell>
          <cell r="H90">
            <v>433.75</v>
          </cell>
          <cell r="I90">
            <v>420.8</v>
          </cell>
          <cell r="J90">
            <v>992.8</v>
          </cell>
          <cell r="K90">
            <v>674.45</v>
          </cell>
        </row>
        <row r="93">
          <cell r="B93">
            <v>288.72000000000003</v>
          </cell>
          <cell r="C93">
            <v>288.73</v>
          </cell>
          <cell r="D93">
            <v>288.73</v>
          </cell>
          <cell r="E93">
            <v>288.73</v>
          </cell>
          <cell r="F93">
            <v>308.89999999999998</v>
          </cell>
          <cell r="G93">
            <v>332.03</v>
          </cell>
          <cell r="H93">
            <v>332.07</v>
          </cell>
          <cell r="I93">
            <v>332.13</v>
          </cell>
          <cell r="J93">
            <v>332.37</v>
          </cell>
          <cell r="K93">
            <v>368.13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D6FE5F-5CCD-4ECB-A997-7E3D8F8F1F7D}" autoFormatId="16" applyNumberFormats="0" applyBorderFormats="0" applyFontFormats="0" applyPatternFormats="0" applyAlignmentFormats="0" applyWidthHeightFormats="0">
  <queryTableRefresh nextId="7">
    <queryTableFields count="6">
      <queryTableField id="1" name="Mar '24" tableColumnId="7"/>
      <queryTableField id="2" name="Mar '21" tableColumnId="2"/>
      <queryTableField id="3" name="Mar '20" tableColumnId="3"/>
      <queryTableField id="4" name="Mar '19" tableColumnId="4"/>
      <queryTableField id="5" name="Mar '18" tableColumnId="5"/>
      <queryTableField id="6" name="Mar '17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865D593-BD4B-4D21-9E1F-624B8C4CC199}" autoFormatId="16" applyNumberFormats="0" applyBorderFormats="0" applyFontFormats="0" applyPatternFormats="0" applyAlignmentFormats="0" applyWidthHeightFormats="0">
  <queryTableRefresh nextId="7">
    <queryTableFields count="6">
      <queryTableField id="1" name="Mar '24" tableColumnId="7"/>
      <queryTableField id="2" name="Mar '22" tableColumnId="2"/>
      <queryTableField id="3" dataBound="0" tableColumnId="3"/>
      <queryTableField id="4" name="Mar '20" tableColumnId="4"/>
      <queryTableField id="5" name="Mar '19" tableColumnId="5"/>
      <queryTableField id="6" name="Mar '18" tableColumnId="6"/>
    </queryTableFields>
    <queryTableDeletedFields count="1">
      <deletedField name="Mar '2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16C1BFB-1A7F-4A8D-8367-BBD047BDE5BD}" autoFormatId="16" applyNumberFormats="0" applyBorderFormats="0" applyFontFormats="0" applyPatternFormats="0" applyAlignmentFormats="0" applyWidthHeightFormats="0">
  <queryTableRefresh nextId="7">
    <queryTableFields count="6">
      <queryTableField id="1" name="Mar '24" tableColumnId="7"/>
      <queryTableField id="2" name="Mar '22" tableColumnId="2"/>
      <queryTableField id="3" name="Mar '21" tableColumnId="3"/>
      <queryTableField id="4" name="Mar '20" tableColumnId="4"/>
      <queryTableField id="5" name="Mar '19" tableColumnId="5"/>
      <queryTableField id="6" name="Mar '18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C4EEC6-B65F-4505-9E68-298AB3E4B245}" name="Sheet15" displayName="Sheet15" ref="A1:F17" tableType="queryTable" totalsRowShown="0" headerRowDxfId="63" dataDxfId="62">
  <autoFilter ref="A1:F17" xr:uid="{63C4EEC6-B65F-4505-9E68-298AB3E4B245}"/>
  <tableColumns count="6">
    <tableColumn id="7" xr3:uid="{8469B4C2-5FD0-4EB2-9043-61C9AFBFDA41}" uniqueName="7" name="Income Statement " queryTableFieldId="1" dataDxfId="61"/>
    <tableColumn id="2" xr3:uid="{07807E87-6766-4BF9-8E5D-89F3AACD2C5C}" uniqueName="2" name="Mar '20" queryTableFieldId="2" dataDxfId="60"/>
    <tableColumn id="3" xr3:uid="{179D3503-B32C-4848-9647-DB59B6FA61CB}" uniqueName="3" name="Mar '21" queryTableFieldId="3" dataDxfId="59"/>
    <tableColumn id="4" xr3:uid="{41674935-8792-49E6-81E5-18F37ED85B28}" uniqueName="4" name="Mar '22" queryTableFieldId="4" dataDxfId="58"/>
    <tableColumn id="5" xr3:uid="{BC3A66AB-1B2D-41E2-9E9F-7A14D8AC0781}" uniqueName="5" name="Mar '23" queryTableFieldId="5" dataDxfId="57"/>
    <tableColumn id="6" xr3:uid="{47D4B7C5-F26B-40D8-860C-67A5FE8C09F2}" uniqueName="6" name="Mar '24" queryTableFieldId="6" dataDxfId="5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1B0823-AB18-4CA0-8BF0-9E31EB783D39}" name="Table2_2" displayName="Table2_2" ref="A1:F36" tableType="queryTable" totalsRowShown="0">
  <autoFilter ref="A1:F36" xr:uid="{8D1B0823-AB18-4CA0-8BF0-9E31EB783D39}"/>
  <tableColumns count="6">
    <tableColumn id="7" xr3:uid="{1E65E4EE-BB16-479D-B0BF-FC7E3D79DA3D}" uniqueName="7" name="Balance Sheet" queryTableFieldId="1" dataDxfId="55"/>
    <tableColumn id="2" xr3:uid="{A7BD020B-B678-4932-940D-B932D51A2E62}" uniqueName="2" name="Mar '20" queryTableFieldId="2" dataDxfId="54"/>
    <tableColumn id="3" xr3:uid="{4FB8B420-935F-4950-B5EF-644D22E61CB0}" uniqueName="3" name="Mar '21" queryTableFieldId="3" dataDxfId="53"/>
    <tableColumn id="4" xr3:uid="{0EA29550-B2A3-4CE0-B412-D8966709322C}" uniqueName="4" name="Mar '22" queryTableFieldId="4" dataDxfId="52"/>
    <tableColumn id="5" xr3:uid="{111A4E66-CC25-4BDD-A4D5-B425BD9AAB9F}" uniqueName="5" name="Mar '23" queryTableFieldId="5" dataDxfId="51"/>
    <tableColumn id="6" xr3:uid="{D6BC5D78-9187-4F3F-99B6-694C3BB49C3A}" uniqueName="6" name="Mar '24" queryTableFieldId="6" dataDxfId="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9BBEE1-F664-4032-8E2A-6E0A3F64CF7B}" name="Table3_2" displayName="Table3_2" ref="A1:F10" tableType="queryTable" totalsRowShown="0" headerRowDxfId="49" dataDxfId="48">
  <autoFilter ref="A1:F10" xr:uid="{D09BBEE1-F664-4032-8E2A-6E0A3F64CF7B}"/>
  <tableColumns count="6">
    <tableColumn id="7" xr3:uid="{B7FE9437-30F6-44FE-9186-9E6A5684986B}" uniqueName="7" name="Cash Flow Statement" queryTableFieldId="1" dataDxfId="47"/>
    <tableColumn id="2" xr3:uid="{D256EE56-5237-4A7B-A2A4-7BDDE71E4D01}" uniqueName="2" name="Mar '20" queryTableFieldId="2" dataDxfId="46"/>
    <tableColumn id="3" xr3:uid="{2A7C15BD-6D42-48E3-8864-E0ECA4460E7C}" uniqueName="3" name="Mar '21" queryTableFieldId="3" dataDxfId="45"/>
    <tableColumn id="4" xr3:uid="{DC572B1C-113F-4A19-872C-D146444C0C8C}" uniqueName="4" name="Mar '22" queryTableFieldId="4" dataDxfId="44"/>
    <tableColumn id="5" xr3:uid="{A80E6F7A-7CC8-40A6-897C-B23750AC4FDA}" uniqueName="5" name="Mar '23" queryTableFieldId="5" dataDxfId="43"/>
    <tableColumn id="6" xr3:uid="{75CB87BC-EA07-4402-B9DC-48124E4F174C}" uniqueName="6" name="Mar '24" queryTableFieldId="6" dataDxfId="4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5BF750-2967-4C8D-8BFB-AF7465353D86}" name="Annual" displayName="Annual" ref="A3:N19" headerRowCount="0" totalsRowShown="0" headerRowDxfId="41">
  <tableColumns count="14">
    <tableColumn id="1" xr3:uid="{2B8CCBF7-BD7E-4EB8-A278-2BCDC1322C1D}" name="Column1" headerRowDxfId="40" dataDxfId="39"/>
    <tableColumn id="2" xr3:uid="{EAE58438-A6DB-40A2-8B54-2EFB71C517C7}" name="Column2" headerRowDxfId="38"/>
    <tableColumn id="3" xr3:uid="{AB9BEC1B-0D16-40D5-AE5D-AEEB5D8965BA}" name="Column3" headerRowDxfId="37"/>
    <tableColumn id="4" xr3:uid="{D2E321B8-4EDC-478B-B54E-4886045D5F72}" name="Column4" headerRowDxfId="36"/>
    <tableColumn id="5" xr3:uid="{075A4819-5863-48C2-BCD3-82A36D088E7B}" name="Column5" headerRowDxfId="35"/>
    <tableColumn id="6" xr3:uid="{DBF9AF6F-5170-415D-B7B9-019E2BF54F5F}" name="Column6" headerRowDxfId="34"/>
    <tableColumn id="7" xr3:uid="{D0AEABB6-C6C4-4EBF-B07B-9B6D495CEC9D}" name="Column7" headerRowDxfId="33"/>
    <tableColumn id="8" xr3:uid="{B84524A0-AFE3-4EB5-B84D-3BA60C6667F7}" name="Column8" headerRowDxfId="32"/>
    <tableColumn id="9" xr3:uid="{B22581D9-D331-4133-99C6-AF5FDB5724D7}" name="Column9" headerRowDxfId="31"/>
    <tableColumn id="10" xr3:uid="{61848911-93A3-4D6A-A089-E2DE380336BA}" name="Column10" headerRowDxfId="30"/>
    <tableColumn id="11" xr3:uid="{9AA6CD05-A9E3-44E7-B1B9-096CC139A06A}" name="Column11" headerRowDxfId="29"/>
    <tableColumn id="12" xr3:uid="{CE059B56-19D8-4807-BBE8-753F376D2429}" name="Column12" headerRowDxfId="28"/>
    <tableColumn id="13" xr3:uid="{82F53848-F658-4A45-B198-C18F5F18EDAE}" name="Column13" headerRowDxfId="27" dataDxfId="26"/>
    <tableColumn id="14" xr3:uid="{2C05AA14-B9A8-4AC2-9EB9-D32B84D9B40D}" name="Column14" headerRowDxfId="25" dataDxfId="24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98C82C-E1D6-43A8-9A05-1915CC074E3E}" name="Quarters" displayName="Quarters" ref="A3:K14" headerRowCount="0" totalsRowShown="0" headerRowDxfId="23">
  <tableColumns count="11">
    <tableColumn id="1" xr3:uid="{10252951-8C25-4274-92B1-557D1468AB51}" name="Column1" headerRowDxfId="22"/>
    <tableColumn id="2" xr3:uid="{178FDC89-0C2F-433D-BCCA-936321A8DA8C}" name="Column2" headerRowDxfId="21"/>
    <tableColumn id="3" xr3:uid="{3A12D26C-4246-4B91-8D0F-4162A0DA1122}" name="Column3" headerRowDxfId="20"/>
    <tableColumn id="4" xr3:uid="{4F7DEE2E-0EEA-4357-8A0B-A318C7C7E7E3}" name="Column4" headerRowDxfId="19"/>
    <tableColumn id="5" xr3:uid="{2B6D4885-4371-4AB4-A587-751830DA47C7}" name="Column5" headerRowDxfId="18"/>
    <tableColumn id="6" xr3:uid="{74A1E557-6E36-4E43-B9AF-45FC64FC3725}" name="Column6" headerRowDxfId="17"/>
    <tableColumn id="7" xr3:uid="{5CADA324-9120-4CBD-82FE-417AE67067DB}" name="Column7" headerRowDxfId="16"/>
    <tableColumn id="8" xr3:uid="{A1E7EABA-5134-44F3-9BAB-A0BD418887B4}" name="Column8" headerRowDxfId="15"/>
    <tableColumn id="9" xr3:uid="{6717B763-5950-4502-8E82-5AD036520E15}" name="Column9" headerRowDxfId="14"/>
    <tableColumn id="10" xr3:uid="{14FBD915-7CC8-461C-A42C-B03755FAF9D3}" name="Column10" headerRowDxfId="13"/>
    <tableColumn id="11" xr3:uid="{21C4CE47-D410-47DE-AFDA-9C50BB6EFE2D}" name="Column11" headerRowDxfId="12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7FC45DC-2D00-4FE3-889E-4CB3B92356A1}">
  <we:reference id="wa104379220" version="8.0.0.0" store="en-US" storeType="OMEX"/>
  <we:alternateReferences>
    <we:reference id="wa104379220" version="8.0.0.0" store="WA104379220" storeType="OMEX"/>
  </we:alternateReferences>
  <we:properties>
    <we:property name="Office.AutoShowTaskpaneWithDocument" value="true"/>
    <we:property name="lastCryptoCompare" value="0"/>
    <we:property name="lastIexCall" value="0"/>
    <we:property name="lastMutualFundsCall" value="0"/>
    <we:property name="stocks" value="{}"/>
    <we:property name="stocksChange" value="{}"/>
    <we:property name="stocksOrder" value="[]"/>
    <we:property name="stocksSources" value="{}"/>
    <we:property name="updateIntervalIndex" value="2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creener.in/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creener.in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creener.in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creener.in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40E8-BE8B-4DB7-9016-FAC0C4FF4F29}">
  <sheetPr>
    <pageSetUpPr autoPageBreaks="0"/>
  </sheetPr>
  <dimension ref="B2:T67"/>
  <sheetViews>
    <sheetView showGridLines="0" tabSelected="1" topLeftCell="A13" zoomScaleNormal="100" workbookViewId="0">
      <selection activeCell="L10" sqref="L10:M10"/>
    </sheetView>
  </sheetViews>
  <sheetFormatPr defaultRowHeight="15"/>
  <cols>
    <col min="1" max="1" width="2.7109375" customWidth="1"/>
    <col min="2" max="2" width="22.7109375" customWidth="1"/>
    <col min="3" max="3" width="15.42578125" customWidth="1"/>
    <col min="4" max="4" width="2.7109375" customWidth="1"/>
    <col min="5" max="5" width="18.28515625" customWidth="1"/>
    <col min="6" max="6" width="16" customWidth="1"/>
    <col min="7" max="7" width="12.7109375" customWidth="1"/>
    <col min="8" max="8" width="10.42578125" bestFit="1" customWidth="1"/>
    <col min="9" max="9" width="12.140625" customWidth="1"/>
    <col min="10" max="10" width="2.7109375" customWidth="1"/>
    <col min="11" max="11" width="26.28515625" customWidth="1"/>
    <col min="12" max="12" width="11.42578125" bestFit="1" customWidth="1"/>
    <col min="13" max="13" width="11.42578125" customWidth="1"/>
    <col min="14" max="17" width="11.42578125" bestFit="1" customWidth="1"/>
  </cols>
  <sheetData>
    <row r="2" spans="2:20" ht="23.25">
      <c r="B2" s="187" t="s">
        <v>143</v>
      </c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</row>
    <row r="4" spans="2:20">
      <c r="B4" s="1" t="s">
        <v>213</v>
      </c>
    </row>
    <row r="5" spans="2:20">
      <c r="B5" s="1" t="s">
        <v>214</v>
      </c>
    </row>
    <row r="6" spans="2:20">
      <c r="B6" s="143" t="s">
        <v>208</v>
      </c>
      <c r="C6" s="144"/>
    </row>
    <row r="7" spans="2:20" ht="12.75" customHeight="1">
      <c r="B7" t="s">
        <v>188</v>
      </c>
      <c r="C7" s="115"/>
      <c r="D7" s="115"/>
      <c r="E7" s="115"/>
      <c r="F7" s="115"/>
      <c r="G7" s="115"/>
      <c r="H7" s="115"/>
      <c r="I7" s="115"/>
      <c r="J7" s="115"/>
      <c r="K7" s="141"/>
      <c r="L7" s="142"/>
      <c r="M7" s="142"/>
      <c r="N7" s="142"/>
    </row>
    <row r="8" spans="2:20">
      <c r="B8" s="115" t="s">
        <v>189</v>
      </c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</row>
    <row r="10" spans="2:20" ht="18.75">
      <c r="B10" s="186" t="s">
        <v>199</v>
      </c>
      <c r="C10" s="186"/>
      <c r="E10" s="183" t="s">
        <v>198</v>
      </c>
      <c r="F10" s="184"/>
      <c r="G10" s="184"/>
      <c r="H10" s="184"/>
      <c r="I10" s="185"/>
      <c r="J10" s="23"/>
      <c r="K10" s="147" t="s">
        <v>206</v>
      </c>
      <c r="L10" s="193" t="s">
        <v>201</v>
      </c>
      <c r="M10" s="193"/>
    </row>
    <row r="11" spans="2:20">
      <c r="B11" s="128" t="s">
        <v>144</v>
      </c>
      <c r="C11" s="128" t="s">
        <v>145</v>
      </c>
      <c r="E11" s="129" t="s">
        <v>170</v>
      </c>
      <c r="F11" s="188" t="s">
        <v>174</v>
      </c>
      <c r="G11" s="188"/>
      <c r="H11" s="188"/>
      <c r="I11" s="129" t="s">
        <v>179</v>
      </c>
      <c r="K11" s="129" t="str">
        <f t="shared" ref="K11:L16" ca="1" si="0">INDEX(INDIRECT($L$10 &amp; "_Valuation"), ROW()-ROW($K$11)+1, COLUMN()-COLUMN($K$11)+1)</f>
        <v>Metric</v>
      </c>
      <c r="L11" s="188" t="str">
        <f t="shared" ca="1" si="0"/>
        <v>Value</v>
      </c>
      <c r="M11" s="188"/>
    </row>
    <row r="12" spans="2:20">
      <c r="B12" s="110" t="s">
        <v>66</v>
      </c>
      <c r="C12" s="124">
        <v>0.14000000000000001</v>
      </c>
      <c r="E12" s="111" t="s">
        <v>171</v>
      </c>
      <c r="F12" s="196" t="s">
        <v>175</v>
      </c>
      <c r="G12" s="196"/>
      <c r="H12" s="196"/>
      <c r="I12" s="146" t="s">
        <v>184</v>
      </c>
      <c r="K12" s="111" t="str">
        <f t="shared" ca="1" si="0"/>
        <v>Enterprise Value (EV)</v>
      </c>
      <c r="L12" s="189">
        <f t="shared" ca="1" si="0"/>
        <v>658206.83773805748</v>
      </c>
      <c r="M12" s="189"/>
    </row>
    <row r="13" spans="2:20">
      <c r="B13" s="111" t="s">
        <v>167</v>
      </c>
      <c r="C13" s="121">
        <v>0.05</v>
      </c>
      <c r="E13" s="111" t="s">
        <v>191</v>
      </c>
      <c r="F13" s="196" t="s">
        <v>176</v>
      </c>
      <c r="G13" s="196"/>
      <c r="H13" s="196"/>
      <c r="I13" s="146" t="s">
        <v>185</v>
      </c>
      <c r="K13" s="111" t="str">
        <f t="shared" ca="1" si="0"/>
        <v>Equity Value</v>
      </c>
      <c r="L13" s="189">
        <f t="shared" ca="1" si="0"/>
        <v>596749.53773805744</v>
      </c>
      <c r="M13" s="189"/>
    </row>
    <row r="14" spans="2:20">
      <c r="B14" s="111" t="s">
        <v>180</v>
      </c>
      <c r="C14" s="122">
        <v>0.25</v>
      </c>
      <c r="E14" s="111" t="s">
        <v>172</v>
      </c>
      <c r="F14" s="196" t="s">
        <v>177</v>
      </c>
      <c r="G14" s="196"/>
      <c r="H14" s="196"/>
      <c r="I14" s="146" t="s">
        <v>184</v>
      </c>
      <c r="K14" s="111" t="str">
        <f t="shared" ca="1" si="0"/>
        <v>Implied Share Price</v>
      </c>
      <c r="L14" s="190">
        <f t="shared" ca="1" si="0"/>
        <v>1557.0764194078472</v>
      </c>
      <c r="M14" s="190"/>
    </row>
    <row r="15" spans="2:20">
      <c r="B15" s="111" t="s">
        <v>146</v>
      </c>
      <c r="C15" s="123" t="s">
        <v>168</v>
      </c>
      <c r="E15" s="111" t="s">
        <v>173</v>
      </c>
      <c r="F15" s="196" t="s">
        <v>178</v>
      </c>
      <c r="G15" s="196"/>
      <c r="H15" s="196"/>
      <c r="I15" s="146" t="s">
        <v>184</v>
      </c>
      <c r="K15" s="111" t="str">
        <f t="shared" ca="1" si="0"/>
        <v>Market Price (as of date)</v>
      </c>
      <c r="L15" s="191">
        <f t="shared" ca="1" si="0"/>
        <v>686.7</v>
      </c>
      <c r="M15" s="191"/>
    </row>
    <row r="16" spans="2:20">
      <c r="B16" s="111" t="s">
        <v>147</v>
      </c>
      <c r="C16" s="125">
        <v>0.1024</v>
      </c>
      <c r="E16" s="105" t="s">
        <v>212</v>
      </c>
      <c r="G16" s="103"/>
      <c r="K16" s="111" t="str">
        <f t="shared" ca="1" si="0"/>
        <v>Upside/Downside</v>
      </c>
      <c r="L16" s="192">
        <f t="shared" ca="1" si="0"/>
        <v>1.2674769468586677</v>
      </c>
      <c r="M16" s="192"/>
    </row>
    <row r="17" spans="2:20">
      <c r="B17" s="111" t="s">
        <v>76</v>
      </c>
      <c r="C17" s="126" t="s">
        <v>193</v>
      </c>
      <c r="E17" s="113" t="s">
        <v>197</v>
      </c>
      <c r="K17" s="104" t="s">
        <v>211</v>
      </c>
    </row>
    <row r="18" spans="2:20">
      <c r="B18" s="111" t="s">
        <v>181</v>
      </c>
      <c r="C18" s="126" t="s">
        <v>192</v>
      </c>
      <c r="K18" s="112" t="s">
        <v>207</v>
      </c>
      <c r="Q18" t="s">
        <v>196</v>
      </c>
    </row>
    <row r="19" spans="2:20">
      <c r="B19" s="111" t="s">
        <v>78</v>
      </c>
      <c r="C19" s="126" t="s">
        <v>169</v>
      </c>
    </row>
    <row r="21" spans="2:20" ht="18.75">
      <c r="B21" s="182" t="s">
        <v>210</v>
      </c>
      <c r="C21" s="182"/>
      <c r="D21" s="182"/>
      <c r="E21" s="182"/>
      <c r="F21" s="182"/>
      <c r="G21" s="182"/>
      <c r="H21" s="118"/>
      <c r="I21" s="118"/>
      <c r="J21" s="118"/>
      <c r="K21" s="179" t="s">
        <v>187</v>
      </c>
      <c r="L21" s="180"/>
      <c r="M21" s="180"/>
      <c r="N21" s="180"/>
      <c r="O21" s="180"/>
      <c r="P21" s="180"/>
      <c r="Q21" s="181"/>
      <c r="T21" t="s">
        <v>195</v>
      </c>
    </row>
    <row r="22" spans="2:20" ht="16.5" customHeight="1">
      <c r="B22" s="128" t="s">
        <v>148</v>
      </c>
      <c r="C22" s="197" t="s">
        <v>60</v>
      </c>
      <c r="D22" s="197"/>
      <c r="E22" s="128" t="s">
        <v>160</v>
      </c>
      <c r="F22" s="197" t="s">
        <v>186</v>
      </c>
      <c r="G22" s="197"/>
      <c r="K22" s="134" t="str">
        <f t="shared" ref="K22:K28" ca="1" si="1">INDEX(INDIRECT($L$10 &amp; "_Sensitivity"), ROW()-ROW($K$22)+1, COLUMN()-COLUMN($K$22)+1)</f>
        <v>WACC ↓ \ TGR →</v>
      </c>
      <c r="L22" s="133"/>
      <c r="M22" s="133"/>
      <c r="N22" s="133"/>
      <c r="O22" s="133"/>
      <c r="P22" s="133"/>
      <c r="Q22" s="133"/>
    </row>
    <row r="23" spans="2:20">
      <c r="B23" s="127" t="s">
        <v>166</v>
      </c>
      <c r="C23" s="198">
        <f>'DCF-Segment'!G4</f>
        <v>1557.0764194078472</v>
      </c>
      <c r="D23" s="198"/>
      <c r="E23" s="145">
        <f>'DCF-Segment'!K5</f>
        <v>1.2674769468586677</v>
      </c>
      <c r="F23" s="194">
        <f>'DCF-Segment'!N58</f>
        <v>658206.83773805748</v>
      </c>
      <c r="G23" s="195"/>
      <c r="K23" s="132">
        <f t="shared" ca="1" si="1"/>
        <v>1557.0764194078472</v>
      </c>
      <c r="L23" s="130">
        <f t="shared" ref="L23:Q28" ca="1" si="2">INDEX(INDIRECT($L$10 &amp; "_Sensitivity"), ROW()-ROW($K$22)+1, COLUMN()-COLUMN($K$22)+1)</f>
        <v>0.03</v>
      </c>
      <c r="M23" s="130">
        <f t="shared" ca="1" si="2"/>
        <v>0.04</v>
      </c>
      <c r="N23" s="130">
        <f t="shared" ca="1" si="2"/>
        <v>0.05</v>
      </c>
      <c r="O23" s="130">
        <f t="shared" ca="1" si="2"/>
        <v>0.06</v>
      </c>
      <c r="P23" s="130">
        <f t="shared" ca="1" si="2"/>
        <v>7.0000000000000007E-2</v>
      </c>
      <c r="Q23" s="130">
        <f t="shared" ca="1" si="2"/>
        <v>0.08</v>
      </c>
    </row>
    <row r="24" spans="2:20">
      <c r="B24" s="127" t="s">
        <v>164</v>
      </c>
      <c r="C24" s="198">
        <f>DCF_Best!G4</f>
        <v>1085.9504859598846</v>
      </c>
      <c r="D24" s="198"/>
      <c r="E24" s="145">
        <f>DCF_Best!K5</f>
        <v>0.58140452302298606</v>
      </c>
      <c r="F24" s="194">
        <f>DCF_Best!N58</f>
        <v>477647.82374412578</v>
      </c>
      <c r="G24" s="195"/>
      <c r="K24" s="131">
        <f t="shared" ca="1" si="1"/>
        <v>0.12</v>
      </c>
      <c r="L24" s="136">
        <f t="shared" ca="1" si="2"/>
        <v>1739.1562977981901</v>
      </c>
      <c r="M24" s="136">
        <f t="shared" ca="1" si="2"/>
        <v>1927.4023464788518</v>
      </c>
      <c r="N24" s="136">
        <f t="shared" ca="1" si="2"/>
        <v>2169.4329804968447</v>
      </c>
      <c r="O24" s="136">
        <f t="shared" ca="1" si="2"/>
        <v>2492.1404925208344</v>
      </c>
      <c r="P24" s="136">
        <f t="shared" ca="1" si="2"/>
        <v>2943.9310093544223</v>
      </c>
      <c r="Q24" s="136">
        <f t="shared" ca="1" si="2"/>
        <v>3621.616784604802</v>
      </c>
    </row>
    <row r="25" spans="2:20">
      <c r="B25" s="127" t="s">
        <v>163</v>
      </c>
      <c r="C25" s="198">
        <f>DCF_Base!G4</f>
        <v>904.00136824298158</v>
      </c>
      <c r="D25" s="198"/>
      <c r="E25" s="145">
        <f>DCF_Base!K5</f>
        <v>0.31644294195861589</v>
      </c>
      <c r="F25" s="194">
        <f>DCF_Base!N58</f>
        <v>407915.8243791227</v>
      </c>
      <c r="G25" s="195"/>
      <c r="K25" s="131">
        <f t="shared" ca="1" si="1"/>
        <v>0.13</v>
      </c>
      <c r="L25" s="136">
        <f t="shared" ca="1" si="2"/>
        <v>1532.2944059455695</v>
      </c>
      <c r="M25" s="136">
        <f t="shared" ca="1" si="2"/>
        <v>1677.630730422492</v>
      </c>
      <c r="N25" s="136">
        <f t="shared" ca="1" si="2"/>
        <v>1859.3011360186442</v>
      </c>
      <c r="O25" s="136">
        <f t="shared" ca="1" si="2"/>
        <v>2092.8773717851254</v>
      </c>
      <c r="P25" s="136">
        <f t="shared" ca="1" si="2"/>
        <v>2404.3123528071019</v>
      </c>
      <c r="Q25" s="136">
        <f t="shared" ca="1" si="2"/>
        <v>2840.3213262378677</v>
      </c>
    </row>
    <row r="26" spans="2:20">
      <c r="B26" s="127" t="s">
        <v>165</v>
      </c>
      <c r="C26" s="198">
        <f>DCF_Worst!G4</f>
        <v>632.7405923676605</v>
      </c>
      <c r="D26" s="198"/>
      <c r="E26" s="145">
        <f>DCF_Worst!K5</f>
        <v>-7.8577847141895307E-2</v>
      </c>
      <c r="F26" s="194">
        <f>DCF_Worst!N58</f>
        <v>303955.13202490588</v>
      </c>
      <c r="G26" s="195"/>
      <c r="K26" s="131">
        <f t="shared" ca="1" si="1"/>
        <v>0.14000000000000001</v>
      </c>
      <c r="L26" s="136">
        <f t="shared" ca="1" si="2"/>
        <v>1363.5997798126416</v>
      </c>
      <c r="M26" s="136">
        <f t="shared" ca="1" si="2"/>
        <v>1478.3935621439477</v>
      </c>
      <c r="N26" s="136">
        <f t="shared" ca="1" si="2"/>
        <v>1618.6970738822104</v>
      </c>
      <c r="O26" s="136">
        <f t="shared" ca="1" si="2"/>
        <v>1794.0764635550381</v>
      </c>
      <c r="P26" s="136">
        <f t="shared" ca="1" si="2"/>
        <v>2019.5642502772466</v>
      </c>
      <c r="Q26" s="136">
        <f t="shared" ca="1" si="2"/>
        <v>2320.2146325735234</v>
      </c>
    </row>
    <row r="27" spans="2:20">
      <c r="B27" s="127" t="s">
        <v>161</v>
      </c>
      <c r="C27" s="198">
        <f>DCF_CAGR!G4</f>
        <v>904.00136824298158</v>
      </c>
      <c r="D27" s="198"/>
      <c r="E27" s="145">
        <f>DCF_CAGR!K5</f>
        <v>0.31644294195861589</v>
      </c>
      <c r="F27" s="194">
        <f>DCF_CAGR!N58</f>
        <v>407915.8243791227</v>
      </c>
      <c r="G27" s="195"/>
      <c r="K27" s="131">
        <f t="shared" ca="1" si="1"/>
        <v>0.15</v>
      </c>
      <c r="L27" s="136">
        <f t="shared" ca="1" si="2"/>
        <v>1223.5070281657297</v>
      </c>
      <c r="M27" s="136">
        <f t="shared" ca="1" si="2"/>
        <v>1315.8843066790223</v>
      </c>
      <c r="N27" s="136">
        <f t="shared" ca="1" si="2"/>
        <v>1426.7370408949739</v>
      </c>
      <c r="O27" s="136">
        <f t="shared" ca="1" si="2"/>
        <v>1562.2237160478032</v>
      </c>
      <c r="P27" s="136">
        <f t="shared" ca="1" si="2"/>
        <v>1731.5820599888398</v>
      </c>
      <c r="Q27" s="136">
        <f t="shared" ca="1" si="2"/>
        <v>1949.3285021987444</v>
      </c>
    </row>
    <row r="28" spans="2:20">
      <c r="B28" s="127" t="s">
        <v>162</v>
      </c>
      <c r="C28" s="198">
        <f>' DCF_ LINEAR REGRESSION'!G4</f>
        <v>1061.4699458315538</v>
      </c>
      <c r="D28" s="198"/>
      <c r="E28" s="145">
        <f>' DCF_ LINEAR REGRESSION'!K5</f>
        <v>0.54575498155170199</v>
      </c>
      <c r="F28" s="194">
        <f>' DCF_ LINEAR REGRESSION'!N58</f>
        <v>468265.65673994302</v>
      </c>
      <c r="G28" s="195"/>
      <c r="K28" s="131">
        <f t="shared" ca="1" si="1"/>
        <v>0.16</v>
      </c>
      <c r="L28" s="136">
        <f t="shared" ca="1" si="2"/>
        <v>1105.3951631725604</v>
      </c>
      <c r="M28" s="136">
        <f t="shared" ca="1" si="2"/>
        <v>1180.8998483180644</v>
      </c>
      <c r="N28" s="136">
        <f t="shared" ca="1" si="2"/>
        <v>1270.132658035478</v>
      </c>
      <c r="O28" s="136">
        <f t="shared" ca="1" si="2"/>
        <v>1377.2120296963742</v>
      </c>
      <c r="P28" s="136">
        <f t="shared" ca="1" si="2"/>
        <v>1508.0868172819146</v>
      </c>
      <c r="Q28" s="136">
        <f t="shared" ca="1" si="2"/>
        <v>1671.6803017638397</v>
      </c>
    </row>
    <row r="31" spans="2:20">
      <c r="I31" s="135"/>
    </row>
    <row r="33" ht="6.75" customHeight="1"/>
    <row r="52" spans="2:13">
      <c r="M52" s="104" t="s">
        <v>190</v>
      </c>
    </row>
    <row r="53" spans="2:13" ht="18.75">
      <c r="B53" s="148" t="s">
        <v>149</v>
      </c>
      <c r="C53" s="148"/>
      <c r="D53" s="148"/>
      <c r="E53" s="148"/>
      <c r="F53" s="114"/>
      <c r="G53" s="114"/>
      <c r="H53" s="114"/>
      <c r="I53" s="114"/>
      <c r="J53" s="114"/>
    </row>
    <row r="54" spans="2:13">
      <c r="B54" t="s">
        <v>150</v>
      </c>
    </row>
    <row r="55" spans="2:13">
      <c r="B55" s="116" t="s">
        <v>151</v>
      </c>
      <c r="D55" s="116"/>
      <c r="E55" s="116"/>
      <c r="F55" s="116"/>
    </row>
    <row r="56" spans="2:13">
      <c r="B56" s="116" t="s">
        <v>152</v>
      </c>
      <c r="D56" s="116"/>
      <c r="E56" s="116"/>
      <c r="F56" s="116"/>
    </row>
    <row r="57" spans="2:13">
      <c r="B57" s="116" t="s">
        <v>153</v>
      </c>
      <c r="D57" s="116"/>
      <c r="E57" s="116"/>
      <c r="F57" s="116"/>
    </row>
    <row r="58" spans="2:13">
      <c r="B58" s="116" t="s">
        <v>154</v>
      </c>
      <c r="D58" s="116"/>
      <c r="E58" s="116"/>
      <c r="F58" s="116"/>
    </row>
    <row r="59" spans="2:13">
      <c r="B59" s="116" t="s">
        <v>200</v>
      </c>
      <c r="D59" s="116"/>
      <c r="E59" s="116"/>
      <c r="F59" s="116"/>
    </row>
    <row r="60" spans="2:13">
      <c r="B60" s="116" t="s">
        <v>155</v>
      </c>
      <c r="D60" s="116"/>
      <c r="E60" s="116"/>
      <c r="F60" s="116"/>
    </row>
    <row r="61" spans="2:13" ht="8.25" customHeight="1"/>
    <row r="62" spans="2:13" ht="18.75">
      <c r="B62" s="149" t="s">
        <v>182</v>
      </c>
      <c r="C62" s="150"/>
      <c r="D62" s="137"/>
      <c r="E62" s="137"/>
      <c r="F62" s="137"/>
      <c r="G62" s="137"/>
      <c r="H62" s="137"/>
      <c r="I62" s="137"/>
      <c r="J62" s="138"/>
    </row>
    <row r="63" spans="2:13">
      <c r="B63" s="1" t="s">
        <v>209</v>
      </c>
    </row>
    <row r="64" spans="2:13">
      <c r="B64" s="1" t="s">
        <v>183</v>
      </c>
    </row>
    <row r="65" spans="11:15" ht="8.25" customHeight="1"/>
    <row r="66" spans="11:15">
      <c r="O66" s="118"/>
    </row>
    <row r="67" spans="11:15" ht="18.75">
      <c r="K67" s="139"/>
      <c r="L67" s="140"/>
      <c r="M67" s="140"/>
      <c r="N67" s="140"/>
    </row>
  </sheetData>
  <mergeCells count="31">
    <mergeCell ref="C27:D27"/>
    <mergeCell ref="C28:D28"/>
    <mergeCell ref="C22:D22"/>
    <mergeCell ref="C23:D23"/>
    <mergeCell ref="C24:D24"/>
    <mergeCell ref="C25:D25"/>
    <mergeCell ref="C26:D26"/>
    <mergeCell ref="F28:G28"/>
    <mergeCell ref="F11:H11"/>
    <mergeCell ref="F12:H12"/>
    <mergeCell ref="F13:H13"/>
    <mergeCell ref="F14:H14"/>
    <mergeCell ref="F15:H15"/>
    <mergeCell ref="F22:G22"/>
    <mergeCell ref="F23:G23"/>
    <mergeCell ref="F24:G24"/>
    <mergeCell ref="F25:G25"/>
    <mergeCell ref="F26:G26"/>
    <mergeCell ref="F27:G27"/>
    <mergeCell ref="K21:Q21"/>
    <mergeCell ref="B21:G21"/>
    <mergeCell ref="E10:I10"/>
    <mergeCell ref="B10:C10"/>
    <mergeCell ref="B2:T2"/>
    <mergeCell ref="L11:M11"/>
    <mergeCell ref="L12:M12"/>
    <mergeCell ref="L13:M13"/>
    <mergeCell ref="L14:M14"/>
    <mergeCell ref="L15:M15"/>
    <mergeCell ref="L16:M16"/>
    <mergeCell ref="L10:M10"/>
  </mergeCells>
  <conditionalFormatting sqref="C16">
    <cfRule type="cellIs" dxfId="10" priority="15" operator="greaterThan">
      <formula>0</formula>
    </cfRule>
  </conditionalFormatting>
  <conditionalFormatting sqref="C17:C19">
    <cfRule type="cellIs" dxfId="9" priority="16" operator="greaterThan">
      <formula>0</formula>
    </cfRule>
    <cfRule type="cellIs" dxfId="8" priority="17" operator="greaterThan">
      <formula>0</formula>
    </cfRule>
  </conditionalFormatting>
  <conditionalFormatting sqref="C23:D28">
    <cfRule type="top10" dxfId="7" priority="8" percent="1" rank="1"/>
    <cfRule type="top10" dxfId="6" priority="2" bottom="1" rank="1"/>
  </conditionalFormatting>
  <conditionalFormatting sqref="E23:E28">
    <cfRule type="top10" dxfId="5" priority="9" rank="1"/>
    <cfRule type="top10" dxfId="0" priority="1" bottom="1" rank="1"/>
  </conditionalFormatting>
  <conditionalFormatting sqref="K23:Q2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6:M16">
    <cfRule type="cellIs" dxfId="4" priority="6" operator="lessThan">
      <formula>0</formula>
    </cfRule>
    <cfRule type="cellIs" dxfId="3" priority="5" operator="greaterThan">
      <formula>0</formula>
    </cfRule>
  </conditionalFormatting>
  <conditionalFormatting sqref="L14:M14">
    <cfRule type="cellIs" dxfId="2" priority="4" operator="greaterThan">
      <formula>"$L$15"</formula>
    </cfRule>
    <cfRule type="cellIs" dxfId="1" priority="3" operator="lessThan">
      <formula>$L$15</formula>
    </cfRule>
  </conditionalFormatting>
  <dataValidations count="1">
    <dataValidation type="list" allowBlank="1" showInputMessage="1" showErrorMessage="1" sqref="L10" xr:uid="{93A334F1-B956-4F86-895D-9B63D062B54E}">
      <formula1>ModelList</formula1>
    </dataValidation>
  </dataValidations>
  <hyperlinks>
    <hyperlink ref="I12" location="'DCF-Segment'!A1" display="DCF Sheet" xr:uid="{24F6C359-3BC3-434C-9BF2-605596CADE6E}"/>
    <hyperlink ref="I13" location="'DCF_Senario&gt;'!A1" display="DCF Sheet " xr:uid="{71A03E17-6A56-4F63-9737-A8888DA1FC92}"/>
    <hyperlink ref="I14" location="DCF_CAGR!A1" display="DCF Sheet" xr:uid="{F68F5AE8-CE17-431F-AD41-6D61E1ED9779}"/>
    <hyperlink ref="I15" location="' DCF_ LINEAR REGRESSION'!A1" display="DCF Sheet" xr:uid="{23E7FD89-8D17-4241-8FD7-9FC026602B3E}"/>
  </hyperlink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2B5C-B0A7-4A49-A305-9E95FE466620}">
  <dimension ref="B3:F38"/>
  <sheetViews>
    <sheetView workbookViewId="0">
      <selection activeCell="F3" sqref="F3"/>
    </sheetView>
  </sheetViews>
  <sheetFormatPr defaultRowHeight="15"/>
  <cols>
    <col min="2" max="2" width="23.140625" customWidth="1"/>
    <col min="3" max="3" width="11.5703125" bestFit="1" customWidth="1"/>
  </cols>
  <sheetData>
    <row r="3" spans="2:6">
      <c r="B3" s="102" t="s">
        <v>156</v>
      </c>
      <c r="C3" s="117" t="s">
        <v>145</v>
      </c>
      <c r="F3" t="s">
        <v>201</v>
      </c>
    </row>
    <row r="4" spans="2:6">
      <c r="B4" s="101" t="s">
        <v>157</v>
      </c>
      <c r="C4" s="106">
        <f>'DCF-Segment'!N58</f>
        <v>658206.83773805748</v>
      </c>
      <c r="F4" t="s">
        <v>203</v>
      </c>
    </row>
    <row r="5" spans="2:6">
      <c r="B5" s="101" t="s">
        <v>89</v>
      </c>
      <c r="C5" s="106">
        <f>'DCF-Segment'!N61</f>
        <v>596749.53773805744</v>
      </c>
      <c r="F5" t="s">
        <v>202</v>
      </c>
    </row>
    <row r="6" spans="2:6">
      <c r="B6" s="101" t="s">
        <v>60</v>
      </c>
      <c r="C6" s="119">
        <f>'DCF-Segment'!G4</f>
        <v>1557.0764194078472</v>
      </c>
      <c r="F6" t="s">
        <v>204</v>
      </c>
    </row>
    <row r="7" spans="2:6">
      <c r="B7" s="101" t="s">
        <v>158</v>
      </c>
      <c r="C7" s="119">
        <f>'DCF-Segment'!G5</f>
        <v>686.7</v>
      </c>
      <c r="F7" t="s">
        <v>127</v>
      </c>
    </row>
    <row r="8" spans="2:6" ht="13.5" customHeight="1">
      <c r="B8" s="101" t="s">
        <v>159</v>
      </c>
      <c r="C8" s="120">
        <f>'DCF-Segment'!K5</f>
        <v>1.2674769468586677</v>
      </c>
      <c r="F8" t="s">
        <v>205</v>
      </c>
    </row>
    <row r="9" spans="2:6">
      <c r="B9" s="102" t="s">
        <v>156</v>
      </c>
      <c r="C9" s="117" t="s">
        <v>145</v>
      </c>
    </row>
    <row r="10" spans="2:6">
      <c r="B10" s="101" t="s">
        <v>157</v>
      </c>
      <c r="C10" s="106">
        <f>DCF_Best!N58</f>
        <v>477647.82374412578</v>
      </c>
    </row>
    <row r="11" spans="2:6">
      <c r="B11" s="101" t="s">
        <v>89</v>
      </c>
      <c r="C11" s="106">
        <f>DCF_Best!N61</f>
        <v>416190.52374412579</v>
      </c>
    </row>
    <row r="12" spans="2:6">
      <c r="B12" s="101" t="s">
        <v>60</v>
      </c>
      <c r="C12" s="100">
        <f>DCF_Best!N63</f>
        <v>1085.9504859598846</v>
      </c>
    </row>
    <row r="13" spans="2:6">
      <c r="B13" s="101" t="s">
        <v>158</v>
      </c>
      <c r="C13" s="100">
        <f>DCF_Best!G5</f>
        <v>686.7</v>
      </c>
    </row>
    <row r="14" spans="2:6">
      <c r="B14" s="101" t="s">
        <v>159</v>
      </c>
      <c r="C14" s="100">
        <f>DCF_Best!K5</f>
        <v>0.58140452302298606</v>
      </c>
    </row>
    <row r="15" spans="2:6">
      <c r="B15" s="102" t="s">
        <v>156</v>
      </c>
      <c r="C15" s="117" t="s">
        <v>145</v>
      </c>
    </row>
    <row r="16" spans="2:6">
      <c r="B16" s="101" t="s">
        <v>157</v>
      </c>
      <c r="C16" s="106">
        <f>DCF_Base!N58</f>
        <v>407915.8243791227</v>
      </c>
    </row>
    <row r="17" spans="2:3">
      <c r="B17" s="101" t="s">
        <v>89</v>
      </c>
      <c r="C17" s="106">
        <f>DCF_Base!N61</f>
        <v>346458.52437912271</v>
      </c>
    </row>
    <row r="18" spans="2:3">
      <c r="B18" s="101" t="s">
        <v>60</v>
      </c>
      <c r="C18" s="100">
        <f>DCF_Base!N63</f>
        <v>904.00136824298158</v>
      </c>
    </row>
    <row r="19" spans="2:3">
      <c r="B19" s="101" t="s">
        <v>158</v>
      </c>
      <c r="C19" s="100">
        <f>DCF_Base!G5</f>
        <v>686.7</v>
      </c>
    </row>
    <row r="20" spans="2:3">
      <c r="B20" s="101" t="s">
        <v>159</v>
      </c>
      <c r="C20" s="100">
        <f>DCF_Base!K5</f>
        <v>0.31644294195861589</v>
      </c>
    </row>
    <row r="21" spans="2:3">
      <c r="B21" s="102" t="s">
        <v>156</v>
      </c>
      <c r="C21" s="117" t="s">
        <v>145</v>
      </c>
    </row>
    <row r="22" spans="2:3">
      <c r="B22" s="101" t="s">
        <v>157</v>
      </c>
      <c r="C22" s="106">
        <f>DCF_Worst!N58</f>
        <v>303955.13202490588</v>
      </c>
    </row>
    <row r="23" spans="2:3">
      <c r="B23" s="101" t="s">
        <v>89</v>
      </c>
      <c r="C23" s="106">
        <f>DCF_Worst!N61</f>
        <v>242497.83202490589</v>
      </c>
    </row>
    <row r="24" spans="2:3">
      <c r="B24" s="101" t="s">
        <v>60</v>
      </c>
      <c r="C24" s="100">
        <f>DCF_Worst!N63</f>
        <v>632.7405923676605</v>
      </c>
    </row>
    <row r="25" spans="2:3">
      <c r="B25" s="101" t="s">
        <v>158</v>
      </c>
      <c r="C25" s="100">
        <f>DCF_Worst!G5</f>
        <v>686.7</v>
      </c>
    </row>
    <row r="26" spans="2:3">
      <c r="B26" s="101" t="s">
        <v>159</v>
      </c>
      <c r="C26" s="100">
        <f>DCF_Worst!K5</f>
        <v>-7.8577847141895307E-2</v>
      </c>
    </row>
    <row r="27" spans="2:3">
      <c r="B27" s="102" t="s">
        <v>156</v>
      </c>
      <c r="C27" s="117" t="s">
        <v>145</v>
      </c>
    </row>
    <row r="28" spans="2:3">
      <c r="B28" s="101" t="s">
        <v>157</v>
      </c>
      <c r="C28" s="106">
        <f>DCF_CAGR!N58</f>
        <v>407915.8243791227</v>
      </c>
    </row>
    <row r="29" spans="2:3">
      <c r="B29" s="101" t="s">
        <v>89</v>
      </c>
      <c r="C29" s="106">
        <f>DCF_CAGR!N61</f>
        <v>346458.52437912271</v>
      </c>
    </row>
    <row r="30" spans="2:3">
      <c r="B30" s="101" t="s">
        <v>60</v>
      </c>
      <c r="C30" s="100">
        <f>DCF_CAGR!N63</f>
        <v>904.00136824298158</v>
      </c>
    </row>
    <row r="31" spans="2:3">
      <c r="B31" s="101" t="s">
        <v>158</v>
      </c>
      <c r="C31" s="100">
        <f>DCF_CAGR!G5</f>
        <v>686.7</v>
      </c>
    </row>
    <row r="32" spans="2:3">
      <c r="B32" s="101" t="s">
        <v>159</v>
      </c>
      <c r="C32" s="100">
        <f>DCF_CAGR!K5</f>
        <v>0.31644294195861589</v>
      </c>
    </row>
    <row r="33" spans="2:3">
      <c r="B33" s="102" t="s">
        <v>156</v>
      </c>
      <c r="C33" s="117" t="s">
        <v>145</v>
      </c>
    </row>
    <row r="34" spans="2:3">
      <c r="B34" s="101" t="s">
        <v>157</v>
      </c>
      <c r="C34" s="106">
        <f>' DCF_ LINEAR REGRESSION'!N58</f>
        <v>468265.65673994302</v>
      </c>
    </row>
    <row r="35" spans="2:3">
      <c r="B35" s="101" t="s">
        <v>89</v>
      </c>
      <c r="C35" s="106">
        <f>' DCF_ LINEAR REGRESSION'!N61</f>
        <v>406808.35673994303</v>
      </c>
    </row>
    <row r="36" spans="2:3">
      <c r="B36" s="101" t="s">
        <v>60</v>
      </c>
      <c r="C36" s="100">
        <f>' DCF_ LINEAR REGRESSION'!N63</f>
        <v>1061.4699458315538</v>
      </c>
    </row>
    <row r="37" spans="2:3">
      <c r="B37" s="101" t="s">
        <v>158</v>
      </c>
      <c r="C37" s="100">
        <f>' DCF_ LINEAR REGRESSION'!G5</f>
        <v>686.7</v>
      </c>
    </row>
    <row r="38" spans="2:3">
      <c r="B38" s="101" t="s">
        <v>159</v>
      </c>
      <c r="C38" s="100">
        <f>' DCF_ LINEAR REGRESSION'!K5</f>
        <v>0.54575498155170199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2875-3A7C-46F6-B948-A6D97B929220}">
  <sheetPr>
    <tabColor rgb="FF0070C0"/>
  </sheetPr>
  <dimension ref="A1"/>
  <sheetViews>
    <sheetView workbookViewId="0">
      <selection activeCell="D21" sqref="D21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399B-14C7-44F3-BBB3-A418D732A3EE}">
  <dimension ref="B2:AF63"/>
  <sheetViews>
    <sheetView showGridLines="0" zoomScale="90" zoomScaleNormal="90" workbookViewId="0">
      <selection activeCell="T6" sqref="T6"/>
    </sheetView>
  </sheetViews>
  <sheetFormatPr defaultRowHeight="15"/>
  <cols>
    <col min="1" max="1" width="9.140625" customWidth="1"/>
    <col min="3" max="3" width="13.42578125" bestFit="1" customWidth="1"/>
    <col min="7" max="7" width="14.28515625" bestFit="1" customWidth="1"/>
    <col min="14" max="14" width="10.28515625" bestFit="1" customWidth="1"/>
    <col min="17" max="17" width="11.42578125" customWidth="1"/>
    <col min="18" max="18" width="12.85546875" customWidth="1"/>
    <col min="19" max="20" width="10.28515625" bestFit="1" customWidth="1"/>
    <col min="21" max="23" width="11.140625" bestFit="1" customWidth="1"/>
  </cols>
  <sheetData>
    <row r="2" spans="2:32" ht="21">
      <c r="B2" s="2" t="s">
        <v>108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48">
        <f>N63</f>
        <v>1557.0764194078472</v>
      </c>
      <c r="M4" s="5"/>
      <c r="Q4" s="57" t="s">
        <v>121</v>
      </c>
      <c r="R4" s="57"/>
    </row>
    <row r="5" spans="2:32">
      <c r="E5" t="s">
        <v>62</v>
      </c>
      <c r="G5" s="48">
        <v>686.7</v>
      </c>
      <c r="I5" t="s">
        <v>63</v>
      </c>
      <c r="K5" s="7">
        <f>G4/G5-1</f>
        <v>1.2674769468586677</v>
      </c>
      <c r="M5" s="5"/>
      <c r="Q5" s="99">
        <f>N63</f>
        <v>1557.0764194078472</v>
      </c>
      <c r="R5" s="98">
        <v>0.03</v>
      </c>
      <c r="S5" s="98">
        <v>0.04</v>
      </c>
      <c r="T5" s="98">
        <v>0.05</v>
      </c>
      <c r="U5" s="98">
        <v>0.06</v>
      </c>
      <c r="V5" s="98">
        <v>7.0000000000000007E-2</v>
      </c>
      <c r="W5" s="98">
        <v>0.08</v>
      </c>
    </row>
    <row r="6" spans="2:32">
      <c r="Q6" s="98">
        <v>0.12</v>
      </c>
      <c r="R6" s="97">
        <f t="dataTable" ref="R6:W10" dt2D="1" dtr="1" r1="D10" r2="D9" ca="1"/>
        <v>1739.1562977981901</v>
      </c>
      <c r="S6" s="97">
        <v>1927.4023464788518</v>
      </c>
      <c r="T6" s="97">
        <v>2169.4329804968447</v>
      </c>
      <c r="U6" s="97">
        <v>2492.1404925208344</v>
      </c>
      <c r="V6" s="97">
        <v>2943.9310093544223</v>
      </c>
      <c r="W6" s="97">
        <v>3621.616784604802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98">
        <v>0.13</v>
      </c>
      <c r="R7" s="97">
        <v>1532.2944059455695</v>
      </c>
      <c r="S7" s="97">
        <v>1677.630730422492</v>
      </c>
      <c r="T7" s="97">
        <v>1859.3011360186442</v>
      </c>
      <c r="U7" s="97">
        <v>2092.8773717851254</v>
      </c>
      <c r="V7" s="97">
        <v>2404.3123528071019</v>
      </c>
      <c r="W7" s="97">
        <v>2840.3213262378677</v>
      </c>
    </row>
    <row r="8" spans="2:32">
      <c r="B8" s="1" t="s">
        <v>65</v>
      </c>
      <c r="Q8" s="98">
        <v>0.14000000000000001</v>
      </c>
      <c r="R8" s="97">
        <v>1363.5997798126416</v>
      </c>
      <c r="S8" s="97">
        <v>1478.3935621439477</v>
      </c>
      <c r="T8" s="97">
        <v>1618.6970738822104</v>
      </c>
      <c r="U8" s="97">
        <v>1794.0764635550381</v>
      </c>
      <c r="V8" s="97">
        <v>2019.5642502772466</v>
      </c>
      <c r="W8" s="97">
        <v>2320.2146325735234</v>
      </c>
    </row>
    <row r="9" spans="2:32">
      <c r="B9" t="s">
        <v>66</v>
      </c>
      <c r="D9" s="178">
        <f>WACC!D23</f>
        <v>0.14298200000000003</v>
      </c>
      <c r="Q9" s="98">
        <v>0.15</v>
      </c>
      <c r="R9" s="97">
        <v>1223.5070281657297</v>
      </c>
      <c r="S9" s="97">
        <v>1315.8843066790223</v>
      </c>
      <c r="T9" s="97">
        <v>1426.7370408949739</v>
      </c>
      <c r="U9" s="97">
        <v>1562.2237160478032</v>
      </c>
      <c r="V9" s="97">
        <v>1731.5820599888398</v>
      </c>
      <c r="W9" s="97">
        <v>1949.3285021987444</v>
      </c>
    </row>
    <row r="10" spans="2:32">
      <c r="B10" t="s">
        <v>67</v>
      </c>
      <c r="D10" s="8">
        <v>0.05</v>
      </c>
      <c r="Q10" s="98">
        <v>0.16</v>
      </c>
      <c r="R10" s="97">
        <v>1105.3951631725604</v>
      </c>
      <c r="S10" s="97">
        <v>1180.8998483180644</v>
      </c>
      <c r="T10" s="97">
        <v>1270.132658035478</v>
      </c>
      <c r="U10" s="97">
        <v>1377.2120296963742</v>
      </c>
      <c r="V10" s="97">
        <v>1508.0868172819146</v>
      </c>
      <c r="W10" s="97">
        <v>1671.6803017638397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Segement!K21</f>
        <v>510363.26990547497</v>
      </c>
      <c r="K13" s="10">
        <f>Segement!L21</f>
        <v>602207.98053720046</v>
      </c>
      <c r="L13" s="10">
        <f>Segement!M21</f>
        <v>720901.44219253247</v>
      </c>
      <c r="M13" s="10">
        <f>Segement!N21</f>
        <v>877228.08249179262</v>
      </c>
      <c r="N13" s="10">
        <f>Segement!O21</f>
        <v>1086912.9898352891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N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si="2"/>
        <v>0.17590888332567234</v>
      </c>
      <c r="K14" s="12">
        <f t="shared" si="2"/>
        <v>0.17995948385693228</v>
      </c>
      <c r="L14" s="12">
        <f t="shared" si="2"/>
        <v>0.19709712506541566</v>
      </c>
      <c r="M14" s="12">
        <f t="shared" si="2"/>
        <v>0.21684883834302227</v>
      </c>
      <c r="N14" s="12">
        <f t="shared" si="2"/>
        <v>0.23903122976624291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52261.198838320641</v>
      </c>
      <c r="K16" s="10">
        <f t="shared" ref="K16:N16" si="3">K13*10.24%</f>
        <v>61666.097207009334</v>
      </c>
      <c r="L16" s="10">
        <f t="shared" si="3"/>
        <v>73820.307680515325</v>
      </c>
      <c r="M16" s="10">
        <f t="shared" si="3"/>
        <v>89828.155647159569</v>
      </c>
      <c r="N16" s="10">
        <f t="shared" si="3"/>
        <v>111299.8901591336</v>
      </c>
    </row>
    <row r="17" spans="2:14">
      <c r="B17" s="11" t="s">
        <v>72</v>
      </c>
      <c r="C17" s="9"/>
      <c r="D17" s="9"/>
      <c r="E17" s="12">
        <f>E16/E13</f>
        <v>6.81223491342825E-2</v>
      </c>
      <c r="F17" s="12">
        <f t="shared" ref="F17:N17" si="4">F16/F13</f>
        <v>0.12790234746842691</v>
      </c>
      <c r="G17" s="12">
        <f t="shared" si="4"/>
        <v>8.7813353330446486E-2</v>
      </c>
      <c r="H17" s="12">
        <f t="shared" si="4"/>
        <v>9.1043017088980549E-2</v>
      </c>
      <c r="I17" s="12">
        <f t="shared" si="4"/>
        <v>0.13717996571554966</v>
      </c>
      <c r="J17" s="12">
        <f t="shared" si="4"/>
        <v>0.1024</v>
      </c>
      <c r="K17" s="12">
        <f t="shared" si="4"/>
        <v>0.1024</v>
      </c>
      <c r="L17" s="12">
        <f t="shared" si="4"/>
        <v>0.1024</v>
      </c>
      <c r="M17" s="12">
        <f t="shared" si="4"/>
        <v>0.1024</v>
      </c>
      <c r="N17" s="12">
        <f t="shared" si="4"/>
        <v>0.1024</v>
      </c>
    </row>
    <row r="18" spans="2:14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13065.29970958016</v>
      </c>
      <c r="K19" s="10">
        <f t="shared" ref="K19:N19" si="5">K16*25%</f>
        <v>15416.524301752333</v>
      </c>
      <c r="L19" s="10">
        <f t="shared" si="5"/>
        <v>18455.076920128831</v>
      </c>
      <c r="M19" s="10">
        <f t="shared" si="5"/>
        <v>22457.038911789892</v>
      </c>
      <c r="N19" s="10">
        <f t="shared" si="5"/>
        <v>27824.972539783401</v>
      </c>
    </row>
    <row r="20" spans="2:14">
      <c r="B20" s="11" t="s">
        <v>74</v>
      </c>
      <c r="C20" s="9"/>
      <c r="D20" s="9"/>
      <c r="E20" s="12">
        <f>E19/E13</f>
        <v>1.4971154111992416E-3</v>
      </c>
      <c r="F20" s="12">
        <f t="shared" ref="F20:N20" si="6">F19/F13</f>
        <v>1.006940716905029E-2</v>
      </c>
      <c r="G20" s="12">
        <f t="shared" si="6"/>
        <v>1.503087131310627E-2</v>
      </c>
      <c r="H20" s="12">
        <f t="shared" si="6"/>
        <v>2.0082703888931039E-3</v>
      </c>
      <c r="I20" s="12">
        <f t="shared" si="6"/>
        <v>-8.8743272137432726E-3</v>
      </c>
      <c r="J20" s="12">
        <f t="shared" si="6"/>
        <v>2.5600000000000001E-2</v>
      </c>
      <c r="K20" s="12">
        <f t="shared" si="6"/>
        <v>2.5600000000000001E-2</v>
      </c>
      <c r="L20" s="12">
        <f t="shared" si="6"/>
        <v>2.5600000000000001E-2</v>
      </c>
      <c r="M20" s="12">
        <f t="shared" si="6"/>
        <v>2.5600000000000001E-2</v>
      </c>
      <c r="N20" s="12">
        <f t="shared" si="6"/>
        <v>2.5600000000000001E-2</v>
      </c>
    </row>
    <row r="21" spans="2:14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>
      <c r="B22" s="57" t="s">
        <v>75</v>
      </c>
      <c r="C22" s="57"/>
      <c r="D22" s="57"/>
      <c r="E22" s="57">
        <f>E12</f>
        <v>2020</v>
      </c>
      <c r="F22" s="57">
        <f t="shared" ref="F22:N22" si="7">F12</f>
        <v>2021</v>
      </c>
      <c r="G22" s="57">
        <f t="shared" si="7"/>
        <v>2022</v>
      </c>
      <c r="H22" s="57">
        <f t="shared" si="7"/>
        <v>2023</v>
      </c>
      <c r="I22" s="57">
        <f t="shared" si="7"/>
        <v>2024</v>
      </c>
      <c r="J22" s="57">
        <f t="shared" si="7"/>
        <v>2025</v>
      </c>
      <c r="K22" s="57">
        <f t="shared" si="7"/>
        <v>2026</v>
      </c>
      <c r="L22" s="57">
        <f t="shared" si="7"/>
        <v>2027</v>
      </c>
      <c r="M22" s="57">
        <f t="shared" si="7"/>
        <v>2028</v>
      </c>
      <c r="N22" s="57">
        <f t="shared" si="7"/>
        <v>2029</v>
      </c>
    </row>
    <row r="23" spans="2:14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>
      <c r="B24" s="11" t="s">
        <v>72</v>
      </c>
      <c r="C24" s="9"/>
      <c r="D24" s="9"/>
      <c r="E24" s="12">
        <f>E23/$E$13</f>
        <v>8.1144185507483507E-2</v>
      </c>
      <c r="F24" s="12">
        <f t="shared" ref="F24:H24" si="8">F23/$E$13</f>
        <v>8.917816203613757E-2</v>
      </c>
      <c r="G24" s="12">
        <f t="shared" si="8"/>
        <v>9.4059977783761711E-2</v>
      </c>
      <c r="H24" s="12">
        <f t="shared" si="8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4">
      <c r="B27" s="11" t="s">
        <v>72</v>
      </c>
      <c r="C27" s="9"/>
      <c r="D27" s="9"/>
      <c r="E27" s="12">
        <f>E26/$E$13</f>
        <v>0.11184243665096079</v>
      </c>
      <c r="F27" s="12">
        <f t="shared" ref="F27:H27" si="9">F26/$E$13</f>
        <v>7.5196626585785326E-2</v>
      </c>
      <c r="G27" s="12">
        <f t="shared" si="9"/>
        <v>5.6574525708308294E-2</v>
      </c>
      <c r="H27" s="12">
        <f t="shared" si="9"/>
        <v>7.1750193435794654E-2</v>
      </c>
      <c r="I27" s="12">
        <f>I26/$E$13</f>
        <v>0.11809903836940538</v>
      </c>
      <c r="J27" s="13"/>
      <c r="K27" s="12"/>
      <c r="L27" s="12"/>
      <c r="M27" s="12"/>
      <c r="N27" s="12"/>
    </row>
    <row r="28" spans="2:14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4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>
      <c r="B30" s="11" t="s">
        <v>72</v>
      </c>
      <c r="C30" s="9"/>
      <c r="D30" s="9"/>
      <c r="E30" s="20">
        <f>E29/$E$13</f>
        <v>0</v>
      </c>
      <c r="F30" s="20">
        <f t="shared" ref="F30:H30" si="10">F29/$E$13</f>
        <v>3.7892585661853391E-2</v>
      </c>
      <c r="G30" s="20">
        <f t="shared" si="10"/>
        <v>2.7102977528877203E-2</v>
      </c>
      <c r="H30" s="20">
        <f t="shared" si="10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>
      <c r="B32" s="57" t="s">
        <v>79</v>
      </c>
      <c r="C32" s="57"/>
      <c r="D32" s="57"/>
      <c r="E32" s="57">
        <f t="shared" ref="E32:N32" si="11">E22</f>
        <v>2020</v>
      </c>
      <c r="F32" s="57">
        <f t="shared" si="11"/>
        <v>2021</v>
      </c>
      <c r="G32" s="57">
        <f t="shared" si="11"/>
        <v>2022</v>
      </c>
      <c r="H32" s="57">
        <f t="shared" si="11"/>
        <v>2023</v>
      </c>
      <c r="I32" s="64">
        <f t="shared" si="11"/>
        <v>2024</v>
      </c>
      <c r="J32" s="57">
        <f t="shared" si="11"/>
        <v>2025</v>
      </c>
      <c r="K32" s="57">
        <f t="shared" si="11"/>
        <v>2026</v>
      </c>
      <c r="L32" s="57">
        <f t="shared" si="11"/>
        <v>2027</v>
      </c>
      <c r="M32" s="57">
        <f t="shared" si="11"/>
        <v>2028</v>
      </c>
      <c r="N32" s="57">
        <f t="shared" si="11"/>
        <v>2029</v>
      </c>
    </row>
    <row r="33" spans="2:14">
      <c r="B33" t="s">
        <v>69</v>
      </c>
      <c r="E33" s="22">
        <f>E13</f>
        <v>264041.09999999998</v>
      </c>
      <c r="F33" s="22">
        <f t="shared" ref="F33:N34" si="12">F13</f>
        <v>252437.9</v>
      </c>
      <c r="G33" s="22">
        <f t="shared" si="12"/>
        <v>281507.3</v>
      </c>
      <c r="H33" s="22">
        <f t="shared" si="12"/>
        <v>350600.2</v>
      </c>
      <c r="I33" s="22">
        <f t="shared" si="12"/>
        <v>434016</v>
      </c>
      <c r="J33" s="22">
        <f t="shared" si="12"/>
        <v>510363.26990547497</v>
      </c>
      <c r="K33" s="22">
        <f t="shared" si="12"/>
        <v>602207.98053720046</v>
      </c>
      <c r="L33" s="22">
        <f t="shared" si="12"/>
        <v>720901.44219253247</v>
      </c>
      <c r="M33" s="22">
        <f t="shared" si="12"/>
        <v>877228.08249179262</v>
      </c>
      <c r="N33" s="22">
        <f t="shared" si="12"/>
        <v>1086912.9898352891</v>
      </c>
    </row>
    <row r="34" spans="2:14">
      <c r="B34" s="23" t="s">
        <v>70</v>
      </c>
      <c r="E34" s="24">
        <f>E14</f>
        <v>0</v>
      </c>
      <c r="F34" s="24">
        <f t="shared" si="12"/>
        <v>-4.3944673764803932E-2</v>
      </c>
      <c r="G34" s="24">
        <f t="shared" si="12"/>
        <v>0.11515465783862089</v>
      </c>
      <c r="H34" s="24">
        <f t="shared" si="12"/>
        <v>0.24543910584201556</v>
      </c>
      <c r="I34" s="24">
        <f t="shared" si="12"/>
        <v>0.23792285343818964</v>
      </c>
      <c r="J34" s="24">
        <f t="shared" si="12"/>
        <v>0.17590888332567234</v>
      </c>
      <c r="K34" s="24">
        <f t="shared" si="12"/>
        <v>0.17995948385693228</v>
      </c>
      <c r="L34" s="24">
        <f t="shared" si="12"/>
        <v>0.19709712506541566</v>
      </c>
      <c r="M34" s="24">
        <f t="shared" si="12"/>
        <v>0.21684883834302227</v>
      </c>
      <c r="N34" s="24">
        <f t="shared" si="12"/>
        <v>0.23903122976624291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7" si="13">F16</f>
        <v>32287.4</v>
      </c>
      <c r="G36" s="22">
        <f t="shared" si="13"/>
        <v>24720.1</v>
      </c>
      <c r="H36" s="22">
        <f t="shared" si="13"/>
        <v>31919.7</v>
      </c>
      <c r="I36" s="22">
        <f t="shared" si="13"/>
        <v>59538.3</v>
      </c>
      <c r="J36" s="22">
        <f t="shared" si="13"/>
        <v>52261.198838320641</v>
      </c>
      <c r="K36" s="22">
        <f t="shared" si="13"/>
        <v>61666.097207009334</v>
      </c>
      <c r="L36" s="22">
        <f t="shared" si="13"/>
        <v>73820.307680515325</v>
      </c>
      <c r="M36" s="22">
        <f t="shared" si="13"/>
        <v>89828.155647159569</v>
      </c>
      <c r="N36" s="22">
        <f t="shared" si="13"/>
        <v>111299.8901591336</v>
      </c>
    </row>
    <row r="37" spans="2:14">
      <c r="B37" s="23" t="s">
        <v>80</v>
      </c>
      <c r="E37" s="24">
        <f>E17</f>
        <v>6.81223491342825E-2</v>
      </c>
      <c r="F37" s="24">
        <f t="shared" si="13"/>
        <v>0.12790234746842691</v>
      </c>
      <c r="G37" s="24">
        <f t="shared" si="13"/>
        <v>8.7813353330446486E-2</v>
      </c>
      <c r="H37" s="24">
        <f t="shared" si="13"/>
        <v>9.1043017088980549E-2</v>
      </c>
      <c r="I37" s="24">
        <f t="shared" si="13"/>
        <v>0.13717996571554966</v>
      </c>
      <c r="J37" s="24">
        <f t="shared" si="13"/>
        <v>0.1024</v>
      </c>
      <c r="K37" s="24">
        <f t="shared" si="13"/>
        <v>0.1024</v>
      </c>
      <c r="L37" s="24">
        <f t="shared" si="13"/>
        <v>0.1024</v>
      </c>
      <c r="M37" s="24">
        <f t="shared" si="13"/>
        <v>0.1024</v>
      </c>
      <c r="N37" s="24">
        <f t="shared" si="13"/>
        <v>0.1024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40" si="14">F19</f>
        <v>2541.9</v>
      </c>
      <c r="G39" s="22">
        <f t="shared" si="14"/>
        <v>4231.3</v>
      </c>
      <c r="H39" s="22">
        <f t="shared" si="14"/>
        <v>704.1</v>
      </c>
      <c r="I39" s="22">
        <f t="shared" si="14"/>
        <v>-3851.6</v>
      </c>
      <c r="J39" s="22">
        <f t="shared" si="14"/>
        <v>13065.29970958016</v>
      </c>
      <c r="K39" s="22">
        <f t="shared" si="14"/>
        <v>15416.524301752333</v>
      </c>
      <c r="L39" s="22">
        <f t="shared" si="14"/>
        <v>18455.076920128831</v>
      </c>
      <c r="M39" s="22">
        <f t="shared" si="14"/>
        <v>22457.038911789892</v>
      </c>
      <c r="N39" s="22">
        <f t="shared" si="14"/>
        <v>27824.972539783401</v>
      </c>
    </row>
    <row r="40" spans="2:14">
      <c r="B40" s="23" t="s">
        <v>74</v>
      </c>
      <c r="E40" s="24">
        <f>E20</f>
        <v>1.4971154111992416E-3</v>
      </c>
      <c r="F40" s="24">
        <f t="shared" si="14"/>
        <v>1.006940716905029E-2</v>
      </c>
      <c r="G40" s="24">
        <f t="shared" si="14"/>
        <v>1.503087131310627E-2</v>
      </c>
      <c r="H40" s="24">
        <f t="shared" si="14"/>
        <v>2.0082703888931039E-3</v>
      </c>
      <c r="I40" s="24">
        <f t="shared" si="14"/>
        <v>-8.8743272137432726E-3</v>
      </c>
      <c r="J40" s="24">
        <f t="shared" si="14"/>
        <v>2.5600000000000001E-2</v>
      </c>
      <c r="K40" s="24">
        <f t="shared" si="14"/>
        <v>2.5600000000000001E-2</v>
      </c>
      <c r="L40" s="24">
        <f t="shared" si="14"/>
        <v>2.5600000000000001E-2</v>
      </c>
      <c r="M40" s="24">
        <f t="shared" si="14"/>
        <v>2.5600000000000001E-2</v>
      </c>
      <c r="N40" s="24">
        <f t="shared" si="14"/>
        <v>2.5600000000000001E-2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39195.899128740479</v>
      </c>
      <c r="K42" s="29">
        <f t="shared" ref="K42:N42" si="15">K36-K39</f>
        <v>46249.572905257002</v>
      </c>
      <c r="L42" s="29">
        <f t="shared" si="15"/>
        <v>55365.23076038649</v>
      </c>
      <c r="M42" s="29">
        <f t="shared" si="15"/>
        <v>67371.11673536968</v>
      </c>
      <c r="N42" s="29">
        <f t="shared" si="15"/>
        <v>83474.917619350206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5" si="16">F23</f>
        <v>23546.7</v>
      </c>
      <c r="G44" s="22">
        <f t="shared" si="16"/>
        <v>24835.7</v>
      </c>
      <c r="H44" s="22">
        <f t="shared" si="16"/>
        <v>24860.400000000001</v>
      </c>
      <c r="I44" s="22">
        <f t="shared" si="16"/>
        <v>27270.1</v>
      </c>
      <c r="J44" s="22">
        <f>J13*9.22%</f>
        <v>47055.493485284795</v>
      </c>
      <c r="K44" s="22">
        <f t="shared" ref="K44:N44" si="17">K13*9.22%</f>
        <v>55523.575805529887</v>
      </c>
      <c r="L44" s="22">
        <f t="shared" si="17"/>
        <v>66467.112970151502</v>
      </c>
      <c r="M44" s="22">
        <f t="shared" si="17"/>
        <v>80880.42920574329</v>
      </c>
      <c r="N44" s="22">
        <f t="shared" si="17"/>
        <v>100213.37766281365</v>
      </c>
    </row>
    <row r="45" spans="2:14">
      <c r="B45" s="23" t="s">
        <v>72</v>
      </c>
      <c r="E45" s="24">
        <f>E24</f>
        <v>8.1144185507483507E-2</v>
      </c>
      <c r="F45" s="24">
        <f t="shared" si="16"/>
        <v>8.917816203613757E-2</v>
      </c>
      <c r="G45" s="24">
        <f t="shared" si="16"/>
        <v>9.4059977783761711E-2</v>
      </c>
      <c r="H45" s="24">
        <f t="shared" si="16"/>
        <v>9.4153523826404309E-2</v>
      </c>
      <c r="I45" s="24">
        <f t="shared" si="16"/>
        <v>0.10327975455336309</v>
      </c>
      <c r="J45" s="31">
        <f>J44/$E$13</f>
        <v>0.1782127611394014</v>
      </c>
      <c r="K45" s="31">
        <f t="shared" ref="K45:N45" si="18">K44/$E$13</f>
        <v>0.21028383765076683</v>
      </c>
      <c r="L45" s="31">
        <f t="shared" si="18"/>
        <v>0.25173017749945559</v>
      </c>
      <c r="M45" s="31">
        <f t="shared" si="18"/>
        <v>0.30631757406609539</v>
      </c>
      <c r="N45" s="31">
        <f t="shared" si="18"/>
        <v>0.37953704049412634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8" si="19">F26</f>
        <v>19855</v>
      </c>
      <c r="G47" s="22">
        <f t="shared" si="19"/>
        <v>14938</v>
      </c>
      <c r="H47" s="22">
        <f t="shared" si="19"/>
        <v>18945</v>
      </c>
      <c r="I47" s="22">
        <f t="shared" si="19"/>
        <v>31183</v>
      </c>
      <c r="J47" s="22">
        <f>J13*8.68%</f>
        <v>44299.531827795232</v>
      </c>
      <c r="K47" s="22">
        <f t="shared" ref="K47:N47" si="20">K13*8.68%</f>
        <v>52271.652710629001</v>
      </c>
      <c r="L47" s="22">
        <f t="shared" si="20"/>
        <v>62574.245182311817</v>
      </c>
      <c r="M47" s="22">
        <f t="shared" si="20"/>
        <v>76143.397560287602</v>
      </c>
      <c r="N47" s="22">
        <f t="shared" si="20"/>
        <v>94344.047517703089</v>
      </c>
    </row>
    <row r="48" spans="2:14">
      <c r="B48" s="23" t="s">
        <v>72</v>
      </c>
      <c r="E48" s="24">
        <f>E27</f>
        <v>0.11184243665096079</v>
      </c>
      <c r="F48" s="24">
        <f t="shared" si="19"/>
        <v>7.5196626585785326E-2</v>
      </c>
      <c r="G48" s="24">
        <f t="shared" si="19"/>
        <v>5.6574525708308294E-2</v>
      </c>
      <c r="H48" s="24">
        <f t="shared" si="19"/>
        <v>7.1750193435794654E-2</v>
      </c>
      <c r="I48" s="24">
        <f t="shared" si="19"/>
        <v>0.11809903836940538</v>
      </c>
      <c r="J48" s="31">
        <f>J47/$E$13</f>
        <v>0.167775137385033</v>
      </c>
      <c r="K48" s="31">
        <f t="shared" ref="K48:N48" si="21">K47/$E$13</f>
        <v>0.19796786451286941</v>
      </c>
      <c r="L48" s="31">
        <f t="shared" si="21"/>
        <v>0.23698676146369571</v>
      </c>
      <c r="M48" s="31">
        <f t="shared" si="21"/>
        <v>0.28837706538977309</v>
      </c>
      <c r="N48" s="31">
        <f t="shared" si="21"/>
        <v>0.35730818996627078</v>
      </c>
    </row>
    <row r="49" spans="2:14">
      <c r="I49" s="21"/>
    </row>
    <row r="50" spans="2:14">
      <c r="B50" t="s">
        <v>78</v>
      </c>
      <c r="E50" s="32">
        <f>E29</f>
        <v>0</v>
      </c>
      <c r="F50" s="32">
        <f t="shared" ref="F50:I51" si="22">F29</f>
        <v>10005.199999999997</v>
      </c>
      <c r="G50" s="32">
        <f t="shared" si="22"/>
        <v>7156.3000000000175</v>
      </c>
      <c r="H50" s="32">
        <f t="shared" si="22"/>
        <v>206.5</v>
      </c>
      <c r="I50" s="32">
        <f t="shared" si="22"/>
        <v>-1726</v>
      </c>
      <c r="J50" s="33">
        <f>J51*J33</f>
        <v>3631.7776283101257</v>
      </c>
      <c r="K50" s="33">
        <f>K51*K33</f>
        <v>4215.4558637604032</v>
      </c>
      <c r="L50" s="33">
        <f t="shared" ref="L50:N50" si="23">L51*L33</f>
        <v>5046.3100953477278</v>
      </c>
      <c r="M50" s="33">
        <f t="shared" si="23"/>
        <v>6140.5965774425486</v>
      </c>
      <c r="N50" s="33">
        <f t="shared" si="23"/>
        <v>7608.390928847024</v>
      </c>
    </row>
    <row r="51" spans="2:14">
      <c r="B51" s="23" t="s">
        <v>72</v>
      </c>
      <c r="E51" s="34">
        <f>E30</f>
        <v>0</v>
      </c>
      <c r="F51" s="34">
        <f>F30</f>
        <v>3.7892585661853391E-2</v>
      </c>
      <c r="G51" s="34">
        <f t="shared" si="22"/>
        <v>2.7102977528877203E-2</v>
      </c>
      <c r="H51" s="34">
        <f t="shared" si="22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</row>
    <row r="52" spans="2:14">
      <c r="I52" s="35"/>
    </row>
    <row r="53" spans="2:14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38320.083157919915</v>
      </c>
      <c r="K53" s="36">
        <f t="shared" ref="K53:N53" si="24">K42+K44-K47-K50</f>
        <v>45286.040136397482</v>
      </c>
      <c r="L53" s="36">
        <f t="shared" si="24"/>
        <v>54211.788452878449</v>
      </c>
      <c r="M53" s="36">
        <f t="shared" si="24"/>
        <v>65967.551803382827</v>
      </c>
      <c r="N53" s="36">
        <f t="shared" si="24"/>
        <v>81735.856835613755</v>
      </c>
    </row>
    <row r="54" spans="2:14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33526.410002887111</v>
      </c>
      <c r="K54" s="36">
        <f t="shared" ref="K54:N54" si="25">K53/(1+$D$9)^K31</f>
        <v>34664.549861543674</v>
      </c>
      <c r="L54" s="36">
        <f t="shared" si="25"/>
        <v>36305.762453775023</v>
      </c>
      <c r="M54" s="36">
        <f t="shared" si="25"/>
        <v>38652.074019567997</v>
      </c>
      <c r="N54" s="36">
        <f t="shared" si="25"/>
        <v>41900.158362494934</v>
      </c>
    </row>
    <row r="55" spans="2:14">
      <c r="J55" s="37"/>
    </row>
    <row r="56" spans="2:14">
      <c r="B56" t="s">
        <v>84</v>
      </c>
      <c r="J56" s="37"/>
      <c r="N56" s="33">
        <f>(N53*(1+D10))/(D9-D10)</f>
        <v>923002.8357896629</v>
      </c>
    </row>
    <row r="57" spans="2:14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473157.88303778879</v>
      </c>
    </row>
    <row r="58" spans="2:14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658206.83773805748</v>
      </c>
    </row>
    <row r="59" spans="2:14">
      <c r="B59" s="40" t="s">
        <v>87</v>
      </c>
      <c r="N59" s="46">
        <f>BS!F28</f>
        <v>45806.7</v>
      </c>
    </row>
    <row r="60" spans="2:14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4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596749.53773805744</v>
      </c>
    </row>
    <row r="62" spans="2:14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4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1557.0764194078472</v>
      </c>
    </row>
  </sheetData>
  <conditionalFormatting sqref="Q5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E283-8824-4411-9D1C-501622031C87}">
  <sheetPr>
    <tabColor rgb="FF00B0F0"/>
  </sheetPr>
  <dimension ref="A1"/>
  <sheetViews>
    <sheetView workbookViewId="0"/>
  </sheetViews>
  <sheetFormatPr defaultRowHeight="15"/>
  <cols>
    <col min="3" max="3" width="13.42578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B3F78-38A1-4A97-9224-B723D2B4FF2B}">
  <sheetPr>
    <tabColor rgb="FF00B0F0"/>
  </sheetPr>
  <dimension ref="B2:AF63"/>
  <sheetViews>
    <sheetView showGridLines="0" zoomScaleNormal="100" workbookViewId="0">
      <selection activeCell="P13" sqref="P13"/>
    </sheetView>
  </sheetViews>
  <sheetFormatPr defaultRowHeight="15"/>
  <cols>
    <col min="3" max="3" width="13.42578125" bestFit="1" customWidth="1"/>
    <col min="7" max="7" width="9.85546875" bestFit="1" customWidth="1"/>
    <col min="14" max="14" width="10.28515625" bestFit="1" customWidth="1"/>
    <col min="17" max="17" width="10" customWidth="1"/>
  </cols>
  <sheetData>
    <row r="2" spans="2:32" ht="21">
      <c r="B2" s="2" t="s">
        <v>108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48">
        <f>N63</f>
        <v>1085.9504859598846</v>
      </c>
      <c r="M4" s="5"/>
      <c r="Q4" s="73" t="s">
        <v>121</v>
      </c>
      <c r="R4" s="57"/>
    </row>
    <row r="5" spans="2:32">
      <c r="B5" t="s">
        <v>61</v>
      </c>
      <c r="C5" s="6">
        <v>45650</v>
      </c>
      <c r="E5" t="s">
        <v>62</v>
      </c>
      <c r="G5" s="48">
        <v>686.7</v>
      </c>
      <c r="I5" t="s">
        <v>63</v>
      </c>
      <c r="K5" s="7">
        <f>G4/G5-1</f>
        <v>0.58140452302298606</v>
      </c>
      <c r="M5" s="5"/>
      <c r="Q5" s="84">
        <f>N63</f>
        <v>1085.9504859598846</v>
      </c>
      <c r="R5" s="54">
        <v>0.03</v>
      </c>
      <c r="S5" s="54">
        <v>0.04</v>
      </c>
      <c r="T5" s="54">
        <v>0.05</v>
      </c>
      <c r="U5" s="54">
        <v>0.06</v>
      </c>
      <c r="V5" s="54">
        <v>7.0000000000000007E-2</v>
      </c>
      <c r="W5" s="54">
        <v>0.08</v>
      </c>
    </row>
    <row r="6" spans="2:32">
      <c r="Q6" s="54">
        <v>0.12</v>
      </c>
      <c r="R6" s="53">
        <f t="dataTable" ref="R6:W10" dt2D="1" dtr="1" r1="D10" r2="D9" ca="1"/>
        <v>1214.1675878241713</v>
      </c>
      <c r="S6" s="53">
        <v>1343.8667705360137</v>
      </c>
      <c r="T6" s="53">
        <v>1510.6228625940971</v>
      </c>
      <c r="U6" s="53">
        <v>1732.9643186715421</v>
      </c>
      <c r="V6" s="53">
        <v>2044.2423571799648</v>
      </c>
      <c r="W6" s="53">
        <v>2511.1594149425987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54">
        <v>0.13</v>
      </c>
      <c r="R7" s="53">
        <v>1070.4135904009936</v>
      </c>
      <c r="S7" s="53">
        <v>1170.5485076282707</v>
      </c>
      <c r="T7" s="53">
        <v>1295.7171541623666</v>
      </c>
      <c r="U7" s="53">
        <v>1456.6482711347762</v>
      </c>
      <c r="V7" s="53">
        <v>1671.2230937646559</v>
      </c>
      <c r="W7" s="53">
        <v>1971.6278454464868</v>
      </c>
    </row>
    <row r="8" spans="2:32">
      <c r="B8" s="1" t="s">
        <v>65</v>
      </c>
      <c r="Q8" s="54">
        <v>0.14000000000000001</v>
      </c>
      <c r="R8" s="53">
        <v>952.99509653404618</v>
      </c>
      <c r="S8" s="53">
        <v>1032.0865826667964</v>
      </c>
      <c r="T8" s="53">
        <v>1128.7539546068244</v>
      </c>
      <c r="U8" s="53">
        <v>1249.5881695318594</v>
      </c>
      <c r="V8" s="53">
        <v>1404.9464458640475</v>
      </c>
      <c r="W8" s="53">
        <v>1612.0908143069648</v>
      </c>
    </row>
    <row r="9" spans="2:32">
      <c r="B9" t="s">
        <v>66</v>
      </c>
      <c r="D9" s="8">
        <f>WACC!D23</f>
        <v>0.14298200000000003</v>
      </c>
      <c r="Q9" s="54">
        <v>0.15</v>
      </c>
      <c r="R9" s="53">
        <v>855.32003284081941</v>
      </c>
      <c r="S9" s="53">
        <v>918.96682706725903</v>
      </c>
      <c r="T9" s="53">
        <v>995.34298013898615</v>
      </c>
      <c r="U9" s="53">
        <v>1088.6916116710972</v>
      </c>
      <c r="V9" s="53">
        <v>1205.3774010862362</v>
      </c>
      <c r="W9" s="53">
        <v>1355.4019874771295</v>
      </c>
    </row>
    <row r="10" spans="2:32">
      <c r="B10" t="s">
        <v>67</v>
      </c>
      <c r="D10" s="8">
        <v>0.05</v>
      </c>
      <c r="Q10" s="54">
        <v>0.16</v>
      </c>
      <c r="R10" s="53">
        <v>772.82506840693929</v>
      </c>
      <c r="S10" s="53">
        <v>824.84685597125338</v>
      </c>
      <c r="T10" s="53">
        <v>886.32715036544266</v>
      </c>
      <c r="U10" s="53">
        <v>960.10350363846976</v>
      </c>
      <c r="V10" s="53">
        <v>1050.2746020832808</v>
      </c>
      <c r="W10" s="53">
        <v>1162.9884751392945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Senario!I14</f>
        <v>484045.09313952905</v>
      </c>
      <c r="K13" s="10">
        <f>Senario!J14</f>
        <v>539841.04777808965</v>
      </c>
      <c r="L13" s="10">
        <f>Senario!K14</f>
        <v>602068.61095509469</v>
      </c>
      <c r="M13" s="10">
        <f>Senario!L14</f>
        <v>671469.15520659543</v>
      </c>
      <c r="N13" s="10">
        <f>Senario!M14</f>
        <v>748869.51119842904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N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si="2"/>
        <v>0.11527015856449774</v>
      </c>
      <c r="K14" s="12">
        <f t="shared" si="2"/>
        <v>0.11527015856449774</v>
      </c>
      <c r="L14" s="12">
        <f t="shared" si="2"/>
        <v>0.11527015856449774</v>
      </c>
      <c r="M14" s="12">
        <f t="shared" si="2"/>
        <v>0.11527015856449796</v>
      </c>
      <c r="N14" s="12">
        <f t="shared" si="2"/>
        <v>0.11527015856449774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49566.217537487777</v>
      </c>
      <c r="K16" s="10">
        <f t="shared" ref="K16:N16" si="3">K13*10.24%</f>
        <v>55279.723292476381</v>
      </c>
      <c r="L16" s="10">
        <f t="shared" si="3"/>
        <v>61651.825761801701</v>
      </c>
      <c r="M16" s="10">
        <f t="shared" si="3"/>
        <v>68758.441493155377</v>
      </c>
      <c r="N16" s="10">
        <f t="shared" si="3"/>
        <v>76684.237946719135</v>
      </c>
    </row>
    <row r="17" spans="2:14">
      <c r="B17" s="11" t="s">
        <v>72</v>
      </c>
      <c r="C17" s="9"/>
      <c r="D17" s="9"/>
      <c r="E17" s="12">
        <f>E16/E13</f>
        <v>6.81223491342825E-2</v>
      </c>
      <c r="F17" s="12">
        <f t="shared" ref="F17:N17" si="4">F16/F13</f>
        <v>0.12790234746842691</v>
      </c>
      <c r="G17" s="12">
        <f t="shared" si="4"/>
        <v>8.7813353330446486E-2</v>
      </c>
      <c r="H17" s="12">
        <f t="shared" si="4"/>
        <v>9.1043017088980549E-2</v>
      </c>
      <c r="I17" s="12">
        <f t="shared" si="4"/>
        <v>0.13717996571554966</v>
      </c>
      <c r="J17" s="12">
        <f t="shared" si="4"/>
        <v>0.1024</v>
      </c>
      <c r="K17" s="12">
        <f t="shared" si="4"/>
        <v>0.1024</v>
      </c>
      <c r="L17" s="12">
        <f t="shared" si="4"/>
        <v>0.1024</v>
      </c>
      <c r="M17" s="12">
        <f t="shared" si="4"/>
        <v>0.1024</v>
      </c>
      <c r="N17" s="12">
        <f t="shared" si="4"/>
        <v>0.1024</v>
      </c>
    </row>
    <row r="18" spans="2:14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12391.554384371944</v>
      </c>
      <c r="K19" s="10">
        <f t="shared" ref="K19:N19" si="5">K16*25%</f>
        <v>13819.930823119095</v>
      </c>
      <c r="L19" s="10">
        <f t="shared" si="5"/>
        <v>15412.956440450425</v>
      </c>
      <c r="M19" s="10">
        <f t="shared" si="5"/>
        <v>17189.610373288844</v>
      </c>
      <c r="N19" s="10">
        <f t="shared" si="5"/>
        <v>19171.059486679784</v>
      </c>
    </row>
    <row r="20" spans="2:14">
      <c r="B20" s="11" t="s">
        <v>74</v>
      </c>
      <c r="C20" s="9"/>
      <c r="D20" s="9"/>
      <c r="E20" s="12">
        <f>E19/E13</f>
        <v>1.4971154111992416E-3</v>
      </c>
      <c r="F20" s="12">
        <f t="shared" ref="F20:N20" si="6">F19/F13</f>
        <v>1.006940716905029E-2</v>
      </c>
      <c r="G20" s="12">
        <f t="shared" si="6"/>
        <v>1.503087131310627E-2</v>
      </c>
      <c r="H20" s="12">
        <f t="shared" si="6"/>
        <v>2.0082703888931039E-3</v>
      </c>
      <c r="I20" s="12">
        <f t="shared" si="6"/>
        <v>-8.8743272137432726E-3</v>
      </c>
      <c r="J20" s="12">
        <f t="shared" si="6"/>
        <v>2.5600000000000001E-2</v>
      </c>
      <c r="K20" s="12">
        <f t="shared" si="6"/>
        <v>2.5600000000000001E-2</v>
      </c>
      <c r="L20" s="12">
        <f t="shared" si="6"/>
        <v>2.5600000000000001E-2</v>
      </c>
      <c r="M20" s="12">
        <f t="shared" si="6"/>
        <v>2.5600000000000001E-2</v>
      </c>
      <c r="N20" s="12">
        <f t="shared" si="6"/>
        <v>2.5600000000000001E-2</v>
      </c>
    </row>
    <row r="21" spans="2:14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>
      <c r="B22" s="57" t="s">
        <v>75</v>
      </c>
      <c r="C22" s="57"/>
      <c r="D22" s="57"/>
      <c r="E22" s="57">
        <f>E12</f>
        <v>2020</v>
      </c>
      <c r="F22" s="57">
        <f t="shared" ref="F22:N22" si="7">F12</f>
        <v>2021</v>
      </c>
      <c r="G22" s="57">
        <f t="shared" si="7"/>
        <v>2022</v>
      </c>
      <c r="H22" s="57">
        <f t="shared" si="7"/>
        <v>2023</v>
      </c>
      <c r="I22" s="57">
        <f t="shared" si="7"/>
        <v>2024</v>
      </c>
      <c r="J22" s="57">
        <f t="shared" si="7"/>
        <v>2025</v>
      </c>
      <c r="K22" s="57">
        <f t="shared" si="7"/>
        <v>2026</v>
      </c>
      <c r="L22" s="57">
        <f t="shared" si="7"/>
        <v>2027</v>
      </c>
      <c r="M22" s="57">
        <f t="shared" si="7"/>
        <v>2028</v>
      </c>
      <c r="N22" s="57">
        <f t="shared" si="7"/>
        <v>2029</v>
      </c>
    </row>
    <row r="23" spans="2:14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>
      <c r="B24" s="11" t="s">
        <v>72</v>
      </c>
      <c r="C24" s="9"/>
      <c r="D24" s="9"/>
      <c r="E24" s="12">
        <f>E23/$E$13</f>
        <v>8.1144185507483507E-2</v>
      </c>
      <c r="F24" s="12">
        <f t="shared" ref="F24:H24" si="8">F23/$E$13</f>
        <v>8.917816203613757E-2</v>
      </c>
      <c r="G24" s="12">
        <f t="shared" si="8"/>
        <v>9.4059977783761711E-2</v>
      </c>
      <c r="H24" s="12">
        <f t="shared" si="8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4">
      <c r="B27" s="11" t="s">
        <v>72</v>
      </c>
      <c r="C27" s="9"/>
      <c r="D27" s="9"/>
      <c r="E27" s="12">
        <f>E26/E13</f>
        <v>0.11184243665096079</v>
      </c>
      <c r="F27" s="12">
        <f t="shared" ref="F27:I27" si="9">F26/F13</f>
        <v>7.8653007333684841E-2</v>
      </c>
      <c r="G27" s="12">
        <f t="shared" si="9"/>
        <v>5.3064343269250927E-2</v>
      </c>
      <c r="H27" s="12">
        <f t="shared" si="9"/>
        <v>5.4035907566510229E-2</v>
      </c>
      <c r="I27" s="12">
        <f t="shared" si="9"/>
        <v>7.1847581655975823E-2</v>
      </c>
      <c r="J27" s="13"/>
      <c r="K27" s="12"/>
      <c r="L27" s="12"/>
      <c r="M27" s="12"/>
      <c r="N27" s="12"/>
    </row>
    <row r="28" spans="2:14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4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>
      <c r="B30" s="11" t="s">
        <v>72</v>
      </c>
      <c r="C30" s="9"/>
      <c r="D30" s="9"/>
      <c r="E30" s="20">
        <f>E29/$E$13</f>
        <v>0</v>
      </c>
      <c r="F30" s="20">
        <f t="shared" ref="F30:H30" si="10">F29/$E$13</f>
        <v>3.7892585661853391E-2</v>
      </c>
      <c r="G30" s="20">
        <f t="shared" si="10"/>
        <v>2.7102977528877203E-2</v>
      </c>
      <c r="H30" s="20">
        <f t="shared" si="10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>
      <c r="B32" s="57" t="s">
        <v>79</v>
      </c>
      <c r="C32" s="57"/>
      <c r="D32" s="57"/>
      <c r="E32" s="57">
        <f t="shared" ref="E32:N32" si="11">E22</f>
        <v>2020</v>
      </c>
      <c r="F32" s="57">
        <f t="shared" si="11"/>
        <v>2021</v>
      </c>
      <c r="G32" s="57">
        <f t="shared" si="11"/>
        <v>2022</v>
      </c>
      <c r="H32" s="57">
        <f t="shared" si="11"/>
        <v>2023</v>
      </c>
      <c r="I32" s="64">
        <f t="shared" si="11"/>
        <v>2024</v>
      </c>
      <c r="J32" s="57">
        <f t="shared" si="11"/>
        <v>2025</v>
      </c>
      <c r="K32" s="57">
        <f t="shared" si="11"/>
        <v>2026</v>
      </c>
      <c r="L32" s="57">
        <f t="shared" si="11"/>
        <v>2027</v>
      </c>
      <c r="M32" s="57">
        <f t="shared" si="11"/>
        <v>2028</v>
      </c>
      <c r="N32" s="57">
        <f t="shared" si="11"/>
        <v>2029</v>
      </c>
    </row>
    <row r="33" spans="2:14">
      <c r="B33" t="s">
        <v>69</v>
      </c>
      <c r="E33" s="22">
        <f>E13</f>
        <v>264041.09999999998</v>
      </c>
      <c r="F33" s="22">
        <f t="shared" ref="F33:N34" si="12">F13</f>
        <v>252437.9</v>
      </c>
      <c r="G33" s="22">
        <f t="shared" si="12"/>
        <v>281507.3</v>
      </c>
      <c r="H33" s="22">
        <f t="shared" si="12"/>
        <v>350600.2</v>
      </c>
      <c r="I33" s="22">
        <f t="shared" si="12"/>
        <v>434016</v>
      </c>
      <c r="J33" s="22">
        <f t="shared" si="12"/>
        <v>484045.09313952905</v>
      </c>
      <c r="K33" s="22">
        <f t="shared" si="12"/>
        <v>539841.04777808965</v>
      </c>
      <c r="L33" s="22">
        <f t="shared" si="12"/>
        <v>602068.61095509469</v>
      </c>
      <c r="M33" s="22">
        <f t="shared" si="12"/>
        <v>671469.15520659543</v>
      </c>
      <c r="N33" s="22">
        <f t="shared" si="12"/>
        <v>748869.51119842904</v>
      </c>
    </row>
    <row r="34" spans="2:14">
      <c r="B34" s="23" t="s">
        <v>70</v>
      </c>
      <c r="E34" s="24">
        <f>E14</f>
        <v>0</v>
      </c>
      <c r="F34" s="24">
        <f t="shared" si="12"/>
        <v>-4.3944673764803932E-2</v>
      </c>
      <c r="G34" s="24">
        <f t="shared" si="12"/>
        <v>0.11515465783862089</v>
      </c>
      <c r="H34" s="24">
        <f t="shared" si="12"/>
        <v>0.24543910584201556</v>
      </c>
      <c r="I34" s="24">
        <f t="shared" si="12"/>
        <v>0.23792285343818964</v>
      </c>
      <c r="J34" s="24">
        <f t="shared" si="12"/>
        <v>0.11527015856449774</v>
      </c>
      <c r="K34" s="24">
        <f t="shared" si="12"/>
        <v>0.11527015856449774</v>
      </c>
      <c r="L34" s="24">
        <f t="shared" si="12"/>
        <v>0.11527015856449774</v>
      </c>
      <c r="M34" s="24">
        <f t="shared" si="12"/>
        <v>0.11527015856449796</v>
      </c>
      <c r="N34" s="24">
        <f t="shared" si="12"/>
        <v>0.11527015856449774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7" si="13">F16</f>
        <v>32287.4</v>
      </c>
      <c r="G36" s="22">
        <f t="shared" si="13"/>
        <v>24720.1</v>
      </c>
      <c r="H36" s="22">
        <f t="shared" si="13"/>
        <v>31919.7</v>
      </c>
      <c r="I36" s="22">
        <f t="shared" si="13"/>
        <v>59538.3</v>
      </c>
      <c r="J36" s="22">
        <f t="shared" si="13"/>
        <v>49566.217537487777</v>
      </c>
      <c r="K36" s="22">
        <f t="shared" si="13"/>
        <v>55279.723292476381</v>
      </c>
      <c r="L36" s="22">
        <f t="shared" si="13"/>
        <v>61651.825761801701</v>
      </c>
      <c r="M36" s="22">
        <f t="shared" si="13"/>
        <v>68758.441493155377</v>
      </c>
      <c r="N36" s="22">
        <f t="shared" si="13"/>
        <v>76684.237946719135</v>
      </c>
    </row>
    <row r="37" spans="2:14">
      <c r="B37" s="23" t="s">
        <v>80</v>
      </c>
      <c r="E37" s="24">
        <f>E17</f>
        <v>6.81223491342825E-2</v>
      </c>
      <c r="F37" s="24">
        <f t="shared" si="13"/>
        <v>0.12790234746842691</v>
      </c>
      <c r="G37" s="24">
        <f t="shared" si="13"/>
        <v>8.7813353330446486E-2</v>
      </c>
      <c r="H37" s="24">
        <f t="shared" si="13"/>
        <v>9.1043017088980549E-2</v>
      </c>
      <c r="I37" s="24">
        <f t="shared" si="13"/>
        <v>0.13717996571554966</v>
      </c>
      <c r="J37" s="24">
        <f t="shared" si="13"/>
        <v>0.1024</v>
      </c>
      <c r="K37" s="24">
        <f t="shared" si="13"/>
        <v>0.1024</v>
      </c>
      <c r="L37" s="24">
        <f t="shared" si="13"/>
        <v>0.1024</v>
      </c>
      <c r="M37" s="24">
        <f t="shared" si="13"/>
        <v>0.1024</v>
      </c>
      <c r="N37" s="24">
        <f t="shared" si="13"/>
        <v>0.1024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40" si="14">F19</f>
        <v>2541.9</v>
      </c>
      <c r="G39" s="22">
        <f t="shared" si="14"/>
        <v>4231.3</v>
      </c>
      <c r="H39" s="22">
        <f t="shared" si="14"/>
        <v>704.1</v>
      </c>
      <c r="I39" s="22">
        <f t="shared" si="14"/>
        <v>-3851.6</v>
      </c>
      <c r="J39" s="22">
        <f t="shared" si="14"/>
        <v>12391.554384371944</v>
      </c>
      <c r="K39" s="22">
        <f t="shared" si="14"/>
        <v>13819.930823119095</v>
      </c>
      <c r="L39" s="22">
        <f t="shared" si="14"/>
        <v>15412.956440450425</v>
      </c>
      <c r="M39" s="22">
        <f t="shared" si="14"/>
        <v>17189.610373288844</v>
      </c>
      <c r="N39" s="22">
        <f t="shared" si="14"/>
        <v>19171.059486679784</v>
      </c>
    </row>
    <row r="40" spans="2:14">
      <c r="B40" s="23" t="s">
        <v>74</v>
      </c>
      <c r="E40" s="24">
        <f>E20</f>
        <v>1.4971154111992416E-3</v>
      </c>
      <c r="F40" s="24">
        <f t="shared" si="14"/>
        <v>1.006940716905029E-2</v>
      </c>
      <c r="G40" s="24">
        <f t="shared" si="14"/>
        <v>1.503087131310627E-2</v>
      </c>
      <c r="H40" s="24">
        <f t="shared" si="14"/>
        <v>2.0082703888931039E-3</v>
      </c>
      <c r="I40" s="24">
        <f t="shared" si="14"/>
        <v>-8.8743272137432726E-3</v>
      </c>
      <c r="J40" s="24">
        <f t="shared" si="14"/>
        <v>2.5600000000000001E-2</v>
      </c>
      <c r="K40" s="24">
        <f t="shared" si="14"/>
        <v>2.5600000000000001E-2</v>
      </c>
      <c r="L40" s="24">
        <f t="shared" si="14"/>
        <v>2.5600000000000001E-2</v>
      </c>
      <c r="M40" s="24">
        <f t="shared" si="14"/>
        <v>2.5600000000000001E-2</v>
      </c>
      <c r="N40" s="24">
        <f t="shared" si="14"/>
        <v>2.5600000000000001E-2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37174.663153115835</v>
      </c>
      <c r="K42" s="29">
        <f t="shared" ref="K42:N42" si="15">K36-K39</f>
        <v>41459.792469357286</v>
      </c>
      <c r="L42" s="29">
        <f t="shared" si="15"/>
        <v>46238.869321351274</v>
      </c>
      <c r="M42" s="29">
        <f t="shared" si="15"/>
        <v>51568.831119866532</v>
      </c>
      <c r="N42" s="29">
        <f t="shared" si="15"/>
        <v>57513.178460039351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5" si="16">F23</f>
        <v>23546.7</v>
      </c>
      <c r="G44" s="22">
        <f t="shared" si="16"/>
        <v>24835.7</v>
      </c>
      <c r="H44" s="22">
        <f t="shared" si="16"/>
        <v>24860.400000000001</v>
      </c>
      <c r="I44" s="22">
        <f t="shared" si="16"/>
        <v>27270.1</v>
      </c>
      <c r="J44" s="22">
        <f>J13*9.22%</f>
        <v>44628.957587464582</v>
      </c>
      <c r="K44" s="22">
        <f t="shared" ref="K44:N44" si="17">K13*9.22%</f>
        <v>49773.344605139864</v>
      </c>
      <c r="L44" s="22">
        <f t="shared" si="17"/>
        <v>55510.725930059736</v>
      </c>
      <c r="M44" s="22">
        <f t="shared" si="17"/>
        <v>61909.456110048101</v>
      </c>
      <c r="N44" s="22">
        <f t="shared" si="17"/>
        <v>69045.768932495164</v>
      </c>
    </row>
    <row r="45" spans="2:14">
      <c r="B45" s="23" t="s">
        <v>72</v>
      </c>
      <c r="E45" s="24">
        <f>E24</f>
        <v>8.1144185507483507E-2</v>
      </c>
      <c r="F45" s="24">
        <f t="shared" si="16"/>
        <v>8.917816203613757E-2</v>
      </c>
      <c r="G45" s="24">
        <f t="shared" si="16"/>
        <v>9.4059977783761711E-2</v>
      </c>
      <c r="H45" s="24">
        <f t="shared" si="16"/>
        <v>9.4153523826404309E-2</v>
      </c>
      <c r="I45" s="24">
        <f t="shared" si="16"/>
        <v>0.10327975455336309</v>
      </c>
      <c r="J45" s="31">
        <f>J44/$E$13</f>
        <v>0.16902276799886301</v>
      </c>
      <c r="K45" s="31">
        <f t="shared" ref="K45:N45" si="18">K44/$E$13</f>
        <v>0.18850604926710224</v>
      </c>
      <c r="L45" s="31">
        <f t="shared" si="18"/>
        <v>0.21023517145648818</v>
      </c>
      <c r="M45" s="31">
        <f t="shared" si="18"/>
        <v>0.23446901300611195</v>
      </c>
      <c r="N45" s="31">
        <f t="shared" si="18"/>
        <v>0.26149629331378776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8" si="19">F26</f>
        <v>19855</v>
      </c>
      <c r="G47" s="22">
        <f t="shared" si="19"/>
        <v>14938</v>
      </c>
      <c r="H47" s="22">
        <f t="shared" si="19"/>
        <v>18945</v>
      </c>
      <c r="I47" s="22">
        <f t="shared" si="19"/>
        <v>31183</v>
      </c>
      <c r="J47" s="22">
        <f>J13*8.68%</f>
        <v>42015.114084511122</v>
      </c>
      <c r="K47" s="22">
        <f t="shared" ref="K47:N47" si="20">K13*8.68%</f>
        <v>46858.202947138183</v>
      </c>
      <c r="L47" s="22">
        <f t="shared" si="20"/>
        <v>52259.555430902219</v>
      </c>
      <c r="M47" s="22">
        <f t="shared" si="20"/>
        <v>58283.522671932486</v>
      </c>
      <c r="N47" s="22">
        <f t="shared" si="20"/>
        <v>65001.873572023644</v>
      </c>
    </row>
    <row r="48" spans="2:14">
      <c r="B48" s="23" t="s">
        <v>72</v>
      </c>
      <c r="E48" s="24">
        <f>E27</f>
        <v>0.11184243665096079</v>
      </c>
      <c r="F48" s="24">
        <f t="shared" si="19"/>
        <v>7.8653007333684841E-2</v>
      </c>
      <c r="G48" s="24">
        <f t="shared" si="19"/>
        <v>5.3064343269250927E-2</v>
      </c>
      <c r="H48" s="24">
        <f t="shared" si="19"/>
        <v>5.4035907566510229E-2</v>
      </c>
      <c r="I48" s="24">
        <f t="shared" si="19"/>
        <v>7.1847581655975823E-2</v>
      </c>
      <c r="J48" s="31">
        <f>J47/$E$13</f>
        <v>0.15912338679285584</v>
      </c>
      <c r="K48" s="31">
        <f t="shared" ref="K48:N48" si="21">K47/$E$13</f>
        <v>0.17746556481978823</v>
      </c>
      <c r="L48" s="31">
        <f t="shared" si="21"/>
        <v>0.19792204861630339</v>
      </c>
      <c r="M48" s="31">
        <f t="shared" si="21"/>
        <v>0.22073655454371494</v>
      </c>
      <c r="N48" s="31">
        <f t="shared" si="21"/>
        <v>0.24618089218694986</v>
      </c>
    </row>
    <row r="49" spans="2:14">
      <c r="I49" s="21"/>
    </row>
    <row r="50" spans="2:14">
      <c r="B50" t="s">
        <v>78</v>
      </c>
      <c r="E50" s="32">
        <f>E29</f>
        <v>0</v>
      </c>
      <c r="F50" s="32">
        <f t="shared" ref="F50:I51" si="22">F29</f>
        <v>10005.199999999997</v>
      </c>
      <c r="G50" s="32">
        <f t="shared" si="22"/>
        <v>7156.3000000000175</v>
      </c>
      <c r="H50" s="32">
        <f t="shared" si="22"/>
        <v>206.5</v>
      </c>
      <c r="I50" s="32">
        <f t="shared" si="22"/>
        <v>-1726</v>
      </c>
      <c r="J50" s="33">
        <f>J51*J33</f>
        <v>3444.4958013593414</v>
      </c>
      <c r="K50" s="33">
        <f>K51*K33</f>
        <v>3778.8873344466274</v>
      </c>
      <c r="L50" s="33">
        <f t="shared" ref="L50:N50" si="23">L51*L33</f>
        <v>4214.4802766856628</v>
      </c>
      <c r="M50" s="33">
        <f t="shared" si="23"/>
        <v>4700.2840864461677</v>
      </c>
      <c r="N50" s="33">
        <f t="shared" si="23"/>
        <v>5242.0865783890031</v>
      </c>
    </row>
    <row r="51" spans="2:14">
      <c r="B51" s="23" t="s">
        <v>72</v>
      </c>
      <c r="E51" s="34">
        <f>E30</f>
        <v>0</v>
      </c>
      <c r="F51" s="34">
        <f t="shared" si="22"/>
        <v>3.7892585661853391E-2</v>
      </c>
      <c r="G51" s="34">
        <f t="shared" si="22"/>
        <v>2.7102977528877203E-2</v>
      </c>
      <c r="H51" s="34">
        <f t="shared" si="22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</row>
    <row r="52" spans="2:14">
      <c r="I52" s="35"/>
    </row>
    <row r="53" spans="2:14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36344.010854709952</v>
      </c>
      <c r="K53" s="36">
        <f t="shared" ref="K53:N53" si="24">K42+K44-K47-K50</f>
        <v>40596.046792912341</v>
      </c>
      <c r="L53" s="36">
        <f t="shared" si="24"/>
        <v>45275.559543823125</v>
      </c>
      <c r="M53" s="36">
        <f t="shared" si="24"/>
        <v>50494.480471535971</v>
      </c>
      <c r="N53" s="36">
        <f t="shared" si="24"/>
        <v>56314.987242121875</v>
      </c>
    </row>
    <row r="54" spans="2:14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31797.535617105041</v>
      </c>
      <c r="K54" s="36">
        <f t="shared" ref="K54:N54" si="25">K53/(1+$D$9)^K31</f>
        <v>31074.558163972353</v>
      </c>
      <c r="L54" s="36">
        <f t="shared" si="25"/>
        <v>30321.148898981053</v>
      </c>
      <c r="M54" s="36">
        <f t="shared" si="25"/>
        <v>29586.006201693766</v>
      </c>
      <c r="N54" s="36">
        <f t="shared" si="25"/>
        <v>28868.687195295493</v>
      </c>
    </row>
    <row r="55" spans="2:14">
      <c r="J55" s="37"/>
    </row>
    <row r="56" spans="2:14">
      <c r="B56" t="s">
        <v>84</v>
      </c>
      <c r="J56" s="37"/>
      <c r="N56" s="33">
        <f>(N53*(1+D10))/(D9-D10)</f>
        <v>635937.45675752242</v>
      </c>
    </row>
    <row r="57" spans="2:14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325999.88766707812</v>
      </c>
    </row>
    <row r="58" spans="2:14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477647.82374412578</v>
      </c>
    </row>
    <row r="59" spans="2:14">
      <c r="B59" s="40" t="s">
        <v>87</v>
      </c>
      <c r="N59" s="46">
        <f>BS!F28</f>
        <v>45806.7</v>
      </c>
    </row>
    <row r="60" spans="2:14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4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416190.52374412579</v>
      </c>
    </row>
    <row r="62" spans="2:14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4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1085.9504859598846</v>
      </c>
    </row>
  </sheetData>
  <conditionalFormatting sqref="Q5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:W10 R5:W5 Q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2CBA-A956-434B-BA67-BE063C7E5109}">
  <sheetPr>
    <tabColor rgb="FF00B0F0"/>
  </sheetPr>
  <dimension ref="B2:AF63"/>
  <sheetViews>
    <sheetView showGridLines="0" zoomScale="80" zoomScaleNormal="80" workbookViewId="0">
      <selection activeCell="Q4" sqref="Q4:W10"/>
    </sheetView>
  </sheetViews>
  <sheetFormatPr defaultRowHeight="15"/>
  <cols>
    <col min="3" max="3" width="13.42578125" bestFit="1" customWidth="1"/>
    <col min="7" max="7" width="9.85546875" bestFit="1" customWidth="1"/>
  </cols>
  <sheetData>
    <row r="2" spans="2:32" ht="21">
      <c r="B2" s="2" t="s">
        <v>108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48">
        <f>N63</f>
        <v>904.00136824298158</v>
      </c>
      <c r="M4" s="5"/>
      <c r="Q4" s="73" t="s">
        <v>121</v>
      </c>
      <c r="R4" s="57"/>
    </row>
    <row r="5" spans="2:32">
      <c r="B5" t="s">
        <v>61</v>
      </c>
      <c r="C5" s="6">
        <v>45650</v>
      </c>
      <c r="E5" t="s">
        <v>62</v>
      </c>
      <c r="G5" s="48">
        <v>686.7</v>
      </c>
      <c r="I5" t="s">
        <v>63</v>
      </c>
      <c r="K5" s="7">
        <f>G4/G5-1</f>
        <v>0.31644294195861589</v>
      </c>
      <c r="M5" s="5"/>
      <c r="Q5" s="84">
        <f>N63</f>
        <v>904.00136824298158</v>
      </c>
      <c r="R5" s="54">
        <v>0.03</v>
      </c>
      <c r="S5" s="54">
        <v>0.04</v>
      </c>
      <c r="T5" s="54">
        <v>0.05</v>
      </c>
      <c r="U5" s="54">
        <v>0.06</v>
      </c>
      <c r="V5" s="54">
        <v>7.0000000000000007E-2</v>
      </c>
      <c r="W5" s="54">
        <v>0.08</v>
      </c>
    </row>
    <row r="6" spans="2:32">
      <c r="Q6" s="54">
        <v>0.12</v>
      </c>
      <c r="R6" s="53">
        <f t="dataTable" ref="R6:W10" dt2D="1" dtr="1" r1="D10" r2="D9" ca="1"/>
        <v>1011.8804311992903</v>
      </c>
      <c r="S6" s="53">
        <v>1119.9304373873681</v>
      </c>
      <c r="T6" s="53">
        <v>1258.8518739148972</v>
      </c>
      <c r="U6" s="53">
        <v>1444.0804559516025</v>
      </c>
      <c r="V6" s="53">
        <v>1703.4004708029902</v>
      </c>
      <c r="W6" s="53">
        <v>2092.3804930800711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54">
        <v>0.13</v>
      </c>
      <c r="R7" s="53">
        <v>891.64953257670152</v>
      </c>
      <c r="S7" s="53">
        <v>975.07009236610463</v>
      </c>
      <c r="T7" s="53">
        <v>1079.3457921028582</v>
      </c>
      <c r="U7" s="53">
        <v>1213.4145489072555</v>
      </c>
      <c r="V7" s="53">
        <v>1392.1728913131194</v>
      </c>
      <c r="W7" s="53">
        <v>1642.4345706813281</v>
      </c>
    </row>
    <row r="8" spans="2:32">
      <c r="B8" s="1" t="s">
        <v>65</v>
      </c>
      <c r="Q8" s="54">
        <v>0.14000000000000001</v>
      </c>
      <c r="R8" s="53">
        <v>793.37252402523143</v>
      </c>
      <c r="S8" s="53">
        <v>859.26218799523917</v>
      </c>
      <c r="T8" s="53">
        <v>939.79399951413745</v>
      </c>
      <c r="U8" s="53">
        <v>1040.4587639127603</v>
      </c>
      <c r="V8" s="53">
        <v>1169.8848895681328</v>
      </c>
      <c r="W8" s="53">
        <v>1342.4530571086295</v>
      </c>
    </row>
    <row r="9" spans="2:32">
      <c r="B9" t="s">
        <v>66</v>
      </c>
      <c r="D9" s="8">
        <f>WACC!D23</f>
        <v>0.14298200000000003</v>
      </c>
      <c r="Q9" s="54">
        <v>0.15</v>
      </c>
      <c r="R9" s="53">
        <v>711.55708368532601</v>
      </c>
      <c r="S9" s="53">
        <v>764.5800585894707</v>
      </c>
      <c r="T9" s="53">
        <v>828.20762847444428</v>
      </c>
      <c r="U9" s="53">
        <v>905.97465833385661</v>
      </c>
      <c r="V9" s="53">
        <v>1003.1834456581221</v>
      </c>
      <c r="W9" s="53">
        <v>1128.1661722178917</v>
      </c>
    </row>
    <row r="10" spans="2:32">
      <c r="B10" t="s">
        <v>67</v>
      </c>
      <c r="D10" s="8">
        <v>0.05</v>
      </c>
      <c r="Q10" s="54">
        <v>0.16</v>
      </c>
      <c r="R10" s="53">
        <v>642.40102768627014</v>
      </c>
      <c r="S10" s="53">
        <v>685.73942312340478</v>
      </c>
      <c r="T10" s="53">
        <v>736.95752682183661</v>
      </c>
      <c r="U10" s="53">
        <v>798.41925125995476</v>
      </c>
      <c r="V10" s="53">
        <v>873.53913668432153</v>
      </c>
      <c r="W10" s="53">
        <v>967.43899346477974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Senario!I7</f>
        <v>466684.45313952904</v>
      </c>
      <c r="K13" s="10">
        <f>Senario!J7</f>
        <v>501811.86592692725</v>
      </c>
      <c r="L13" s="10">
        <f>Senario!K7</f>
        <v>539583.32464479352</v>
      </c>
      <c r="M13" s="10">
        <f>Senario!L7</f>
        <v>580197.84704956587</v>
      </c>
      <c r="N13" s="10">
        <f>Senario!M7</f>
        <v>623869.43099576677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N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si="2"/>
        <v>7.5270158564497702E-2</v>
      </c>
      <c r="K14" s="12">
        <f t="shared" si="2"/>
        <v>7.5270158564497702E-2</v>
      </c>
      <c r="L14" s="12">
        <f t="shared" si="2"/>
        <v>7.5270158564497702E-2</v>
      </c>
      <c r="M14" s="12">
        <f t="shared" si="2"/>
        <v>7.527015856449748E-2</v>
      </c>
      <c r="N14" s="12">
        <f t="shared" si="2"/>
        <v>7.527015856449748E-2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47788.488001487778</v>
      </c>
      <c r="K16" s="10">
        <f t="shared" ref="K16:N16" si="3">K13*10.24%</f>
        <v>51385.535070917351</v>
      </c>
      <c r="L16" s="10">
        <f t="shared" si="3"/>
        <v>55253.332443626859</v>
      </c>
      <c r="M16" s="10">
        <f t="shared" si="3"/>
        <v>59412.25953787555</v>
      </c>
      <c r="N16" s="10">
        <f t="shared" si="3"/>
        <v>63884.229733966524</v>
      </c>
    </row>
    <row r="17" spans="2:14">
      <c r="B17" s="11" t="s">
        <v>72</v>
      </c>
      <c r="C17" s="9"/>
      <c r="D17" s="9"/>
      <c r="E17" s="12">
        <f>E16/E13</f>
        <v>6.81223491342825E-2</v>
      </c>
      <c r="F17" s="12">
        <f t="shared" ref="F17:N17" si="4">F16/F13</f>
        <v>0.12790234746842691</v>
      </c>
      <c r="G17" s="12">
        <f t="shared" si="4"/>
        <v>8.7813353330446486E-2</v>
      </c>
      <c r="H17" s="12">
        <f t="shared" si="4"/>
        <v>9.1043017088980549E-2</v>
      </c>
      <c r="I17" s="12">
        <f t="shared" si="4"/>
        <v>0.13717996571554966</v>
      </c>
      <c r="J17" s="12">
        <f t="shared" si="4"/>
        <v>0.1024</v>
      </c>
      <c r="K17" s="12">
        <f t="shared" si="4"/>
        <v>0.1024</v>
      </c>
      <c r="L17" s="12">
        <f t="shared" si="4"/>
        <v>0.1024</v>
      </c>
      <c r="M17" s="12">
        <f t="shared" si="4"/>
        <v>0.1024</v>
      </c>
      <c r="N17" s="12">
        <f t="shared" si="4"/>
        <v>0.1024</v>
      </c>
    </row>
    <row r="18" spans="2:14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11947.122000371945</v>
      </c>
      <c r="K19" s="10">
        <f t="shared" ref="K19:N19" si="5">K16*25%</f>
        <v>12846.383767729338</v>
      </c>
      <c r="L19" s="10">
        <f t="shared" si="5"/>
        <v>13813.333110906715</v>
      </c>
      <c r="M19" s="10">
        <f t="shared" si="5"/>
        <v>14853.064884468888</v>
      </c>
      <c r="N19" s="10">
        <f t="shared" si="5"/>
        <v>15971.057433491631</v>
      </c>
    </row>
    <row r="20" spans="2:14">
      <c r="B20" s="11" t="s">
        <v>74</v>
      </c>
      <c r="C20" s="9"/>
      <c r="D20" s="9"/>
      <c r="E20" s="12">
        <f>E19/E13</f>
        <v>1.4971154111992416E-3</v>
      </c>
      <c r="F20" s="12">
        <f t="shared" ref="F20:N20" si="6">F19/F13</f>
        <v>1.006940716905029E-2</v>
      </c>
      <c r="G20" s="12">
        <f t="shared" si="6"/>
        <v>1.503087131310627E-2</v>
      </c>
      <c r="H20" s="12">
        <f t="shared" si="6"/>
        <v>2.0082703888931039E-3</v>
      </c>
      <c r="I20" s="12">
        <f t="shared" si="6"/>
        <v>-8.8743272137432726E-3</v>
      </c>
      <c r="J20" s="12">
        <f t="shared" si="6"/>
        <v>2.5600000000000001E-2</v>
      </c>
      <c r="K20" s="12">
        <f t="shared" si="6"/>
        <v>2.5600000000000001E-2</v>
      </c>
      <c r="L20" s="12">
        <f t="shared" si="6"/>
        <v>2.5600000000000001E-2</v>
      </c>
      <c r="M20" s="12">
        <f t="shared" si="6"/>
        <v>2.5600000000000001E-2</v>
      </c>
      <c r="N20" s="12">
        <f t="shared" si="6"/>
        <v>2.5600000000000001E-2</v>
      </c>
    </row>
    <row r="21" spans="2:14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>
      <c r="B22" s="57" t="s">
        <v>75</v>
      </c>
      <c r="C22" s="57"/>
      <c r="D22" s="57"/>
      <c r="E22" s="57">
        <f>E12</f>
        <v>2020</v>
      </c>
      <c r="F22" s="57">
        <f t="shared" ref="F22:N22" si="7">F12</f>
        <v>2021</v>
      </c>
      <c r="G22" s="57">
        <f t="shared" si="7"/>
        <v>2022</v>
      </c>
      <c r="H22" s="57">
        <f t="shared" si="7"/>
        <v>2023</v>
      </c>
      <c r="I22" s="57">
        <f t="shared" si="7"/>
        <v>2024</v>
      </c>
      <c r="J22" s="57">
        <f t="shared" si="7"/>
        <v>2025</v>
      </c>
      <c r="K22" s="57">
        <f t="shared" si="7"/>
        <v>2026</v>
      </c>
      <c r="L22" s="57">
        <f t="shared" si="7"/>
        <v>2027</v>
      </c>
      <c r="M22" s="57">
        <f t="shared" si="7"/>
        <v>2028</v>
      </c>
      <c r="N22" s="57">
        <f t="shared" si="7"/>
        <v>2029</v>
      </c>
    </row>
    <row r="23" spans="2:14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>
      <c r="B24" s="11" t="s">
        <v>72</v>
      </c>
      <c r="C24" s="9"/>
      <c r="D24" s="9"/>
      <c r="E24" s="12">
        <f>E23/$E$13</f>
        <v>8.1144185507483507E-2</v>
      </c>
      <c r="F24" s="12">
        <f t="shared" ref="F24:H24" si="8">F23/$E$13</f>
        <v>8.917816203613757E-2</v>
      </c>
      <c r="G24" s="12">
        <f t="shared" si="8"/>
        <v>9.4059977783761711E-2</v>
      </c>
      <c r="H24" s="12">
        <f t="shared" si="8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4">
      <c r="B27" s="11" t="s">
        <v>72</v>
      </c>
      <c r="C27" s="9"/>
      <c r="D27" s="9"/>
      <c r="E27" s="12">
        <f>E26/$E$13</f>
        <v>0.11184243665096079</v>
      </c>
      <c r="F27" s="12">
        <f t="shared" ref="F27:H27" si="9">F26/$E$13</f>
        <v>7.5196626585785326E-2</v>
      </c>
      <c r="G27" s="12">
        <f t="shared" si="9"/>
        <v>5.6574525708308294E-2</v>
      </c>
      <c r="H27" s="12">
        <f t="shared" si="9"/>
        <v>7.1750193435794654E-2</v>
      </c>
      <c r="I27" s="12">
        <f>I26/$E$13</f>
        <v>0.11809903836940538</v>
      </c>
      <c r="J27" s="13"/>
      <c r="K27" s="12"/>
      <c r="L27" s="12"/>
      <c r="M27" s="12"/>
      <c r="N27" s="12"/>
    </row>
    <row r="28" spans="2:14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4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>
      <c r="B30" s="11" t="s">
        <v>72</v>
      </c>
      <c r="C30" s="9"/>
      <c r="D30" s="9"/>
      <c r="E30" s="20">
        <f>E29/$E$13</f>
        <v>0</v>
      </c>
      <c r="F30" s="20">
        <f t="shared" ref="F30:H30" si="10">F29/$E$13</f>
        <v>3.7892585661853391E-2</v>
      </c>
      <c r="G30" s="20">
        <f t="shared" si="10"/>
        <v>2.7102977528877203E-2</v>
      </c>
      <c r="H30" s="20">
        <f t="shared" si="10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>
      <c r="B32" s="57" t="s">
        <v>79</v>
      </c>
      <c r="C32" s="57"/>
      <c r="D32" s="57"/>
      <c r="E32" s="57">
        <f t="shared" ref="E32:M32" si="11">E22</f>
        <v>2020</v>
      </c>
      <c r="F32" s="57">
        <f t="shared" si="11"/>
        <v>2021</v>
      </c>
      <c r="G32" s="57">
        <f t="shared" si="11"/>
        <v>2022</v>
      </c>
      <c r="H32" s="57">
        <f t="shared" si="11"/>
        <v>2023</v>
      </c>
      <c r="I32" s="64">
        <f t="shared" si="11"/>
        <v>2024</v>
      </c>
      <c r="J32" s="57">
        <f t="shared" si="11"/>
        <v>2025</v>
      </c>
      <c r="K32" s="57">
        <f t="shared" si="11"/>
        <v>2026</v>
      </c>
      <c r="L32" s="57">
        <f t="shared" si="11"/>
        <v>2027</v>
      </c>
      <c r="M32" s="57">
        <f t="shared" si="11"/>
        <v>2028</v>
      </c>
      <c r="N32" s="57">
        <f>N22</f>
        <v>2029</v>
      </c>
    </row>
    <row r="33" spans="2:14">
      <c r="B33" t="s">
        <v>69</v>
      </c>
      <c r="E33" s="22">
        <f>E13</f>
        <v>264041.09999999998</v>
      </c>
      <c r="F33" s="22">
        <f t="shared" ref="F33:N34" si="12">F13</f>
        <v>252437.9</v>
      </c>
      <c r="G33" s="22">
        <f t="shared" si="12"/>
        <v>281507.3</v>
      </c>
      <c r="H33" s="22">
        <f t="shared" si="12"/>
        <v>350600.2</v>
      </c>
      <c r="I33" s="22">
        <f t="shared" si="12"/>
        <v>434016</v>
      </c>
      <c r="J33" s="22">
        <f t="shared" si="12"/>
        <v>466684.45313952904</v>
      </c>
      <c r="K33" s="22">
        <f t="shared" si="12"/>
        <v>501811.86592692725</v>
      </c>
      <c r="L33" s="22">
        <f t="shared" si="12"/>
        <v>539583.32464479352</v>
      </c>
      <c r="M33" s="22">
        <f t="shared" si="12"/>
        <v>580197.84704956587</v>
      </c>
      <c r="N33" s="22">
        <f t="shared" si="12"/>
        <v>623869.43099576677</v>
      </c>
    </row>
    <row r="34" spans="2:14">
      <c r="B34" s="23" t="s">
        <v>70</v>
      </c>
      <c r="E34" s="24">
        <f>E14</f>
        <v>0</v>
      </c>
      <c r="F34" s="24">
        <f t="shared" si="12"/>
        <v>-4.3944673764803932E-2</v>
      </c>
      <c r="G34" s="24">
        <f t="shared" si="12"/>
        <v>0.11515465783862089</v>
      </c>
      <c r="H34" s="24">
        <f t="shared" si="12"/>
        <v>0.24543910584201556</v>
      </c>
      <c r="I34" s="24">
        <f t="shared" si="12"/>
        <v>0.23792285343818964</v>
      </c>
      <c r="J34" s="24">
        <f t="shared" si="12"/>
        <v>7.5270158564497702E-2</v>
      </c>
      <c r="K34" s="24">
        <f t="shared" si="12"/>
        <v>7.5270158564497702E-2</v>
      </c>
      <c r="L34" s="24">
        <f t="shared" si="12"/>
        <v>7.5270158564497702E-2</v>
      </c>
      <c r="M34" s="24">
        <f t="shared" si="12"/>
        <v>7.527015856449748E-2</v>
      </c>
      <c r="N34" s="24">
        <f t="shared" si="12"/>
        <v>7.527015856449748E-2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7" si="13">F16</f>
        <v>32287.4</v>
      </c>
      <c r="G36" s="22">
        <f t="shared" si="13"/>
        <v>24720.1</v>
      </c>
      <c r="H36" s="22">
        <f t="shared" si="13"/>
        <v>31919.7</v>
      </c>
      <c r="I36" s="22">
        <f t="shared" si="13"/>
        <v>59538.3</v>
      </c>
      <c r="J36" s="22">
        <f t="shared" si="13"/>
        <v>47788.488001487778</v>
      </c>
      <c r="K36" s="22">
        <f t="shared" si="13"/>
        <v>51385.535070917351</v>
      </c>
      <c r="L36" s="22">
        <f t="shared" si="13"/>
        <v>55253.332443626859</v>
      </c>
      <c r="M36" s="22">
        <f t="shared" si="13"/>
        <v>59412.25953787555</v>
      </c>
      <c r="N36" s="22">
        <f t="shared" si="13"/>
        <v>63884.229733966524</v>
      </c>
    </row>
    <row r="37" spans="2:14">
      <c r="B37" s="23" t="s">
        <v>80</v>
      </c>
      <c r="E37" s="24">
        <f>E17</f>
        <v>6.81223491342825E-2</v>
      </c>
      <c r="F37" s="24">
        <f t="shared" si="13"/>
        <v>0.12790234746842691</v>
      </c>
      <c r="G37" s="24">
        <f t="shared" si="13"/>
        <v>8.7813353330446486E-2</v>
      </c>
      <c r="H37" s="24">
        <f t="shared" si="13"/>
        <v>9.1043017088980549E-2</v>
      </c>
      <c r="I37" s="24">
        <f t="shared" si="13"/>
        <v>0.13717996571554966</v>
      </c>
      <c r="J37" s="24">
        <f t="shared" si="13"/>
        <v>0.1024</v>
      </c>
      <c r="K37" s="24">
        <f t="shared" si="13"/>
        <v>0.1024</v>
      </c>
      <c r="L37" s="24">
        <f t="shared" si="13"/>
        <v>0.1024</v>
      </c>
      <c r="M37" s="24">
        <f t="shared" si="13"/>
        <v>0.1024</v>
      </c>
      <c r="N37" s="24">
        <f t="shared" si="13"/>
        <v>0.1024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40" si="14">F19</f>
        <v>2541.9</v>
      </c>
      <c r="G39" s="22">
        <f t="shared" si="14"/>
        <v>4231.3</v>
      </c>
      <c r="H39" s="22">
        <f t="shared" si="14"/>
        <v>704.1</v>
      </c>
      <c r="I39" s="22">
        <f t="shared" si="14"/>
        <v>-3851.6</v>
      </c>
      <c r="J39" s="22">
        <f t="shared" si="14"/>
        <v>11947.122000371945</v>
      </c>
      <c r="K39" s="22">
        <f t="shared" si="14"/>
        <v>12846.383767729338</v>
      </c>
      <c r="L39" s="22">
        <f t="shared" si="14"/>
        <v>13813.333110906715</v>
      </c>
      <c r="M39" s="22">
        <f t="shared" si="14"/>
        <v>14853.064884468888</v>
      </c>
      <c r="N39" s="22">
        <f t="shared" si="14"/>
        <v>15971.057433491631</v>
      </c>
    </row>
    <row r="40" spans="2:14">
      <c r="B40" s="23" t="s">
        <v>74</v>
      </c>
      <c r="E40" s="24">
        <f>E20</f>
        <v>1.4971154111992416E-3</v>
      </c>
      <c r="F40" s="24">
        <f t="shared" si="14"/>
        <v>1.006940716905029E-2</v>
      </c>
      <c r="G40" s="24">
        <f t="shared" si="14"/>
        <v>1.503087131310627E-2</v>
      </c>
      <c r="H40" s="24">
        <f t="shared" si="14"/>
        <v>2.0082703888931039E-3</v>
      </c>
      <c r="I40" s="24">
        <f t="shared" si="14"/>
        <v>-8.8743272137432726E-3</v>
      </c>
      <c r="J40" s="24">
        <f t="shared" si="14"/>
        <v>2.5600000000000001E-2</v>
      </c>
      <c r="K40" s="24">
        <f t="shared" si="14"/>
        <v>2.5600000000000001E-2</v>
      </c>
      <c r="L40" s="24">
        <f t="shared" si="14"/>
        <v>2.5600000000000001E-2</v>
      </c>
      <c r="M40" s="24">
        <f t="shared" si="14"/>
        <v>2.5600000000000001E-2</v>
      </c>
      <c r="N40" s="24">
        <f t="shared" si="14"/>
        <v>2.5600000000000001E-2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35841.366001115835</v>
      </c>
      <c r="K42" s="29">
        <f t="shared" ref="K42:N42" si="15">K36-K39</f>
        <v>38539.151303188017</v>
      </c>
      <c r="L42" s="29">
        <f t="shared" si="15"/>
        <v>41439.999332720145</v>
      </c>
      <c r="M42" s="29">
        <f t="shared" si="15"/>
        <v>44559.194653406666</v>
      </c>
      <c r="N42" s="29">
        <f t="shared" si="15"/>
        <v>47913.172300474893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5" si="16">F23</f>
        <v>23546.7</v>
      </c>
      <c r="G44" s="22">
        <f t="shared" si="16"/>
        <v>24835.7</v>
      </c>
      <c r="H44" s="22">
        <f t="shared" si="16"/>
        <v>24860.400000000001</v>
      </c>
      <c r="I44" s="22">
        <f t="shared" si="16"/>
        <v>27270.1</v>
      </c>
      <c r="J44" s="22">
        <f>J13*9.22%</f>
        <v>43028.306579464581</v>
      </c>
      <c r="K44" s="22">
        <f t="shared" ref="K44:N44" si="17">K13*9.22%</f>
        <v>46267.054038462695</v>
      </c>
      <c r="L44" s="22">
        <f t="shared" si="17"/>
        <v>49749.582532249966</v>
      </c>
      <c r="M44" s="22">
        <f t="shared" si="17"/>
        <v>53494.241497969975</v>
      </c>
      <c r="N44" s="22">
        <f t="shared" si="17"/>
        <v>57520.761537809696</v>
      </c>
    </row>
    <row r="45" spans="2:14">
      <c r="B45" s="23" t="s">
        <v>72</v>
      </c>
      <c r="E45" s="24">
        <f>E24</f>
        <v>8.1144185507483507E-2</v>
      </c>
      <c r="F45" s="24">
        <f t="shared" si="16"/>
        <v>8.917816203613757E-2</v>
      </c>
      <c r="G45" s="24">
        <f t="shared" si="16"/>
        <v>9.4059977783761711E-2</v>
      </c>
      <c r="H45" s="24">
        <f t="shared" si="16"/>
        <v>9.4153523826404309E-2</v>
      </c>
      <c r="I45" s="24">
        <f t="shared" si="16"/>
        <v>0.10327975455336309</v>
      </c>
      <c r="J45" s="31">
        <f>J44/$E$13</f>
        <v>0.16296063976200897</v>
      </c>
      <c r="K45" s="31">
        <f t="shared" ref="K45:N45" si="18">K44/$E$13</f>
        <v>0.17522671295666734</v>
      </c>
      <c r="L45" s="31">
        <f t="shared" si="18"/>
        <v>0.18841605542565143</v>
      </c>
      <c r="M45" s="31">
        <f t="shared" si="18"/>
        <v>0.20259816179363735</v>
      </c>
      <c r="N45" s="31">
        <f t="shared" si="18"/>
        <v>0.21784775755672015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8" si="19">F26</f>
        <v>19855</v>
      </c>
      <c r="G47" s="22">
        <f t="shared" si="19"/>
        <v>14938</v>
      </c>
      <c r="H47" s="22">
        <f t="shared" si="19"/>
        <v>18945</v>
      </c>
      <c r="I47" s="22">
        <f t="shared" si="19"/>
        <v>31183</v>
      </c>
      <c r="J47" s="22">
        <f>J13*8.68%</f>
        <v>40508.210532511119</v>
      </c>
      <c r="K47" s="22">
        <f t="shared" ref="K47:N47" si="20">K13*8.68%</f>
        <v>43557.269962457285</v>
      </c>
      <c r="L47" s="22">
        <f t="shared" si="20"/>
        <v>46835.832579168076</v>
      </c>
      <c r="M47" s="22">
        <f t="shared" si="20"/>
        <v>50361.173123902321</v>
      </c>
      <c r="N47" s="22">
        <f t="shared" si="20"/>
        <v>54151.86661043256</v>
      </c>
    </row>
    <row r="48" spans="2:14">
      <c r="B48" s="23" t="s">
        <v>72</v>
      </c>
      <c r="E48" s="24">
        <f>E27</f>
        <v>0.11184243665096079</v>
      </c>
      <c r="F48" s="24">
        <f t="shared" si="19"/>
        <v>7.5196626585785326E-2</v>
      </c>
      <c r="G48" s="24">
        <f t="shared" si="19"/>
        <v>5.6574525708308294E-2</v>
      </c>
      <c r="H48" s="24">
        <f t="shared" si="19"/>
        <v>7.1750193435794654E-2</v>
      </c>
      <c r="I48" s="24">
        <f t="shared" si="19"/>
        <v>0.11809903836940538</v>
      </c>
      <c r="J48" s="31">
        <f>J47/$E$13</f>
        <v>0.15341630728137068</v>
      </c>
      <c r="K48" s="31">
        <f t="shared" ref="K48:N48" si="21">K47/$E$13</f>
        <v>0.16496397705681914</v>
      </c>
      <c r="L48" s="31">
        <f t="shared" si="21"/>
        <v>0.17738084176731608</v>
      </c>
      <c r="M48" s="31">
        <f t="shared" si="21"/>
        <v>0.19073232585344602</v>
      </c>
      <c r="N48" s="31">
        <f t="shared" si="21"/>
        <v>0.20508877826381031</v>
      </c>
    </row>
    <row r="49" spans="2:14">
      <c r="I49" s="21"/>
    </row>
    <row r="50" spans="2:14">
      <c r="B50" t="s">
        <v>78</v>
      </c>
      <c r="E50" s="32">
        <f>E29</f>
        <v>0</v>
      </c>
      <c r="F50" s="32">
        <f t="shared" ref="F50:I51" si="22">F29</f>
        <v>10005.199999999997</v>
      </c>
      <c r="G50" s="32">
        <f t="shared" si="22"/>
        <v>7156.3000000000175</v>
      </c>
      <c r="H50" s="32">
        <f t="shared" si="22"/>
        <v>206.5</v>
      </c>
      <c r="I50" s="32">
        <f t="shared" si="22"/>
        <v>-1726</v>
      </c>
      <c r="J50" s="33">
        <f>J51*J33</f>
        <v>3320.9563782013552</v>
      </c>
      <c r="K50" s="33">
        <f>K51*K33</f>
        <v>3512.6830614884907</v>
      </c>
      <c r="L50" s="33">
        <f t="shared" ref="L50:N50" si="23">L51*L33</f>
        <v>3777.0832725135547</v>
      </c>
      <c r="M50" s="33">
        <f t="shared" si="23"/>
        <v>4061.3849293469611</v>
      </c>
      <c r="N50" s="33">
        <f t="shared" si="23"/>
        <v>4367.0860169703674</v>
      </c>
    </row>
    <row r="51" spans="2:14">
      <c r="B51" s="23" t="s">
        <v>72</v>
      </c>
      <c r="E51" s="34">
        <f>E30</f>
        <v>0</v>
      </c>
      <c r="F51" s="34">
        <f t="shared" si="22"/>
        <v>3.7892585661853391E-2</v>
      </c>
      <c r="G51" s="34">
        <f t="shared" si="22"/>
        <v>2.7102977528877203E-2</v>
      </c>
      <c r="H51" s="34">
        <f t="shared" si="22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</row>
    <row r="52" spans="2:14">
      <c r="I52" s="35"/>
    </row>
    <row r="53" spans="2:14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35040.50566986794</v>
      </c>
      <c r="K53" s="36">
        <f t="shared" ref="K53:N53" si="24">K42+K44-K47-K50</f>
        <v>37736.252317704937</v>
      </c>
      <c r="L53" s="36">
        <f t="shared" si="24"/>
        <v>40576.666013288479</v>
      </c>
      <c r="M53" s="36">
        <f t="shared" si="24"/>
        <v>43630.878098127352</v>
      </c>
      <c r="N53" s="36">
        <f t="shared" si="24"/>
        <v>46914.981210881662</v>
      </c>
    </row>
    <row r="54" spans="2:14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30657.093173705223</v>
      </c>
      <c r="K54" s="36">
        <f t="shared" ref="K54:N54" si="25">K53/(1+$D$9)^K31</f>
        <v>28885.506352839981</v>
      </c>
      <c r="L54" s="36">
        <f t="shared" si="25"/>
        <v>27174.288830650046</v>
      </c>
      <c r="M54" s="36">
        <f t="shared" si="25"/>
        <v>25564.446211585593</v>
      </c>
      <c r="N54" s="36">
        <f t="shared" si="25"/>
        <v>24049.972905562128</v>
      </c>
    </row>
    <row r="55" spans="2:14">
      <c r="J55" s="37"/>
    </row>
    <row r="56" spans="2:14">
      <c r="B56" t="s">
        <v>84</v>
      </c>
      <c r="J56" s="37"/>
      <c r="N56" s="33">
        <f>(N53*(1+D10))/(D9-D10)</f>
        <v>529787.81131214357</v>
      </c>
    </row>
    <row r="57" spans="2:14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271584.51690477971</v>
      </c>
    </row>
    <row r="58" spans="2:14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407915.8243791227</v>
      </c>
    </row>
    <row r="59" spans="2:14">
      <c r="B59" s="40" t="s">
        <v>87</v>
      </c>
      <c r="N59" s="46">
        <f>BS!F28</f>
        <v>45806.7</v>
      </c>
    </row>
    <row r="60" spans="2:14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4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346458.52437912271</v>
      </c>
    </row>
    <row r="62" spans="2:14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4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904.00136824298158</v>
      </c>
    </row>
  </sheetData>
  <conditionalFormatting sqref="Q6:W10 R5:W5 Q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09C5-6516-4058-943E-F46DF52E9855}">
  <sheetPr>
    <tabColor rgb="FF00B0F0"/>
  </sheetPr>
  <dimension ref="B2:AF63"/>
  <sheetViews>
    <sheetView showGridLines="0" topLeftCell="D1" zoomScaleNormal="100" workbookViewId="0">
      <selection activeCell="Q4" sqref="Q4:W10"/>
    </sheetView>
  </sheetViews>
  <sheetFormatPr defaultRowHeight="15"/>
  <cols>
    <col min="3" max="3" width="13.42578125" bestFit="1" customWidth="1"/>
  </cols>
  <sheetData>
    <row r="2" spans="2:32" ht="21">
      <c r="B2" s="2" t="s">
        <v>108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48">
        <f>N63</f>
        <v>632.7405923676605</v>
      </c>
      <c r="M4" s="5"/>
      <c r="Q4" s="73" t="s">
        <v>121</v>
      </c>
      <c r="R4" s="57"/>
    </row>
    <row r="5" spans="2:32">
      <c r="B5" t="s">
        <v>61</v>
      </c>
      <c r="C5" s="6">
        <v>45650</v>
      </c>
      <c r="E5" t="s">
        <v>62</v>
      </c>
      <c r="G5" s="48">
        <v>686.7</v>
      </c>
      <c r="I5" t="s">
        <v>63</v>
      </c>
      <c r="K5" s="7">
        <f>G4/G5-1</f>
        <v>-7.8577847141895307E-2</v>
      </c>
      <c r="M5" s="5"/>
      <c r="Q5" s="84">
        <f>N63</f>
        <v>632.7405923676605</v>
      </c>
      <c r="R5" s="54">
        <v>0.03</v>
      </c>
      <c r="S5" s="54">
        <v>0.04</v>
      </c>
      <c r="T5" s="54">
        <v>0.05</v>
      </c>
      <c r="U5" s="54">
        <v>0.06</v>
      </c>
      <c r="V5" s="54">
        <v>7.0000000000000007E-2</v>
      </c>
      <c r="W5" s="54">
        <v>0.08</v>
      </c>
    </row>
    <row r="6" spans="2:32">
      <c r="Q6" s="54">
        <v>0.12</v>
      </c>
      <c r="R6" s="53">
        <f t="dataTable" ref="R6:W10" dt2D="1" dtr="1" r1="D10" r2="D9" ca="1"/>
        <v>711.0550035952806</v>
      </c>
      <c r="S6" s="53">
        <v>788.57306119182329</v>
      </c>
      <c r="T6" s="53">
        <v>888.23913524452121</v>
      </c>
      <c r="U6" s="53">
        <v>1021.1272339814516</v>
      </c>
      <c r="V6" s="53">
        <v>1207.1705722131542</v>
      </c>
      <c r="W6" s="53">
        <v>1486.2355795607077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54">
        <v>0.13</v>
      </c>
      <c r="R7" s="53">
        <v>624.39126617460147</v>
      </c>
      <c r="S7" s="53">
        <v>684.23947892930164</v>
      </c>
      <c r="T7" s="53">
        <v>759.04974487267691</v>
      </c>
      <c r="U7" s="53">
        <v>855.23437251415953</v>
      </c>
      <c r="V7" s="53">
        <v>983.48054270280284</v>
      </c>
      <c r="W7" s="53">
        <v>1163.0251809669035</v>
      </c>
    </row>
    <row r="8" spans="2:32">
      <c r="B8" s="1" t="s">
        <v>65</v>
      </c>
      <c r="Q8" s="54">
        <v>0.14000000000000001</v>
      </c>
      <c r="R8" s="53">
        <v>553.48852032169225</v>
      </c>
      <c r="S8" s="53">
        <v>600.75958440431032</v>
      </c>
      <c r="T8" s="53">
        <v>658.53532939417676</v>
      </c>
      <c r="U8" s="53">
        <v>730.75501063150989</v>
      </c>
      <c r="V8" s="53">
        <v>823.60888650808079</v>
      </c>
      <c r="W8" s="53">
        <v>947.41405434350884</v>
      </c>
    </row>
    <row r="9" spans="2:32">
      <c r="B9" t="s">
        <v>66</v>
      </c>
      <c r="D9" s="8">
        <f>WACC!D23</f>
        <v>0.14298200000000003</v>
      </c>
      <c r="Q9" s="54">
        <v>0.15</v>
      </c>
      <c r="R9" s="53">
        <v>494.40601855845375</v>
      </c>
      <c r="S9" s="53">
        <v>532.44616466825596</v>
      </c>
      <c r="T9" s="53">
        <v>578.09434000001863</v>
      </c>
      <c r="U9" s="53">
        <v>633.88655429439541</v>
      </c>
      <c r="V9" s="53">
        <v>703.62682216236624</v>
      </c>
      <c r="W9" s="53">
        <v>793.29288084975724</v>
      </c>
    </row>
    <row r="10" spans="2:32">
      <c r="B10" t="s">
        <v>67</v>
      </c>
      <c r="D10" s="8">
        <v>0.05</v>
      </c>
      <c r="Q10" s="54">
        <v>0.16</v>
      </c>
      <c r="R10" s="53">
        <v>444.41558466656443</v>
      </c>
      <c r="S10" s="53">
        <v>475.50774608476729</v>
      </c>
      <c r="T10" s="53">
        <v>512.25302776082526</v>
      </c>
      <c r="U10" s="53">
        <v>556.3473657720948</v>
      </c>
      <c r="V10" s="53">
        <v>610.24044556364663</v>
      </c>
      <c r="W10" s="53">
        <v>677.60679530308607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Senario!I21</f>
        <v>453663.973139529</v>
      </c>
      <c r="K13" s="10">
        <f>Senario!J21</f>
        <v>474201.41313855554</v>
      </c>
      <c r="L13" s="10">
        <f>Senario!K21</f>
        <v>495668.58630284684</v>
      </c>
      <c r="M13" s="10">
        <f>Senario!L21</f>
        <v>518107.58180021716</v>
      </c>
      <c r="N13" s="10">
        <f>Senario!M21</f>
        <v>541562.39418178145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N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si="2"/>
        <v>4.5270158564497676E-2</v>
      </c>
      <c r="K14" s="12">
        <f t="shared" si="2"/>
        <v>4.5270158564497676E-2</v>
      </c>
      <c r="L14" s="12">
        <f t="shared" si="2"/>
        <v>4.5270158564497676E-2</v>
      </c>
      <c r="M14" s="12">
        <f t="shared" si="2"/>
        <v>4.5270158564497676E-2</v>
      </c>
      <c r="N14" s="12">
        <f t="shared" si="2"/>
        <v>4.5270158564497676E-2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46455.190849487772</v>
      </c>
      <c r="K16" s="10">
        <f t="shared" ref="K16:N16" si="3">K13*8.5%</f>
        <v>40307.120116777223</v>
      </c>
      <c r="L16" s="10">
        <f t="shared" si="3"/>
        <v>42131.829835741984</v>
      </c>
      <c r="M16" s="10">
        <f t="shared" si="3"/>
        <v>44039.14445301846</v>
      </c>
      <c r="N16" s="10">
        <f t="shared" si="3"/>
        <v>46032.803505451426</v>
      </c>
    </row>
    <row r="17" spans="2:14">
      <c r="B17" s="11" t="s">
        <v>72</v>
      </c>
      <c r="C17" s="9"/>
      <c r="D17" s="9"/>
      <c r="E17" s="12">
        <f>E16/E13</f>
        <v>6.81223491342825E-2</v>
      </c>
      <c r="F17" s="12">
        <f t="shared" ref="F17:N17" si="4">F16/F13</f>
        <v>0.12790234746842691</v>
      </c>
      <c r="G17" s="12">
        <f t="shared" si="4"/>
        <v>8.7813353330446486E-2</v>
      </c>
      <c r="H17" s="12">
        <f t="shared" si="4"/>
        <v>9.1043017088980549E-2</v>
      </c>
      <c r="I17" s="12">
        <f t="shared" si="4"/>
        <v>0.13717996571554966</v>
      </c>
      <c r="J17" s="12">
        <f t="shared" si="4"/>
        <v>0.1024</v>
      </c>
      <c r="K17" s="12">
        <f t="shared" si="4"/>
        <v>8.5000000000000006E-2</v>
      </c>
      <c r="L17" s="12">
        <f t="shared" si="4"/>
        <v>8.5000000000000006E-2</v>
      </c>
      <c r="M17" s="12">
        <f t="shared" si="4"/>
        <v>8.5000000000000006E-2</v>
      </c>
      <c r="N17" s="12">
        <f t="shared" si="4"/>
        <v>8.5000000000000006E-2</v>
      </c>
    </row>
    <row r="18" spans="2:14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11613.797712371943</v>
      </c>
      <c r="K19" s="10">
        <f t="shared" ref="K19:N19" si="5">K16*25%</f>
        <v>10076.780029194306</v>
      </c>
      <c r="L19" s="10">
        <f t="shared" si="5"/>
        <v>10532.957458935496</v>
      </c>
      <c r="M19" s="10">
        <f t="shared" si="5"/>
        <v>11009.786113254615</v>
      </c>
      <c r="N19" s="10">
        <f t="shared" si="5"/>
        <v>11508.200876362856</v>
      </c>
    </row>
    <row r="20" spans="2:14">
      <c r="B20" s="11" t="s">
        <v>74</v>
      </c>
      <c r="C20" s="9"/>
      <c r="D20" s="9"/>
      <c r="E20" s="12">
        <f>E19/E13</f>
        <v>1.4971154111992416E-3</v>
      </c>
      <c r="F20" s="12">
        <f t="shared" ref="F20:N20" si="6">F19/F13</f>
        <v>1.006940716905029E-2</v>
      </c>
      <c r="G20" s="12">
        <f t="shared" si="6"/>
        <v>1.503087131310627E-2</v>
      </c>
      <c r="H20" s="12">
        <f t="shared" si="6"/>
        <v>2.0082703888931039E-3</v>
      </c>
      <c r="I20" s="12">
        <f t="shared" si="6"/>
        <v>-8.8743272137432726E-3</v>
      </c>
      <c r="J20" s="12">
        <f t="shared" si="6"/>
        <v>2.5600000000000001E-2</v>
      </c>
      <c r="K20" s="12">
        <f t="shared" si="6"/>
        <v>2.1250000000000002E-2</v>
      </c>
      <c r="L20" s="12">
        <f t="shared" si="6"/>
        <v>2.1250000000000002E-2</v>
      </c>
      <c r="M20" s="12">
        <f t="shared" si="6"/>
        <v>2.1250000000000002E-2</v>
      </c>
      <c r="N20" s="12">
        <f t="shared" si="6"/>
        <v>2.1250000000000002E-2</v>
      </c>
    </row>
    <row r="21" spans="2:14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>
      <c r="B22" s="57" t="s">
        <v>75</v>
      </c>
      <c r="C22" s="57"/>
      <c r="D22" s="57"/>
      <c r="E22" s="57">
        <f>E12</f>
        <v>2020</v>
      </c>
      <c r="F22" s="57">
        <f t="shared" ref="F22:N22" si="7">F12</f>
        <v>2021</v>
      </c>
      <c r="G22" s="57">
        <f t="shared" si="7"/>
        <v>2022</v>
      </c>
      <c r="H22" s="57">
        <f t="shared" si="7"/>
        <v>2023</v>
      </c>
      <c r="I22" s="57">
        <f t="shared" si="7"/>
        <v>2024</v>
      </c>
      <c r="J22" s="57">
        <f t="shared" si="7"/>
        <v>2025</v>
      </c>
      <c r="K22" s="57">
        <f t="shared" si="7"/>
        <v>2026</v>
      </c>
      <c r="L22" s="57">
        <f t="shared" si="7"/>
        <v>2027</v>
      </c>
      <c r="M22" s="57">
        <f t="shared" si="7"/>
        <v>2028</v>
      </c>
      <c r="N22" s="57">
        <f t="shared" si="7"/>
        <v>2029</v>
      </c>
    </row>
    <row r="23" spans="2:14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>
      <c r="B24" s="11" t="s">
        <v>72</v>
      </c>
      <c r="C24" s="9"/>
      <c r="D24" s="9"/>
      <c r="E24" s="12">
        <f>E23/$E$13</f>
        <v>8.1144185507483507E-2</v>
      </c>
      <c r="F24" s="12">
        <f t="shared" ref="F24:H24" si="8">F23/$E$13</f>
        <v>8.917816203613757E-2</v>
      </c>
      <c r="G24" s="12">
        <f t="shared" si="8"/>
        <v>9.4059977783761711E-2</v>
      </c>
      <c r="H24" s="12">
        <f t="shared" si="8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4">
      <c r="B27" s="11" t="s">
        <v>72</v>
      </c>
      <c r="C27" s="9"/>
      <c r="D27" s="9"/>
      <c r="E27" s="12">
        <f>E26/E13</f>
        <v>0.11184243665096079</v>
      </c>
      <c r="F27" s="12">
        <f t="shared" ref="F27:I27" si="9">F26/F13</f>
        <v>7.8653007333684841E-2</v>
      </c>
      <c r="G27" s="12">
        <f t="shared" si="9"/>
        <v>5.3064343269250927E-2</v>
      </c>
      <c r="H27" s="12">
        <f t="shared" si="9"/>
        <v>5.4035907566510229E-2</v>
      </c>
      <c r="I27" s="12">
        <f t="shared" si="9"/>
        <v>7.1847581655975823E-2</v>
      </c>
      <c r="J27" s="13"/>
      <c r="K27" s="12"/>
      <c r="L27" s="12"/>
      <c r="M27" s="12"/>
      <c r="N27" s="12"/>
    </row>
    <row r="28" spans="2:14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4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>
      <c r="B30" s="11" t="s">
        <v>72</v>
      </c>
      <c r="C30" s="9"/>
      <c r="D30" s="9"/>
      <c r="E30" s="20">
        <f>E29/$E$13</f>
        <v>0</v>
      </c>
      <c r="F30" s="20">
        <f t="shared" ref="F30:H30" si="10">F29/$E$13</f>
        <v>3.7892585661853391E-2</v>
      </c>
      <c r="G30" s="20">
        <f t="shared" si="10"/>
        <v>2.7102977528877203E-2</v>
      </c>
      <c r="H30" s="20">
        <f t="shared" si="10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>
      <c r="B32" s="57" t="s">
        <v>79</v>
      </c>
      <c r="C32" s="57"/>
      <c r="D32" s="57"/>
      <c r="E32" s="57">
        <f t="shared" ref="E32:N32" si="11">E22</f>
        <v>2020</v>
      </c>
      <c r="F32" s="57">
        <f t="shared" si="11"/>
        <v>2021</v>
      </c>
      <c r="G32" s="57">
        <f t="shared" si="11"/>
        <v>2022</v>
      </c>
      <c r="H32" s="57">
        <f t="shared" si="11"/>
        <v>2023</v>
      </c>
      <c r="I32" s="64">
        <f t="shared" si="11"/>
        <v>2024</v>
      </c>
      <c r="J32" s="57">
        <f t="shared" si="11"/>
        <v>2025</v>
      </c>
      <c r="K32" s="57">
        <f t="shared" si="11"/>
        <v>2026</v>
      </c>
      <c r="L32" s="57">
        <f t="shared" si="11"/>
        <v>2027</v>
      </c>
      <c r="M32" s="57">
        <f t="shared" si="11"/>
        <v>2028</v>
      </c>
      <c r="N32" s="57">
        <f t="shared" si="11"/>
        <v>2029</v>
      </c>
    </row>
    <row r="33" spans="2:14">
      <c r="B33" t="s">
        <v>69</v>
      </c>
      <c r="E33" s="22">
        <f>E13</f>
        <v>264041.09999999998</v>
      </c>
      <c r="F33" s="22">
        <f t="shared" ref="F33:N34" si="12">F13</f>
        <v>252437.9</v>
      </c>
      <c r="G33" s="22">
        <f t="shared" si="12"/>
        <v>281507.3</v>
      </c>
      <c r="H33" s="22">
        <f t="shared" si="12"/>
        <v>350600.2</v>
      </c>
      <c r="I33" s="22">
        <f t="shared" si="12"/>
        <v>434016</v>
      </c>
      <c r="J33" s="22">
        <f t="shared" si="12"/>
        <v>453663.973139529</v>
      </c>
      <c r="K33" s="22">
        <f t="shared" si="12"/>
        <v>474201.41313855554</v>
      </c>
      <c r="L33" s="22">
        <f t="shared" si="12"/>
        <v>495668.58630284684</v>
      </c>
      <c r="M33" s="22">
        <f t="shared" si="12"/>
        <v>518107.58180021716</v>
      </c>
      <c r="N33" s="22">
        <f t="shared" si="12"/>
        <v>541562.39418178145</v>
      </c>
    </row>
    <row r="34" spans="2:14">
      <c r="B34" s="23" t="s">
        <v>70</v>
      </c>
      <c r="E34" s="24">
        <f>E14</f>
        <v>0</v>
      </c>
      <c r="F34" s="24">
        <f t="shared" si="12"/>
        <v>-4.3944673764803932E-2</v>
      </c>
      <c r="G34" s="24">
        <f t="shared" si="12"/>
        <v>0.11515465783862089</v>
      </c>
      <c r="H34" s="24">
        <f t="shared" si="12"/>
        <v>0.24543910584201556</v>
      </c>
      <c r="I34" s="24">
        <f t="shared" si="12"/>
        <v>0.23792285343818964</v>
      </c>
      <c r="J34" s="24">
        <f t="shared" si="12"/>
        <v>4.5270158564497676E-2</v>
      </c>
      <c r="K34" s="24">
        <f t="shared" si="12"/>
        <v>4.5270158564497676E-2</v>
      </c>
      <c r="L34" s="24">
        <f t="shared" si="12"/>
        <v>4.5270158564497676E-2</v>
      </c>
      <c r="M34" s="24">
        <f t="shared" si="12"/>
        <v>4.5270158564497676E-2</v>
      </c>
      <c r="N34" s="24">
        <f t="shared" si="12"/>
        <v>4.5270158564497676E-2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7" si="13">F16</f>
        <v>32287.4</v>
      </c>
      <c r="G36" s="22">
        <f t="shared" si="13"/>
        <v>24720.1</v>
      </c>
      <c r="H36" s="22">
        <f t="shared" si="13"/>
        <v>31919.7</v>
      </c>
      <c r="I36" s="22">
        <f t="shared" si="13"/>
        <v>59538.3</v>
      </c>
      <c r="J36" s="22">
        <f t="shared" si="13"/>
        <v>46455.190849487772</v>
      </c>
      <c r="K36" s="22">
        <f t="shared" si="13"/>
        <v>40307.120116777223</v>
      </c>
      <c r="L36" s="22">
        <f t="shared" si="13"/>
        <v>42131.829835741984</v>
      </c>
      <c r="M36" s="22">
        <f t="shared" si="13"/>
        <v>44039.14445301846</v>
      </c>
      <c r="N36" s="22">
        <f t="shared" si="13"/>
        <v>46032.803505451426</v>
      </c>
    </row>
    <row r="37" spans="2:14">
      <c r="B37" s="23" t="s">
        <v>80</v>
      </c>
      <c r="E37" s="24">
        <f>E17</f>
        <v>6.81223491342825E-2</v>
      </c>
      <c r="F37" s="24">
        <f t="shared" si="13"/>
        <v>0.12790234746842691</v>
      </c>
      <c r="G37" s="24">
        <f t="shared" si="13"/>
        <v>8.7813353330446486E-2</v>
      </c>
      <c r="H37" s="24">
        <f t="shared" si="13"/>
        <v>9.1043017088980549E-2</v>
      </c>
      <c r="I37" s="24">
        <f t="shared" si="13"/>
        <v>0.13717996571554966</v>
      </c>
      <c r="J37" s="24">
        <f t="shared" si="13"/>
        <v>0.1024</v>
      </c>
      <c r="K37" s="24">
        <f t="shared" si="13"/>
        <v>8.5000000000000006E-2</v>
      </c>
      <c r="L37" s="24">
        <f t="shared" si="13"/>
        <v>8.5000000000000006E-2</v>
      </c>
      <c r="M37" s="24">
        <f t="shared" si="13"/>
        <v>8.5000000000000006E-2</v>
      </c>
      <c r="N37" s="24">
        <f t="shared" si="13"/>
        <v>8.5000000000000006E-2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40" si="14">F19</f>
        <v>2541.9</v>
      </c>
      <c r="G39" s="22">
        <f t="shared" si="14"/>
        <v>4231.3</v>
      </c>
      <c r="H39" s="22">
        <f t="shared" si="14"/>
        <v>704.1</v>
      </c>
      <c r="I39" s="22">
        <f t="shared" si="14"/>
        <v>-3851.6</v>
      </c>
      <c r="J39" s="22">
        <f t="shared" si="14"/>
        <v>11613.797712371943</v>
      </c>
      <c r="K39" s="22">
        <f t="shared" si="14"/>
        <v>10076.780029194306</v>
      </c>
      <c r="L39" s="22">
        <f t="shared" si="14"/>
        <v>10532.957458935496</v>
      </c>
      <c r="M39" s="22">
        <f t="shared" si="14"/>
        <v>11009.786113254615</v>
      </c>
      <c r="N39" s="22">
        <f t="shared" si="14"/>
        <v>11508.200876362856</v>
      </c>
    </row>
    <row r="40" spans="2:14">
      <c r="B40" s="23" t="s">
        <v>74</v>
      </c>
      <c r="E40" s="24">
        <f>E20</f>
        <v>1.4971154111992416E-3</v>
      </c>
      <c r="F40" s="24">
        <f t="shared" si="14"/>
        <v>1.006940716905029E-2</v>
      </c>
      <c r="G40" s="24">
        <f t="shared" si="14"/>
        <v>1.503087131310627E-2</v>
      </c>
      <c r="H40" s="24">
        <f t="shared" si="14"/>
        <v>2.0082703888931039E-3</v>
      </c>
      <c r="I40" s="24">
        <f t="shared" si="14"/>
        <v>-8.8743272137432726E-3</v>
      </c>
      <c r="J40" s="24">
        <f t="shared" si="14"/>
        <v>2.5600000000000001E-2</v>
      </c>
      <c r="K40" s="24">
        <f t="shared" si="14"/>
        <v>2.1250000000000002E-2</v>
      </c>
      <c r="L40" s="24">
        <f t="shared" si="14"/>
        <v>2.1250000000000002E-2</v>
      </c>
      <c r="M40" s="24">
        <f t="shared" si="14"/>
        <v>2.1250000000000002E-2</v>
      </c>
      <c r="N40" s="24">
        <f t="shared" si="14"/>
        <v>2.1250000000000002E-2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34841.393137115825</v>
      </c>
      <c r="K42" s="29">
        <f t="shared" ref="K42:N42" si="15">K36-K39</f>
        <v>30230.340087582917</v>
      </c>
      <c r="L42" s="29">
        <f t="shared" si="15"/>
        <v>31598.872376806488</v>
      </c>
      <c r="M42" s="29">
        <f t="shared" si="15"/>
        <v>33029.358339763843</v>
      </c>
      <c r="N42" s="29">
        <f t="shared" si="15"/>
        <v>34524.602629088571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5" si="16">F23</f>
        <v>23546.7</v>
      </c>
      <c r="G44" s="22">
        <f t="shared" si="16"/>
        <v>24835.7</v>
      </c>
      <c r="H44" s="22">
        <f t="shared" si="16"/>
        <v>24860.400000000001</v>
      </c>
      <c r="I44" s="22">
        <f t="shared" si="16"/>
        <v>27270.1</v>
      </c>
      <c r="J44" s="22">
        <f>J13*9.22%</f>
        <v>41827.818323464577</v>
      </c>
      <c r="K44" s="22">
        <f t="shared" ref="K44:N44" si="17">K13*9.22%</f>
        <v>43721.37029137482</v>
      </c>
      <c r="L44" s="22">
        <f t="shared" si="17"/>
        <v>45700.643657122484</v>
      </c>
      <c r="M44" s="22">
        <f t="shared" si="17"/>
        <v>47769.519041980027</v>
      </c>
      <c r="N44" s="22">
        <f t="shared" si="17"/>
        <v>49932.052743560249</v>
      </c>
    </row>
    <row r="45" spans="2:14">
      <c r="B45" s="23" t="s">
        <v>72</v>
      </c>
      <c r="E45" s="24">
        <f>E24</f>
        <v>8.1144185507483507E-2</v>
      </c>
      <c r="F45" s="24">
        <f t="shared" si="16"/>
        <v>8.917816203613757E-2</v>
      </c>
      <c r="G45" s="24">
        <f t="shared" si="16"/>
        <v>9.4059977783761711E-2</v>
      </c>
      <c r="H45" s="24">
        <f t="shared" si="16"/>
        <v>9.4153523826404309E-2</v>
      </c>
      <c r="I45" s="24">
        <f t="shared" si="16"/>
        <v>0.10327975455336309</v>
      </c>
      <c r="J45" s="31">
        <f>J44/$E$13</f>
        <v>0.15841404358436842</v>
      </c>
      <c r="K45" s="31">
        <f t="shared" ref="K45:N45" si="18">K44/$E$13</f>
        <v>0.16558547245627603</v>
      </c>
      <c r="L45" s="31">
        <f t="shared" si="18"/>
        <v>0.17308155305034895</v>
      </c>
      <c r="M45" s="31">
        <f t="shared" si="18"/>
        <v>0.18091698240152776</v>
      </c>
      <c r="N45" s="31">
        <f t="shared" si="18"/>
        <v>0.18910712288185533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8" si="19">F26</f>
        <v>19855</v>
      </c>
      <c r="G47" s="22">
        <f t="shared" si="19"/>
        <v>14938</v>
      </c>
      <c r="H47" s="22">
        <f t="shared" si="19"/>
        <v>18945</v>
      </c>
      <c r="I47" s="22">
        <f t="shared" si="19"/>
        <v>31183</v>
      </c>
      <c r="J47" s="22">
        <f>J13*8.68%</f>
        <v>39378.032868511116</v>
      </c>
      <c r="K47" s="22">
        <f t="shared" ref="K47:N47" si="20">K13*8.68%</f>
        <v>41160.682660426624</v>
      </c>
      <c r="L47" s="22">
        <f t="shared" si="20"/>
        <v>43024.033291087108</v>
      </c>
      <c r="M47" s="22">
        <f t="shared" si="20"/>
        <v>44971.738100258852</v>
      </c>
      <c r="N47" s="22">
        <f t="shared" si="20"/>
        <v>47007.615814978628</v>
      </c>
    </row>
    <row r="48" spans="2:14">
      <c r="B48" s="23" t="s">
        <v>72</v>
      </c>
      <c r="E48" s="24">
        <f>E27</f>
        <v>0.11184243665096079</v>
      </c>
      <c r="F48" s="24">
        <f t="shared" si="19"/>
        <v>7.8653007333684841E-2</v>
      </c>
      <c r="G48" s="24">
        <f t="shared" si="19"/>
        <v>5.3064343269250927E-2</v>
      </c>
      <c r="H48" s="24">
        <f t="shared" si="19"/>
        <v>5.4035907566510229E-2</v>
      </c>
      <c r="I48" s="24">
        <f t="shared" si="19"/>
        <v>7.1847581655975823E-2</v>
      </c>
      <c r="J48" s="31">
        <f>J47/$E$13</f>
        <v>0.14913599764775681</v>
      </c>
      <c r="K48" s="31">
        <f t="shared" ref="K48:N48" si="21">K47/$E$13</f>
        <v>0.15588740790894534</v>
      </c>
      <c r="L48" s="31">
        <f t="shared" si="21"/>
        <v>0.16294445558319182</v>
      </c>
      <c r="M48" s="31">
        <f t="shared" si="21"/>
        <v>0.17032097692464868</v>
      </c>
      <c r="N48" s="31">
        <f t="shared" si="21"/>
        <v>0.17803143455688766</v>
      </c>
    </row>
    <row r="49" spans="2:14">
      <c r="I49" s="21"/>
    </row>
    <row r="50" spans="2:14">
      <c r="B50" t="s">
        <v>78</v>
      </c>
      <c r="E50" s="32">
        <f>E29</f>
        <v>0</v>
      </c>
      <c r="F50" s="32">
        <f t="shared" ref="F50:I51" si="22">F29</f>
        <v>10005.199999999997</v>
      </c>
      <c r="G50" s="32">
        <f t="shared" si="22"/>
        <v>7156.3000000000175</v>
      </c>
      <c r="H50" s="32">
        <f t="shared" si="22"/>
        <v>206.5</v>
      </c>
      <c r="I50" s="32">
        <f t="shared" si="22"/>
        <v>-1726</v>
      </c>
      <c r="J50" s="33">
        <f>J51*J33</f>
        <v>3228.3018108328652</v>
      </c>
      <c r="K50" s="33">
        <f>K51*K33</f>
        <v>3319.409891969889</v>
      </c>
      <c r="L50" s="33">
        <f t="shared" ref="L50:N50" si="23">L51*L33</f>
        <v>3469.6801041199278</v>
      </c>
      <c r="M50" s="33">
        <f t="shared" si="23"/>
        <v>3626.7530726015202</v>
      </c>
      <c r="N50" s="33">
        <f t="shared" si="23"/>
        <v>3790.9367592724702</v>
      </c>
    </row>
    <row r="51" spans="2:14">
      <c r="B51" s="23" t="s">
        <v>72</v>
      </c>
      <c r="E51" s="34">
        <f>E30</f>
        <v>0</v>
      </c>
      <c r="F51" s="34">
        <f t="shared" si="22"/>
        <v>3.7892585661853391E-2</v>
      </c>
      <c r="G51" s="34">
        <f t="shared" si="22"/>
        <v>2.7102977528877203E-2</v>
      </c>
      <c r="H51" s="34">
        <f t="shared" si="22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</row>
    <row r="52" spans="2:14">
      <c r="I52" s="35"/>
    </row>
    <row r="53" spans="2:14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34062.876781236424</v>
      </c>
      <c r="K53" s="36">
        <f t="shared" ref="K53:N53" si="24">K42+K44-K47-K50</f>
        <v>29471.617826561225</v>
      </c>
      <c r="L53" s="36">
        <f t="shared" si="24"/>
        <v>30805.802638721936</v>
      </c>
      <c r="M53" s="36">
        <f t="shared" si="24"/>
        <v>32200.38620888349</v>
      </c>
      <c r="N53" s="36">
        <f t="shared" si="24"/>
        <v>33658.102798397726</v>
      </c>
    </row>
    <row r="54" spans="2:14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29801.76134115535</v>
      </c>
      <c r="K54" s="36">
        <f t="shared" ref="K54:N54" si="25">K53/(1+$D$9)^K31</f>
        <v>22559.277926976225</v>
      </c>
      <c r="L54" s="36">
        <f t="shared" si="25"/>
        <v>20630.718607844232</v>
      </c>
      <c r="M54" s="36">
        <f t="shared" si="25"/>
        <v>18867.028973790373</v>
      </c>
      <c r="N54" s="36">
        <f t="shared" si="25"/>
        <v>17254.114559174901</v>
      </c>
    </row>
    <row r="55" spans="2:14">
      <c r="J55" s="37"/>
    </row>
    <row r="56" spans="2:14">
      <c r="B56" t="s">
        <v>84</v>
      </c>
      <c r="J56" s="37"/>
      <c r="N56" s="33">
        <f>(N53*(1+D10))/(D9-D10)</f>
        <v>380084.40276954253</v>
      </c>
    </row>
    <row r="57" spans="2:14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194842.23061596483</v>
      </c>
    </row>
    <row r="58" spans="2:14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303955.13202490588</v>
      </c>
    </row>
    <row r="59" spans="2:14">
      <c r="B59" s="40" t="s">
        <v>87</v>
      </c>
      <c r="N59" s="46">
        <f>BS!F28</f>
        <v>45806.7</v>
      </c>
    </row>
    <row r="60" spans="2:14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4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242497.83202490589</v>
      </c>
    </row>
    <row r="62" spans="2:14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4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632.7405923676605</v>
      </c>
    </row>
  </sheetData>
  <conditionalFormatting sqref="Q5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:W10 R5:W5 Q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8D6E-0E83-4B00-AAAA-AA49AFD3FA5A}">
  <dimension ref="B2:AF63"/>
  <sheetViews>
    <sheetView showGridLines="0" zoomScale="80" zoomScaleNormal="80" workbookViewId="0">
      <selection activeCell="Q4" sqref="Q4:W10"/>
    </sheetView>
  </sheetViews>
  <sheetFormatPr defaultRowHeight="15"/>
  <cols>
    <col min="3" max="3" width="13.42578125" bestFit="1" customWidth="1"/>
    <col min="7" max="7" width="9.85546875" bestFit="1" customWidth="1"/>
    <col min="17" max="17" width="16.7109375" bestFit="1" customWidth="1"/>
  </cols>
  <sheetData>
    <row r="2" spans="2:32" ht="21">
      <c r="B2" s="2" t="s">
        <v>108</v>
      </c>
      <c r="C2" s="3"/>
      <c r="D2" s="2" t="s">
        <v>127</v>
      </c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48">
        <f>N63</f>
        <v>904.00136824298158</v>
      </c>
      <c r="M4" s="5"/>
      <c r="Q4" s="73" t="s">
        <v>121</v>
      </c>
    </row>
    <row r="5" spans="2:32">
      <c r="B5" t="s">
        <v>61</v>
      </c>
      <c r="C5" s="6">
        <v>45650</v>
      </c>
      <c r="E5" t="s">
        <v>62</v>
      </c>
      <c r="G5" s="48">
        <v>686.7</v>
      </c>
      <c r="I5" t="s">
        <v>63</v>
      </c>
      <c r="K5" s="7">
        <f>G4/G5-1</f>
        <v>0.31644294195861589</v>
      </c>
      <c r="M5" s="5"/>
      <c r="Q5" s="84">
        <f>N63</f>
        <v>904.00136824298158</v>
      </c>
      <c r="R5" s="71">
        <v>0.03</v>
      </c>
      <c r="S5" s="71">
        <v>0.04</v>
      </c>
      <c r="T5" s="71">
        <v>0.05</v>
      </c>
      <c r="U5" s="71">
        <v>0.06</v>
      </c>
      <c r="V5" s="71">
        <v>7.0000000000000007E-2</v>
      </c>
      <c r="W5" s="71">
        <v>0.08</v>
      </c>
    </row>
    <row r="6" spans="2:32">
      <c r="Q6" s="71">
        <v>0.12</v>
      </c>
      <c r="R6" s="72">
        <f t="dataTable" ref="R6:W10" dt2D="1" dtr="1" r1="D10" r2="D9" ca="1"/>
        <v>1011.8804311992903</v>
      </c>
      <c r="S6" s="72">
        <v>1119.9304373873681</v>
      </c>
      <c r="T6" s="72">
        <v>1258.8518739148972</v>
      </c>
      <c r="U6" s="72">
        <v>1444.0804559516025</v>
      </c>
      <c r="V6" s="72">
        <v>1703.4004708029902</v>
      </c>
      <c r="W6" s="72">
        <v>2092.3804930800711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71">
        <v>0.13</v>
      </c>
      <c r="R7" s="72">
        <v>891.64953257670152</v>
      </c>
      <c r="S7" s="72">
        <v>975.07009236610463</v>
      </c>
      <c r="T7" s="72">
        <v>1079.3457921028582</v>
      </c>
      <c r="U7" s="72">
        <v>1213.4145489072555</v>
      </c>
      <c r="V7" s="72">
        <v>1392.1728913131194</v>
      </c>
      <c r="W7" s="72">
        <v>1642.4345706813281</v>
      </c>
    </row>
    <row r="8" spans="2:32">
      <c r="B8" s="1" t="s">
        <v>65</v>
      </c>
      <c r="Q8" s="71">
        <v>0.14000000000000001</v>
      </c>
      <c r="R8" s="72">
        <v>793.37252402523143</v>
      </c>
      <c r="S8" s="72">
        <v>859.26218799523917</v>
      </c>
      <c r="T8" s="72">
        <v>939.79399951413745</v>
      </c>
      <c r="U8" s="72">
        <v>1040.4587639127603</v>
      </c>
      <c r="V8" s="72">
        <v>1169.8848895681328</v>
      </c>
      <c r="W8" s="72">
        <v>1342.4530571086295</v>
      </c>
    </row>
    <row r="9" spans="2:32">
      <c r="B9" t="s">
        <v>66</v>
      </c>
      <c r="D9" s="8">
        <f>WACC!D23</f>
        <v>0.14298200000000003</v>
      </c>
      <c r="Q9" s="71">
        <v>0.15</v>
      </c>
      <c r="R9" s="72">
        <v>711.55708368532601</v>
      </c>
      <c r="S9" s="72">
        <v>764.5800585894707</v>
      </c>
      <c r="T9" s="72">
        <v>828.20762847444428</v>
      </c>
      <c r="U9" s="72">
        <v>905.97465833385661</v>
      </c>
      <c r="V9" s="72">
        <v>1003.1834456581221</v>
      </c>
      <c r="W9" s="72">
        <v>1128.1661722178917</v>
      </c>
    </row>
    <row r="10" spans="2:32">
      <c r="B10" t="s">
        <v>67</v>
      </c>
      <c r="D10" s="8">
        <v>0.05</v>
      </c>
      <c r="Q10" s="71">
        <v>0.16</v>
      </c>
      <c r="R10" s="72">
        <v>642.40102768627014</v>
      </c>
      <c r="S10" s="72">
        <v>685.73942312340478</v>
      </c>
      <c r="T10" s="72">
        <v>736.95752682183661</v>
      </c>
      <c r="U10" s="72">
        <v>798.41925125995476</v>
      </c>
      <c r="V10" s="72">
        <v>873.53913668432153</v>
      </c>
      <c r="W10" s="72">
        <v>967.43899346477974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'CAGR '!J5</f>
        <v>466684.45313952904</v>
      </c>
      <c r="K13" s="10">
        <f>'CAGR '!K5</f>
        <v>501811.86592692725</v>
      </c>
      <c r="L13" s="10">
        <f>'CAGR '!L5</f>
        <v>539583.32464479352</v>
      </c>
      <c r="M13" s="10">
        <f>'CAGR '!M5</f>
        <v>580197.84704956587</v>
      </c>
      <c r="N13" s="10">
        <f>'CAGR '!N5</f>
        <v>623869.43099576677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N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si="2"/>
        <v>7.5270158564497702E-2</v>
      </c>
      <c r="K14" s="12">
        <f t="shared" si="2"/>
        <v>7.5270158564497702E-2</v>
      </c>
      <c r="L14" s="12">
        <f t="shared" si="2"/>
        <v>7.5270158564497702E-2</v>
      </c>
      <c r="M14" s="12">
        <f t="shared" si="2"/>
        <v>7.527015856449748E-2</v>
      </c>
      <c r="N14" s="12">
        <f t="shared" si="2"/>
        <v>7.527015856449748E-2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47788.488001487778</v>
      </c>
      <c r="K16" s="10">
        <f t="shared" ref="K16:N16" si="3">K13*10.24%</f>
        <v>51385.535070917351</v>
      </c>
      <c r="L16" s="10">
        <f t="shared" si="3"/>
        <v>55253.332443626859</v>
      </c>
      <c r="M16" s="10">
        <f t="shared" si="3"/>
        <v>59412.25953787555</v>
      </c>
      <c r="N16" s="10">
        <f t="shared" si="3"/>
        <v>63884.229733966524</v>
      </c>
    </row>
    <row r="17" spans="2:14">
      <c r="B17" s="11" t="s">
        <v>72</v>
      </c>
      <c r="C17" s="9"/>
      <c r="D17" s="9"/>
      <c r="E17" s="12">
        <f>E16/E13</f>
        <v>6.81223491342825E-2</v>
      </c>
      <c r="F17" s="12">
        <f t="shared" ref="F17:N17" si="4">F16/F13</f>
        <v>0.12790234746842691</v>
      </c>
      <c r="G17" s="12">
        <f t="shared" si="4"/>
        <v>8.7813353330446486E-2</v>
      </c>
      <c r="H17" s="12">
        <f t="shared" si="4"/>
        <v>9.1043017088980549E-2</v>
      </c>
      <c r="I17" s="12">
        <f t="shared" si="4"/>
        <v>0.13717996571554966</v>
      </c>
      <c r="J17" s="12">
        <f t="shared" si="4"/>
        <v>0.1024</v>
      </c>
      <c r="K17" s="12">
        <f t="shared" si="4"/>
        <v>0.1024</v>
      </c>
      <c r="L17" s="12">
        <f t="shared" si="4"/>
        <v>0.1024</v>
      </c>
      <c r="M17" s="12">
        <f t="shared" si="4"/>
        <v>0.1024</v>
      </c>
      <c r="N17" s="12">
        <f t="shared" si="4"/>
        <v>0.1024</v>
      </c>
    </row>
    <row r="18" spans="2:14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11947.122000371945</v>
      </c>
      <c r="K19" s="10">
        <f t="shared" ref="K19:N19" si="5">K16*25%</f>
        <v>12846.383767729338</v>
      </c>
      <c r="L19" s="10">
        <f t="shared" si="5"/>
        <v>13813.333110906715</v>
      </c>
      <c r="M19" s="10">
        <f t="shared" si="5"/>
        <v>14853.064884468888</v>
      </c>
      <c r="N19" s="10">
        <f t="shared" si="5"/>
        <v>15971.057433491631</v>
      </c>
    </row>
    <row r="20" spans="2:14">
      <c r="B20" s="11" t="s">
        <v>74</v>
      </c>
      <c r="C20" s="9"/>
      <c r="D20" s="9"/>
      <c r="E20" s="12">
        <f>E19/E13</f>
        <v>1.4971154111992416E-3</v>
      </c>
      <c r="F20" s="12">
        <f t="shared" ref="F20:N20" si="6">F19/F13</f>
        <v>1.006940716905029E-2</v>
      </c>
      <c r="G20" s="12">
        <f t="shared" si="6"/>
        <v>1.503087131310627E-2</v>
      </c>
      <c r="H20" s="12">
        <f t="shared" si="6"/>
        <v>2.0082703888931039E-3</v>
      </c>
      <c r="I20" s="12">
        <f t="shared" si="6"/>
        <v>-8.8743272137432726E-3</v>
      </c>
      <c r="J20" s="12">
        <f t="shared" si="6"/>
        <v>2.5600000000000001E-2</v>
      </c>
      <c r="K20" s="12">
        <f t="shared" si="6"/>
        <v>2.5600000000000001E-2</v>
      </c>
      <c r="L20" s="12">
        <f t="shared" si="6"/>
        <v>2.5600000000000001E-2</v>
      </c>
      <c r="M20" s="12">
        <f t="shared" si="6"/>
        <v>2.5600000000000001E-2</v>
      </c>
      <c r="N20" s="12">
        <f t="shared" si="6"/>
        <v>2.5600000000000001E-2</v>
      </c>
    </row>
    <row r="21" spans="2:14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>
      <c r="B22" s="57" t="s">
        <v>75</v>
      </c>
      <c r="C22" s="57"/>
      <c r="D22" s="57"/>
      <c r="E22" s="57">
        <f>E12</f>
        <v>2020</v>
      </c>
      <c r="F22" s="57">
        <f t="shared" ref="F22:N22" si="7">F12</f>
        <v>2021</v>
      </c>
      <c r="G22" s="57">
        <f t="shared" si="7"/>
        <v>2022</v>
      </c>
      <c r="H22" s="57">
        <f t="shared" si="7"/>
        <v>2023</v>
      </c>
      <c r="I22" s="57">
        <f t="shared" si="7"/>
        <v>2024</v>
      </c>
      <c r="J22" s="57">
        <f t="shared" si="7"/>
        <v>2025</v>
      </c>
      <c r="K22" s="57">
        <f t="shared" si="7"/>
        <v>2026</v>
      </c>
      <c r="L22" s="57">
        <f t="shared" si="7"/>
        <v>2027</v>
      </c>
      <c r="M22" s="57">
        <f t="shared" si="7"/>
        <v>2028</v>
      </c>
      <c r="N22" s="57">
        <f t="shared" si="7"/>
        <v>2029</v>
      </c>
    </row>
    <row r="23" spans="2:14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>
      <c r="B24" s="11" t="s">
        <v>72</v>
      </c>
      <c r="C24" s="9"/>
      <c r="D24" s="9"/>
      <c r="E24" s="12">
        <f>E23/$E$13</f>
        <v>8.1144185507483507E-2</v>
      </c>
      <c r="F24" s="12">
        <f t="shared" ref="F24:H24" si="8">F23/$E$13</f>
        <v>8.917816203613757E-2</v>
      </c>
      <c r="G24" s="12">
        <f t="shared" si="8"/>
        <v>9.4059977783761711E-2</v>
      </c>
      <c r="H24" s="12">
        <f t="shared" si="8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4">
      <c r="B27" s="11" t="s">
        <v>72</v>
      </c>
      <c r="C27" s="9"/>
      <c r="D27" s="9"/>
      <c r="E27" s="12">
        <f>E26/$E$13</f>
        <v>0.11184243665096079</v>
      </c>
      <c r="F27" s="12">
        <f t="shared" ref="F27:H27" si="9">F26/$E$13</f>
        <v>7.5196626585785326E-2</v>
      </c>
      <c r="G27" s="12">
        <f t="shared" si="9"/>
        <v>5.6574525708308294E-2</v>
      </c>
      <c r="H27" s="12">
        <f t="shared" si="9"/>
        <v>7.1750193435794654E-2</v>
      </c>
      <c r="I27" s="12">
        <f>I26/$E$13</f>
        <v>0.11809903836940538</v>
      </c>
      <c r="J27" s="13"/>
      <c r="K27" s="12"/>
      <c r="L27" s="12"/>
      <c r="M27" s="12"/>
      <c r="N27" s="12"/>
    </row>
    <row r="28" spans="2:14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4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>
      <c r="B30" s="11" t="s">
        <v>72</v>
      </c>
      <c r="C30" s="9"/>
      <c r="D30" s="9"/>
      <c r="E30" s="20">
        <f>E29/$E$13</f>
        <v>0</v>
      </c>
      <c r="F30" s="20">
        <f t="shared" ref="F30:H30" si="10">F29/$E$13</f>
        <v>3.7892585661853391E-2</v>
      </c>
      <c r="G30" s="20">
        <f t="shared" si="10"/>
        <v>2.7102977528877203E-2</v>
      </c>
      <c r="H30" s="20">
        <f t="shared" si="10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>
      <c r="B32" s="57" t="s">
        <v>79</v>
      </c>
      <c r="C32" s="57"/>
      <c r="D32" s="57"/>
      <c r="E32" s="57">
        <f t="shared" ref="E32:N32" si="11">E22</f>
        <v>2020</v>
      </c>
      <c r="F32" s="57">
        <f t="shared" si="11"/>
        <v>2021</v>
      </c>
      <c r="G32" s="57">
        <f t="shared" si="11"/>
        <v>2022</v>
      </c>
      <c r="H32" s="57">
        <f t="shared" si="11"/>
        <v>2023</v>
      </c>
      <c r="I32" s="64">
        <f t="shared" si="11"/>
        <v>2024</v>
      </c>
      <c r="J32" s="57">
        <f t="shared" si="11"/>
        <v>2025</v>
      </c>
      <c r="K32" s="57">
        <f t="shared" si="11"/>
        <v>2026</v>
      </c>
      <c r="L32" s="57">
        <f t="shared" si="11"/>
        <v>2027</v>
      </c>
      <c r="M32" s="57">
        <f t="shared" si="11"/>
        <v>2028</v>
      </c>
      <c r="N32" s="57">
        <f t="shared" si="11"/>
        <v>2029</v>
      </c>
    </row>
    <row r="33" spans="2:14">
      <c r="B33" t="s">
        <v>69</v>
      </c>
      <c r="E33" s="22">
        <f>E13</f>
        <v>264041.09999999998</v>
      </c>
      <c r="F33" s="22">
        <f t="shared" ref="F33:N34" si="12">F13</f>
        <v>252437.9</v>
      </c>
      <c r="G33" s="22">
        <f t="shared" si="12"/>
        <v>281507.3</v>
      </c>
      <c r="H33" s="22">
        <f t="shared" si="12"/>
        <v>350600.2</v>
      </c>
      <c r="I33" s="22">
        <f t="shared" si="12"/>
        <v>434016</v>
      </c>
      <c r="J33" s="22">
        <f t="shared" si="12"/>
        <v>466684.45313952904</v>
      </c>
      <c r="K33" s="22">
        <f t="shared" si="12"/>
        <v>501811.86592692725</v>
      </c>
      <c r="L33" s="22">
        <f t="shared" si="12"/>
        <v>539583.32464479352</v>
      </c>
      <c r="M33" s="22">
        <f t="shared" si="12"/>
        <v>580197.84704956587</v>
      </c>
      <c r="N33" s="22">
        <f t="shared" si="12"/>
        <v>623869.43099576677</v>
      </c>
    </row>
    <row r="34" spans="2:14">
      <c r="B34" s="23" t="s">
        <v>70</v>
      </c>
      <c r="E34" s="24">
        <f>E14</f>
        <v>0</v>
      </c>
      <c r="F34" s="24">
        <f t="shared" si="12"/>
        <v>-4.3944673764803932E-2</v>
      </c>
      <c r="G34" s="24">
        <f t="shared" si="12"/>
        <v>0.11515465783862089</v>
      </c>
      <c r="H34" s="24">
        <f t="shared" si="12"/>
        <v>0.24543910584201556</v>
      </c>
      <c r="I34" s="24">
        <f t="shared" si="12"/>
        <v>0.23792285343818964</v>
      </c>
      <c r="J34" s="24">
        <f t="shared" si="12"/>
        <v>7.5270158564497702E-2</v>
      </c>
      <c r="K34" s="24">
        <f t="shared" si="12"/>
        <v>7.5270158564497702E-2</v>
      </c>
      <c r="L34" s="24">
        <f t="shared" si="12"/>
        <v>7.5270158564497702E-2</v>
      </c>
      <c r="M34" s="24">
        <f t="shared" si="12"/>
        <v>7.527015856449748E-2</v>
      </c>
      <c r="N34" s="24">
        <f t="shared" si="12"/>
        <v>7.527015856449748E-2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7" si="13">F16</f>
        <v>32287.4</v>
      </c>
      <c r="G36" s="22">
        <f t="shared" si="13"/>
        <v>24720.1</v>
      </c>
      <c r="H36" s="22">
        <f t="shared" si="13"/>
        <v>31919.7</v>
      </c>
      <c r="I36" s="22">
        <f t="shared" si="13"/>
        <v>59538.3</v>
      </c>
      <c r="J36" s="22">
        <f t="shared" si="13"/>
        <v>47788.488001487778</v>
      </c>
      <c r="K36" s="22">
        <f t="shared" si="13"/>
        <v>51385.535070917351</v>
      </c>
      <c r="L36" s="22">
        <f t="shared" si="13"/>
        <v>55253.332443626859</v>
      </c>
      <c r="M36" s="22">
        <f t="shared" si="13"/>
        <v>59412.25953787555</v>
      </c>
      <c r="N36" s="22">
        <f t="shared" si="13"/>
        <v>63884.229733966524</v>
      </c>
    </row>
    <row r="37" spans="2:14">
      <c r="B37" s="23" t="s">
        <v>80</v>
      </c>
      <c r="E37" s="24">
        <f>E17</f>
        <v>6.81223491342825E-2</v>
      </c>
      <c r="F37" s="24">
        <f t="shared" si="13"/>
        <v>0.12790234746842691</v>
      </c>
      <c r="G37" s="24">
        <f t="shared" si="13"/>
        <v>8.7813353330446486E-2</v>
      </c>
      <c r="H37" s="24">
        <f t="shared" si="13"/>
        <v>9.1043017088980549E-2</v>
      </c>
      <c r="I37" s="24">
        <f t="shared" si="13"/>
        <v>0.13717996571554966</v>
      </c>
      <c r="J37" s="24">
        <f t="shared" si="13"/>
        <v>0.1024</v>
      </c>
      <c r="K37" s="24">
        <f t="shared" si="13"/>
        <v>0.1024</v>
      </c>
      <c r="L37" s="24">
        <f t="shared" si="13"/>
        <v>0.1024</v>
      </c>
      <c r="M37" s="24">
        <f t="shared" si="13"/>
        <v>0.1024</v>
      </c>
      <c r="N37" s="24">
        <f t="shared" si="13"/>
        <v>0.1024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40" si="14">F19</f>
        <v>2541.9</v>
      </c>
      <c r="G39" s="22">
        <f t="shared" si="14"/>
        <v>4231.3</v>
      </c>
      <c r="H39" s="22">
        <f t="shared" si="14"/>
        <v>704.1</v>
      </c>
      <c r="I39" s="22">
        <f t="shared" si="14"/>
        <v>-3851.6</v>
      </c>
      <c r="J39" s="22">
        <f t="shared" si="14"/>
        <v>11947.122000371945</v>
      </c>
      <c r="K39" s="22">
        <f t="shared" si="14"/>
        <v>12846.383767729338</v>
      </c>
      <c r="L39" s="22">
        <f t="shared" si="14"/>
        <v>13813.333110906715</v>
      </c>
      <c r="M39" s="22">
        <f t="shared" si="14"/>
        <v>14853.064884468888</v>
      </c>
      <c r="N39" s="22">
        <f t="shared" si="14"/>
        <v>15971.057433491631</v>
      </c>
    </row>
    <row r="40" spans="2:14">
      <c r="B40" s="23" t="s">
        <v>74</v>
      </c>
      <c r="E40" s="24">
        <f>E20</f>
        <v>1.4971154111992416E-3</v>
      </c>
      <c r="F40" s="24">
        <f t="shared" si="14"/>
        <v>1.006940716905029E-2</v>
      </c>
      <c r="G40" s="24">
        <f t="shared" si="14"/>
        <v>1.503087131310627E-2</v>
      </c>
      <c r="H40" s="24">
        <f t="shared" si="14"/>
        <v>2.0082703888931039E-3</v>
      </c>
      <c r="I40" s="24">
        <f t="shared" si="14"/>
        <v>-8.8743272137432726E-3</v>
      </c>
      <c r="J40" s="24">
        <f t="shared" si="14"/>
        <v>2.5600000000000001E-2</v>
      </c>
      <c r="K40" s="24">
        <f t="shared" si="14"/>
        <v>2.5600000000000001E-2</v>
      </c>
      <c r="L40" s="24">
        <f t="shared" si="14"/>
        <v>2.5600000000000001E-2</v>
      </c>
      <c r="M40" s="24">
        <f t="shared" si="14"/>
        <v>2.5600000000000001E-2</v>
      </c>
      <c r="N40" s="24">
        <f t="shared" si="14"/>
        <v>2.5600000000000001E-2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35841.366001115835</v>
      </c>
      <c r="K42" s="29">
        <f t="shared" ref="K42:N42" si="15">K36-K39</f>
        <v>38539.151303188017</v>
      </c>
      <c r="L42" s="29">
        <f t="shared" si="15"/>
        <v>41439.999332720145</v>
      </c>
      <c r="M42" s="29">
        <f t="shared" si="15"/>
        <v>44559.194653406666</v>
      </c>
      <c r="N42" s="29">
        <f t="shared" si="15"/>
        <v>47913.172300474893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5" si="16">F23</f>
        <v>23546.7</v>
      </c>
      <c r="G44" s="22">
        <f t="shared" si="16"/>
        <v>24835.7</v>
      </c>
      <c r="H44" s="22">
        <f t="shared" si="16"/>
        <v>24860.400000000001</v>
      </c>
      <c r="I44" s="22">
        <f t="shared" si="16"/>
        <v>27270.1</v>
      </c>
      <c r="J44" s="22">
        <f>J13*9.22%</f>
        <v>43028.306579464581</v>
      </c>
      <c r="K44" s="22">
        <f t="shared" ref="K44:N44" si="17">K13*9.22%</f>
        <v>46267.054038462695</v>
      </c>
      <c r="L44" s="22">
        <f t="shared" si="17"/>
        <v>49749.582532249966</v>
      </c>
      <c r="M44" s="22">
        <f t="shared" si="17"/>
        <v>53494.241497969975</v>
      </c>
      <c r="N44" s="22">
        <f t="shared" si="17"/>
        <v>57520.761537809696</v>
      </c>
    </row>
    <row r="45" spans="2:14">
      <c r="B45" s="23" t="s">
        <v>72</v>
      </c>
      <c r="E45" s="24">
        <f>E24</f>
        <v>8.1144185507483507E-2</v>
      </c>
      <c r="F45" s="24">
        <f t="shared" si="16"/>
        <v>8.917816203613757E-2</v>
      </c>
      <c r="G45" s="24">
        <f t="shared" si="16"/>
        <v>9.4059977783761711E-2</v>
      </c>
      <c r="H45" s="24">
        <f t="shared" si="16"/>
        <v>9.4153523826404309E-2</v>
      </c>
      <c r="I45" s="24">
        <f t="shared" si="16"/>
        <v>0.10327975455336309</v>
      </c>
      <c r="J45" s="31">
        <f>J44/$E$13</f>
        <v>0.16296063976200897</v>
      </c>
      <c r="K45" s="31">
        <f t="shared" ref="K45:N45" si="18">K44/$E$13</f>
        <v>0.17522671295666734</v>
      </c>
      <c r="L45" s="31">
        <f t="shared" si="18"/>
        <v>0.18841605542565143</v>
      </c>
      <c r="M45" s="31">
        <f t="shared" si="18"/>
        <v>0.20259816179363735</v>
      </c>
      <c r="N45" s="31">
        <f t="shared" si="18"/>
        <v>0.21784775755672015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8" si="19">F26</f>
        <v>19855</v>
      </c>
      <c r="G47" s="22">
        <f t="shared" si="19"/>
        <v>14938</v>
      </c>
      <c r="H47" s="22">
        <f t="shared" si="19"/>
        <v>18945</v>
      </c>
      <c r="I47" s="22">
        <f t="shared" si="19"/>
        <v>31183</v>
      </c>
      <c r="J47" s="22">
        <f>J13*8.68%</f>
        <v>40508.210532511119</v>
      </c>
      <c r="K47" s="22">
        <f t="shared" ref="K47:N47" si="20">K13*8.68%</f>
        <v>43557.269962457285</v>
      </c>
      <c r="L47" s="22">
        <f t="shared" si="20"/>
        <v>46835.832579168076</v>
      </c>
      <c r="M47" s="22">
        <f t="shared" si="20"/>
        <v>50361.173123902321</v>
      </c>
      <c r="N47" s="22">
        <f t="shared" si="20"/>
        <v>54151.86661043256</v>
      </c>
    </row>
    <row r="48" spans="2:14">
      <c r="B48" s="23" t="s">
        <v>72</v>
      </c>
      <c r="E48" s="24">
        <f>E27</f>
        <v>0.11184243665096079</v>
      </c>
      <c r="F48" s="24">
        <f t="shared" si="19"/>
        <v>7.5196626585785326E-2</v>
      </c>
      <c r="G48" s="24">
        <f t="shared" si="19"/>
        <v>5.6574525708308294E-2</v>
      </c>
      <c r="H48" s="24">
        <f t="shared" si="19"/>
        <v>7.1750193435794654E-2</v>
      </c>
      <c r="I48" s="24">
        <f t="shared" si="19"/>
        <v>0.11809903836940538</v>
      </c>
      <c r="J48" s="31">
        <f>J47/$E$13</f>
        <v>0.15341630728137068</v>
      </c>
      <c r="K48" s="31">
        <f t="shared" ref="K48:N48" si="21">K47/$E$13</f>
        <v>0.16496397705681914</v>
      </c>
      <c r="L48" s="31">
        <f t="shared" si="21"/>
        <v>0.17738084176731608</v>
      </c>
      <c r="M48" s="31">
        <f t="shared" si="21"/>
        <v>0.19073232585344602</v>
      </c>
      <c r="N48" s="31">
        <f t="shared" si="21"/>
        <v>0.20508877826381031</v>
      </c>
    </row>
    <row r="49" spans="2:14">
      <c r="I49" s="21"/>
    </row>
    <row r="50" spans="2:14">
      <c r="B50" t="s">
        <v>78</v>
      </c>
      <c r="E50" s="32">
        <f>E29</f>
        <v>0</v>
      </c>
      <c r="F50" s="32">
        <f t="shared" ref="F50:I51" si="22">F29</f>
        <v>10005.199999999997</v>
      </c>
      <c r="G50" s="32">
        <f t="shared" si="22"/>
        <v>7156.3000000000175</v>
      </c>
      <c r="H50" s="32">
        <f t="shared" si="22"/>
        <v>206.5</v>
      </c>
      <c r="I50" s="32">
        <f t="shared" si="22"/>
        <v>-1726</v>
      </c>
      <c r="J50" s="33">
        <f>J51*J33</f>
        <v>3320.9563782013552</v>
      </c>
      <c r="K50" s="33">
        <f>K51*K33</f>
        <v>3512.6830614884907</v>
      </c>
      <c r="L50" s="33">
        <f t="shared" ref="L50:N50" si="23">L51*L33</f>
        <v>3777.0832725135547</v>
      </c>
      <c r="M50" s="33">
        <f t="shared" si="23"/>
        <v>4061.3849293469611</v>
      </c>
      <c r="N50" s="33">
        <f t="shared" si="23"/>
        <v>4367.0860169703674</v>
      </c>
    </row>
    <row r="51" spans="2:14">
      <c r="B51" s="23" t="s">
        <v>72</v>
      </c>
      <c r="E51" s="34">
        <f>E30</f>
        <v>0</v>
      </c>
      <c r="F51" s="34">
        <f t="shared" si="22"/>
        <v>3.7892585661853391E-2</v>
      </c>
      <c r="G51" s="34">
        <f t="shared" si="22"/>
        <v>2.7102977528877203E-2</v>
      </c>
      <c r="H51" s="34">
        <f t="shared" si="22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</row>
    <row r="52" spans="2:14">
      <c r="I52" s="35"/>
    </row>
    <row r="53" spans="2:14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35040.50566986794</v>
      </c>
      <c r="K53" s="36">
        <f t="shared" ref="K53:N53" si="24">K42+K44-K47-K50</f>
        <v>37736.252317704937</v>
      </c>
      <c r="L53" s="36">
        <f t="shared" si="24"/>
        <v>40576.666013288479</v>
      </c>
      <c r="M53" s="36">
        <f t="shared" si="24"/>
        <v>43630.878098127352</v>
      </c>
      <c r="N53" s="36">
        <f t="shared" si="24"/>
        <v>46914.981210881662</v>
      </c>
    </row>
    <row r="54" spans="2:14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30657.093173705223</v>
      </c>
      <c r="K54" s="36">
        <f t="shared" ref="K54:N54" si="25">K53/(1+$D$9)^K31</f>
        <v>28885.506352839981</v>
      </c>
      <c r="L54" s="36">
        <f t="shared" si="25"/>
        <v>27174.288830650046</v>
      </c>
      <c r="M54" s="36">
        <f t="shared" si="25"/>
        <v>25564.446211585593</v>
      </c>
      <c r="N54" s="36">
        <f t="shared" si="25"/>
        <v>24049.972905562128</v>
      </c>
    </row>
    <row r="55" spans="2:14">
      <c r="J55" s="37"/>
    </row>
    <row r="56" spans="2:14">
      <c r="B56" t="s">
        <v>84</v>
      </c>
      <c r="J56" s="37"/>
      <c r="N56" s="33">
        <f>(N53*(1+D10))/(D9-D10)</f>
        <v>529787.81131214357</v>
      </c>
    </row>
    <row r="57" spans="2:14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271584.51690477971</v>
      </c>
    </row>
    <row r="58" spans="2:14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407915.8243791227</v>
      </c>
    </row>
    <row r="59" spans="2:14">
      <c r="B59" s="40" t="s">
        <v>87</v>
      </c>
      <c r="N59" s="46">
        <f>BS!F28</f>
        <v>45806.7</v>
      </c>
    </row>
    <row r="60" spans="2:14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4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346458.52437912271</v>
      </c>
    </row>
    <row r="62" spans="2:14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4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904.00136824298158</v>
      </c>
    </row>
  </sheetData>
  <conditionalFormatting sqref="Q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:W10 R5:W5 Q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B809-01F9-423A-86DE-B06CCBE092C8}">
  <dimension ref="B2:AF63"/>
  <sheetViews>
    <sheetView showGridLines="0" topLeftCell="I1" zoomScaleNormal="100" workbookViewId="0">
      <selection activeCell="P9" sqref="P9"/>
    </sheetView>
  </sheetViews>
  <sheetFormatPr defaultRowHeight="15"/>
  <cols>
    <col min="3" max="3" width="13.42578125" bestFit="1" customWidth="1"/>
    <col min="14" max="14" width="11.140625" bestFit="1" customWidth="1"/>
    <col min="17" max="17" width="16.42578125" bestFit="1" customWidth="1"/>
    <col min="18" max="23" width="11" customWidth="1"/>
  </cols>
  <sheetData>
    <row r="2" spans="2:32" ht="21">
      <c r="B2" s="2" t="s">
        <v>108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Q2" s="3"/>
      <c r="R2" s="2" t="s">
        <v>122</v>
      </c>
      <c r="S2" s="3"/>
      <c r="T2" s="55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2:32">
      <c r="B4" t="s">
        <v>59</v>
      </c>
      <c r="C4" s="4" t="s">
        <v>104</v>
      </c>
      <c r="E4" t="s">
        <v>60</v>
      </c>
      <c r="G4" s="48">
        <f>N63</f>
        <v>1061.4699458315538</v>
      </c>
      <c r="M4" s="5"/>
      <c r="Q4" s="73" t="s">
        <v>121</v>
      </c>
    </row>
    <row r="5" spans="2:32">
      <c r="B5" t="s">
        <v>61</v>
      </c>
      <c r="C5" s="6">
        <v>45650</v>
      </c>
      <c r="E5" t="s">
        <v>62</v>
      </c>
      <c r="G5" s="48">
        <v>686.7</v>
      </c>
      <c r="I5" t="s">
        <v>63</v>
      </c>
      <c r="K5" s="7">
        <f>G4/G5-1</f>
        <v>0.54575498155170199</v>
      </c>
      <c r="M5" s="5"/>
      <c r="Q5" s="96">
        <f>N63</f>
        <v>1061.4699458315538</v>
      </c>
      <c r="R5" s="54">
        <v>0.03</v>
      </c>
      <c r="S5" s="54">
        <v>0.04</v>
      </c>
      <c r="T5" s="54">
        <v>0.05</v>
      </c>
      <c r="U5" s="54">
        <v>0.06</v>
      </c>
      <c r="V5" s="54">
        <v>7.0000000000000007E-2</v>
      </c>
      <c r="W5" s="54">
        <v>0.08</v>
      </c>
    </row>
    <row r="6" spans="2:32">
      <c r="Q6" s="54">
        <v>0.12</v>
      </c>
      <c r="R6" s="53">
        <f t="dataTable" ref="R6:W10" dt2D="1" dtr="1" r1="D10" r2="D9" ca="1"/>
        <v>1186.6850448396644</v>
      </c>
      <c r="S6" s="53">
        <v>1312.8785386042941</v>
      </c>
      <c r="T6" s="53">
        <v>1475.1273163016747</v>
      </c>
      <c r="U6" s="53">
        <v>1691.4590198981821</v>
      </c>
      <c r="V6" s="53">
        <v>1994.3234049332932</v>
      </c>
      <c r="W6" s="53">
        <v>2448.6199824859591</v>
      </c>
    </row>
    <row r="7" spans="2:32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Q7" s="54">
        <v>0.13</v>
      </c>
      <c r="R7" s="53">
        <v>1046.6104298607931</v>
      </c>
      <c r="S7" s="53">
        <v>1144.0387620100923</v>
      </c>
      <c r="T7" s="53">
        <v>1265.8241771967166</v>
      </c>
      <c r="U7" s="53">
        <v>1422.4054252938045</v>
      </c>
      <c r="V7" s="53">
        <v>1631.1804227565885</v>
      </c>
      <c r="W7" s="53">
        <v>1923.4654192044864</v>
      </c>
    </row>
    <row r="8" spans="2:32">
      <c r="B8" s="1" t="s">
        <v>65</v>
      </c>
      <c r="Q8" s="54">
        <v>0.14000000000000001</v>
      </c>
      <c r="R8" s="53">
        <v>932.1663949991148</v>
      </c>
      <c r="S8" s="53">
        <v>1009.1200870227821</v>
      </c>
      <c r="T8" s="53">
        <v>1103.1745994961532</v>
      </c>
      <c r="U8" s="53">
        <v>1220.7427400878667</v>
      </c>
      <c r="V8" s="53">
        <v>1371.9017779914989</v>
      </c>
      <c r="W8" s="53">
        <v>1573.4471618630082</v>
      </c>
    </row>
    <row r="9" spans="2:32">
      <c r="B9" t="s">
        <v>66</v>
      </c>
      <c r="D9" s="8">
        <f>WACC!D23</f>
        <v>0.14298200000000003</v>
      </c>
      <c r="Q9" s="54">
        <v>0.15</v>
      </c>
      <c r="R9" s="53">
        <v>836.93874409941077</v>
      </c>
      <c r="S9" s="53">
        <v>898.86520471711094</v>
      </c>
      <c r="T9" s="53">
        <v>973.17695745835135</v>
      </c>
      <c r="U9" s="53">
        <v>1064.0024330309784</v>
      </c>
      <c r="V9" s="53">
        <v>1177.5342774967619</v>
      </c>
      <c r="W9" s="53">
        <v>1323.5037918099124</v>
      </c>
    </row>
    <row r="10" spans="2:32">
      <c r="B10" t="s">
        <v>67</v>
      </c>
      <c r="D10" s="8">
        <v>0.05</v>
      </c>
      <c r="O10" s="43"/>
      <c r="Q10" s="54">
        <v>0.16</v>
      </c>
      <c r="R10" s="53">
        <v>756.48720389953985</v>
      </c>
      <c r="S10" s="53">
        <v>807.10287461820133</v>
      </c>
      <c r="T10" s="53">
        <v>866.92139455843756</v>
      </c>
      <c r="U10" s="53">
        <v>938.70361848672098</v>
      </c>
      <c r="V10" s="53">
        <v>1026.4374477324009</v>
      </c>
      <c r="W10" s="53">
        <v>1136.1047342895004</v>
      </c>
    </row>
    <row r="11" spans="2:32">
      <c r="J11">
        <v>1</v>
      </c>
      <c r="K11">
        <f>J11+1</f>
        <v>2</v>
      </c>
      <c r="L11">
        <f t="shared" ref="L11:N12" si="0">K11+1</f>
        <v>3</v>
      </c>
      <c r="M11">
        <f t="shared" si="0"/>
        <v>4</v>
      </c>
      <c r="N11">
        <f t="shared" si="0"/>
        <v>5</v>
      </c>
    </row>
    <row r="12" spans="2:32">
      <c r="B12" s="57" t="s">
        <v>68</v>
      </c>
      <c r="C12" s="57"/>
      <c r="D12" s="57"/>
      <c r="E12" s="57">
        <v>2020</v>
      </c>
      <c r="F12" s="57">
        <f>E12+1</f>
        <v>2021</v>
      </c>
      <c r="G12" s="57">
        <f t="shared" ref="G12:K12" si="1">F12+1</f>
        <v>2022</v>
      </c>
      <c r="H12" s="57">
        <f t="shared" si="1"/>
        <v>2023</v>
      </c>
      <c r="I12" s="57">
        <f t="shared" si="1"/>
        <v>2024</v>
      </c>
      <c r="J12" s="57">
        <f t="shared" si="1"/>
        <v>2025</v>
      </c>
      <c r="K12" s="57">
        <f t="shared" si="1"/>
        <v>2026</v>
      </c>
      <c r="L12" s="57">
        <f t="shared" si="0"/>
        <v>2027</v>
      </c>
      <c r="M12" s="57">
        <f t="shared" si="0"/>
        <v>2028</v>
      </c>
      <c r="N12" s="57">
        <f t="shared" si="0"/>
        <v>2029</v>
      </c>
    </row>
    <row r="13" spans="2:32">
      <c r="B13" s="9" t="s">
        <v>69</v>
      </c>
      <c r="C13" s="9"/>
      <c r="D13" s="9"/>
      <c r="E13" s="10">
        <f>IS!B2</f>
        <v>264041.09999999998</v>
      </c>
      <c r="F13" s="10">
        <f>IS!C2</f>
        <v>252437.9</v>
      </c>
      <c r="G13" s="10">
        <f>IS!D2</f>
        <v>281507.3</v>
      </c>
      <c r="H13" s="10">
        <f>IS!E2</f>
        <v>350600.2</v>
      </c>
      <c r="I13" s="10">
        <f>IS!F2</f>
        <v>434016</v>
      </c>
      <c r="J13" s="10">
        <f>'Linear regression'!I6</f>
        <v>483097.14999999991</v>
      </c>
      <c r="K13" s="10">
        <f>'Linear regression'!J6</f>
        <v>544479.87</v>
      </c>
      <c r="L13" s="10">
        <f>'Linear regression'!K6</f>
        <v>605862.59</v>
      </c>
      <c r="M13" s="10">
        <f>'Linear regression'!L6</f>
        <v>667245.30999999994</v>
      </c>
      <c r="N13" s="10">
        <f>'Linear regression'!M6</f>
        <v>728628.02999999991</v>
      </c>
    </row>
    <row r="14" spans="2:32">
      <c r="B14" s="11" t="s">
        <v>70</v>
      </c>
      <c r="C14" s="9"/>
      <c r="D14" s="9"/>
      <c r="E14" s="12"/>
      <c r="F14" s="12">
        <f>F13/E13-1</f>
        <v>-4.3944673764803932E-2</v>
      </c>
      <c r="G14" s="12">
        <f t="shared" ref="G14:I14" si="2">G13/F13-1</f>
        <v>0.11515465783862089</v>
      </c>
      <c r="H14" s="12">
        <f t="shared" si="2"/>
        <v>0.24543910584201556</v>
      </c>
      <c r="I14" s="12">
        <f t="shared" si="2"/>
        <v>0.23792285343818964</v>
      </c>
      <c r="J14" s="12">
        <f t="shared" ref="J14" si="3">J13/I13-1</f>
        <v>0.11308603830273523</v>
      </c>
      <c r="K14" s="12">
        <f t="shared" ref="K14" si="4">K13/J13-1</f>
        <v>0.12706081996136831</v>
      </c>
      <c r="L14" s="12">
        <f t="shared" ref="L14" si="5">L13/K13-1</f>
        <v>0.1127364359677796</v>
      </c>
      <c r="M14" s="12">
        <f t="shared" ref="M14" si="6">M13/L13-1</f>
        <v>0.10131459016144229</v>
      </c>
      <c r="N14" s="12">
        <f t="shared" ref="N14" si="7">N13/M13-1</f>
        <v>9.1994232226225714E-2</v>
      </c>
    </row>
    <row r="15" spans="2:32">
      <c r="B15" s="14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</row>
    <row r="16" spans="2:32">
      <c r="B16" s="9" t="s">
        <v>71</v>
      </c>
      <c r="C16" s="9"/>
      <c r="D16" s="9"/>
      <c r="E16" s="10">
        <f>IS!B4</f>
        <v>17987.099999999999</v>
      </c>
      <c r="F16" s="10">
        <f>IS!C4</f>
        <v>32287.4</v>
      </c>
      <c r="G16" s="10">
        <f>IS!D4</f>
        <v>24720.1</v>
      </c>
      <c r="H16" s="10">
        <f>IS!E4</f>
        <v>31919.7</v>
      </c>
      <c r="I16" s="10">
        <f>IS!F4</f>
        <v>59538.3</v>
      </c>
      <c r="J16" s="10">
        <f>J13*10.24%</f>
        <v>49469.14815999999</v>
      </c>
      <c r="K16" s="10">
        <f t="shared" ref="K16:N16" si="8">K13*10.24%</f>
        <v>55754.738688000005</v>
      </c>
      <c r="L16" s="10">
        <f t="shared" si="8"/>
        <v>62040.329215999998</v>
      </c>
      <c r="M16" s="10">
        <f t="shared" si="8"/>
        <v>68325.919743999999</v>
      </c>
      <c r="N16" s="10">
        <f t="shared" si="8"/>
        <v>74611.510272</v>
      </c>
    </row>
    <row r="17" spans="2:14">
      <c r="B17" s="11" t="s">
        <v>72</v>
      </c>
      <c r="C17" s="9"/>
      <c r="D17" s="9"/>
      <c r="E17" s="12">
        <f>E16/E13</f>
        <v>6.81223491342825E-2</v>
      </c>
      <c r="F17" s="12">
        <f t="shared" ref="F17:N17" si="9">F16/F13</f>
        <v>0.12790234746842691</v>
      </c>
      <c r="G17" s="12">
        <f t="shared" si="9"/>
        <v>8.7813353330446486E-2</v>
      </c>
      <c r="H17" s="12">
        <f t="shared" si="9"/>
        <v>9.1043017088980549E-2</v>
      </c>
      <c r="I17" s="12">
        <f t="shared" si="9"/>
        <v>0.13717996571554966</v>
      </c>
      <c r="J17" s="12">
        <f t="shared" si="9"/>
        <v>0.1024</v>
      </c>
      <c r="K17" s="12">
        <f t="shared" si="9"/>
        <v>0.1024</v>
      </c>
      <c r="L17" s="12">
        <f t="shared" si="9"/>
        <v>0.1024</v>
      </c>
      <c r="M17" s="12">
        <f t="shared" si="9"/>
        <v>0.1024</v>
      </c>
      <c r="N17" s="12">
        <f t="shared" si="9"/>
        <v>0.1024</v>
      </c>
    </row>
    <row r="18" spans="2:14"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</row>
    <row r="19" spans="2:14">
      <c r="B19" s="9" t="s">
        <v>73</v>
      </c>
      <c r="C19" s="9"/>
      <c r="D19" s="9"/>
      <c r="E19" s="10">
        <f>IS!B12</f>
        <v>395.3</v>
      </c>
      <c r="F19" s="10">
        <f>IS!C12</f>
        <v>2541.9</v>
      </c>
      <c r="G19" s="10">
        <f>IS!D12</f>
        <v>4231.3</v>
      </c>
      <c r="H19" s="10">
        <f>IS!E12</f>
        <v>704.1</v>
      </c>
      <c r="I19" s="10">
        <f>IS!F12</f>
        <v>-3851.6</v>
      </c>
      <c r="J19" s="10">
        <f>J16*25%</f>
        <v>12367.287039999997</v>
      </c>
      <c r="K19" s="10">
        <f t="shared" ref="K19:N19" si="10">K16*25%</f>
        <v>13938.684672000001</v>
      </c>
      <c r="L19" s="10">
        <f t="shared" si="10"/>
        <v>15510.082304</v>
      </c>
      <c r="M19" s="10">
        <f t="shared" si="10"/>
        <v>17081.479936</v>
      </c>
      <c r="N19" s="10">
        <f t="shared" si="10"/>
        <v>18652.877568</v>
      </c>
    </row>
    <row r="20" spans="2:14">
      <c r="B20" s="11" t="s">
        <v>74</v>
      </c>
      <c r="C20" s="9"/>
      <c r="D20" s="9"/>
      <c r="E20" s="12">
        <f>E19/E13</f>
        <v>1.4971154111992416E-3</v>
      </c>
      <c r="F20" s="12">
        <f t="shared" ref="F20:N20" si="11">F19/F13</f>
        <v>1.006940716905029E-2</v>
      </c>
      <c r="G20" s="12">
        <f t="shared" si="11"/>
        <v>1.503087131310627E-2</v>
      </c>
      <c r="H20" s="12">
        <f t="shared" si="11"/>
        <v>2.0082703888931039E-3</v>
      </c>
      <c r="I20" s="12">
        <f t="shared" si="11"/>
        <v>-8.8743272137432726E-3</v>
      </c>
      <c r="J20" s="12">
        <f t="shared" si="11"/>
        <v>2.5600000000000001E-2</v>
      </c>
      <c r="K20" s="12">
        <f t="shared" si="11"/>
        <v>2.5600000000000001E-2</v>
      </c>
      <c r="L20" s="12">
        <f t="shared" si="11"/>
        <v>2.5600000000000001E-2</v>
      </c>
      <c r="M20" s="12">
        <f t="shared" si="11"/>
        <v>2.5600000000000001E-2</v>
      </c>
      <c r="N20" s="12">
        <f t="shared" si="11"/>
        <v>2.5600000000000001E-2</v>
      </c>
    </row>
    <row r="21" spans="2:14"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</row>
    <row r="22" spans="2:14">
      <c r="B22" s="57" t="s">
        <v>75</v>
      </c>
      <c r="C22" s="57"/>
      <c r="D22" s="57"/>
      <c r="E22" s="57">
        <f>E12</f>
        <v>2020</v>
      </c>
      <c r="F22" s="57">
        <f t="shared" ref="F22:N22" si="12">F12</f>
        <v>2021</v>
      </c>
      <c r="G22" s="57">
        <f t="shared" si="12"/>
        <v>2022</v>
      </c>
      <c r="H22" s="57">
        <f t="shared" si="12"/>
        <v>2023</v>
      </c>
      <c r="I22" s="57">
        <f t="shared" si="12"/>
        <v>2024</v>
      </c>
      <c r="J22" s="57">
        <f t="shared" si="12"/>
        <v>2025</v>
      </c>
      <c r="K22" s="57">
        <f t="shared" si="12"/>
        <v>2026</v>
      </c>
      <c r="L22" s="57">
        <f t="shared" si="12"/>
        <v>2027</v>
      </c>
      <c r="M22" s="57">
        <f t="shared" si="12"/>
        <v>2028</v>
      </c>
      <c r="N22" s="57">
        <f t="shared" si="12"/>
        <v>2029</v>
      </c>
    </row>
    <row r="23" spans="2:14">
      <c r="B23" s="9" t="s">
        <v>76</v>
      </c>
      <c r="C23" s="9"/>
      <c r="D23" s="9"/>
      <c r="E23" s="10">
        <f>IS!B10</f>
        <v>21425.4</v>
      </c>
      <c r="F23" s="10">
        <f>IS!C10</f>
        <v>23546.7</v>
      </c>
      <c r="G23" s="10">
        <f>IS!D10</f>
        <v>24835.7</v>
      </c>
      <c r="H23" s="10">
        <f>IS!E10</f>
        <v>24860.400000000001</v>
      </c>
      <c r="I23" s="10">
        <f>IS!F10</f>
        <v>27270.1</v>
      </c>
      <c r="J23" s="16"/>
      <c r="K23" s="16"/>
      <c r="L23" s="16"/>
      <c r="M23" s="16"/>
      <c r="N23" s="16"/>
    </row>
    <row r="24" spans="2:14">
      <c r="B24" s="11" t="s">
        <v>72</v>
      </c>
      <c r="C24" s="9"/>
      <c r="D24" s="9"/>
      <c r="E24" s="12">
        <f>E23/$E$13</f>
        <v>8.1144185507483507E-2</v>
      </c>
      <c r="F24" s="12">
        <f t="shared" ref="F24:H24" si="13">F23/$E$13</f>
        <v>8.917816203613757E-2</v>
      </c>
      <c r="G24" s="12">
        <f t="shared" si="13"/>
        <v>9.4059977783761711E-2</v>
      </c>
      <c r="H24" s="12">
        <f t="shared" si="13"/>
        <v>9.4153523826404309E-2</v>
      </c>
      <c r="I24" s="12">
        <f>I23/$E$13</f>
        <v>0.10327975455336309</v>
      </c>
      <c r="J24" s="13"/>
      <c r="K24" s="12"/>
      <c r="L24" s="12"/>
      <c r="M24" s="12"/>
      <c r="N24" s="12"/>
    </row>
    <row r="25" spans="2:14">
      <c r="B25" s="9"/>
      <c r="C25" s="9"/>
      <c r="D25" s="9"/>
      <c r="E25" s="17"/>
      <c r="F25" s="17"/>
      <c r="G25" s="17"/>
      <c r="H25" s="17"/>
      <c r="I25" s="18"/>
      <c r="J25" s="17"/>
      <c r="K25" s="17"/>
      <c r="L25" s="17"/>
      <c r="M25" s="17"/>
      <c r="N25" s="17"/>
    </row>
    <row r="26" spans="2:14">
      <c r="B26" s="9" t="s">
        <v>77</v>
      </c>
      <c r="C26" s="9"/>
      <c r="D26" s="9"/>
      <c r="E26" s="10">
        <f>' CapEx &amp; NWC Forecast'!C6</f>
        <v>29531</v>
      </c>
      <c r="F26" s="10">
        <f>' CapEx &amp; NWC Forecast'!D6</f>
        <v>19855</v>
      </c>
      <c r="G26" s="10">
        <f>' CapEx &amp; NWC Forecast'!E6</f>
        <v>14938</v>
      </c>
      <c r="H26" s="10">
        <f>' CapEx &amp; NWC Forecast'!F6</f>
        <v>18945</v>
      </c>
      <c r="I26" s="10">
        <f>' CapEx &amp; NWC Forecast'!G6</f>
        <v>31183</v>
      </c>
      <c r="J26" s="16"/>
      <c r="K26" s="16"/>
      <c r="L26" s="16"/>
      <c r="M26" s="16"/>
      <c r="N26" s="16"/>
    </row>
    <row r="27" spans="2:14">
      <c r="B27" s="11" t="s">
        <v>72</v>
      </c>
      <c r="C27" s="9"/>
      <c r="D27" s="9"/>
      <c r="E27" s="12">
        <f>E26/$E$13</f>
        <v>0.11184243665096079</v>
      </c>
      <c r="F27" s="12">
        <f t="shared" ref="F27:H27" si="14">F26/$E$13</f>
        <v>7.5196626585785326E-2</v>
      </c>
      <c r="G27" s="12">
        <f t="shared" si="14"/>
        <v>5.6574525708308294E-2</v>
      </c>
      <c r="H27" s="12">
        <f t="shared" si="14"/>
        <v>7.1750193435794654E-2</v>
      </c>
      <c r="I27" s="12">
        <f>I26/$E$13</f>
        <v>0.11809903836940538</v>
      </c>
      <c r="J27" s="13"/>
      <c r="K27" s="12"/>
      <c r="L27" s="12"/>
      <c r="M27" s="12"/>
      <c r="N27" s="12"/>
    </row>
    <row r="28" spans="2:14">
      <c r="B28" s="9"/>
      <c r="C28" s="9"/>
      <c r="D28" s="9"/>
      <c r="E28" s="17"/>
      <c r="F28" s="17"/>
      <c r="G28" s="17"/>
      <c r="H28" s="17"/>
      <c r="I28" s="18"/>
      <c r="J28" s="17"/>
      <c r="K28" s="45"/>
      <c r="L28" s="17"/>
      <c r="M28" s="17"/>
      <c r="N28" s="17"/>
    </row>
    <row r="29" spans="2:14">
      <c r="B29" s="9" t="s">
        <v>78</v>
      </c>
      <c r="C29" s="9"/>
      <c r="D29" s="9"/>
      <c r="E29" s="19">
        <v>0</v>
      </c>
      <c r="F29" s="19">
        <f>' CapEx &amp; NWC Forecast'!L8</f>
        <v>10005.199999999997</v>
      </c>
      <c r="G29" s="19">
        <f>' CapEx &amp; NWC Forecast'!M8</f>
        <v>7156.3000000000175</v>
      </c>
      <c r="H29" s="19">
        <f>' CapEx &amp; NWC Forecast'!N8</f>
        <v>206.5</v>
      </c>
      <c r="I29" s="19">
        <f>' CapEx &amp; NWC Forecast'!O8</f>
        <v>-1726</v>
      </c>
      <c r="J29" s="17"/>
      <c r="K29" s="17"/>
      <c r="L29" s="17"/>
      <c r="M29" s="17"/>
      <c r="N29" s="17"/>
    </row>
    <row r="30" spans="2:14">
      <c r="B30" s="11" t="s">
        <v>72</v>
      </c>
      <c r="C30" s="9"/>
      <c r="D30" s="9"/>
      <c r="E30" s="20">
        <f>E29/$E$13</f>
        <v>0</v>
      </c>
      <c r="F30" s="20">
        <f t="shared" ref="F30:H30" si="15">F29/$E$13</f>
        <v>3.7892585661853391E-2</v>
      </c>
      <c r="G30" s="20">
        <f t="shared" si="15"/>
        <v>2.7102977528877203E-2</v>
      </c>
      <c r="H30" s="20">
        <f t="shared" si="15"/>
        <v>7.8207521480557385E-4</v>
      </c>
      <c r="I30" s="20">
        <f>I29/$E$13</f>
        <v>-6.5368611174548208E-3</v>
      </c>
      <c r="J30" s="13"/>
      <c r="K30" s="12"/>
      <c r="L30" s="12"/>
      <c r="M30" s="12"/>
      <c r="N30" s="12"/>
    </row>
    <row r="31" spans="2:14">
      <c r="I31" s="21"/>
      <c r="J31">
        <v>1</v>
      </c>
      <c r="K31">
        <v>2</v>
      </c>
      <c r="L31">
        <v>3</v>
      </c>
      <c r="M31">
        <v>4</v>
      </c>
      <c r="N31">
        <v>5</v>
      </c>
    </row>
    <row r="32" spans="2:14">
      <c r="B32" s="57" t="s">
        <v>79</v>
      </c>
      <c r="C32" s="57"/>
      <c r="D32" s="57"/>
      <c r="E32" s="57">
        <f t="shared" ref="E32:N32" si="16">E22</f>
        <v>2020</v>
      </c>
      <c r="F32" s="57">
        <f t="shared" si="16"/>
        <v>2021</v>
      </c>
      <c r="G32" s="57">
        <f t="shared" si="16"/>
        <v>2022</v>
      </c>
      <c r="H32" s="57">
        <f t="shared" si="16"/>
        <v>2023</v>
      </c>
      <c r="I32" s="64">
        <f t="shared" si="16"/>
        <v>2024</v>
      </c>
      <c r="J32" s="57">
        <f t="shared" si="16"/>
        <v>2025</v>
      </c>
      <c r="K32" s="57">
        <f t="shared" si="16"/>
        <v>2026</v>
      </c>
      <c r="L32" s="57">
        <f t="shared" si="16"/>
        <v>2027</v>
      </c>
      <c r="M32" s="57">
        <f t="shared" si="16"/>
        <v>2028</v>
      </c>
      <c r="N32" s="57">
        <f t="shared" si="16"/>
        <v>2029</v>
      </c>
    </row>
    <row r="33" spans="2:14">
      <c r="B33" t="s">
        <v>69</v>
      </c>
      <c r="E33" s="22">
        <f>E13</f>
        <v>264041.09999999998</v>
      </c>
      <c r="F33" s="22">
        <f t="shared" ref="F33:N33" si="17">F13</f>
        <v>252437.9</v>
      </c>
      <c r="G33" s="22">
        <f t="shared" si="17"/>
        <v>281507.3</v>
      </c>
      <c r="H33" s="22">
        <f t="shared" si="17"/>
        <v>350600.2</v>
      </c>
      <c r="I33" s="22">
        <f t="shared" si="17"/>
        <v>434016</v>
      </c>
      <c r="J33" s="22">
        <f t="shared" si="17"/>
        <v>483097.14999999991</v>
      </c>
      <c r="K33" s="22">
        <f t="shared" si="17"/>
        <v>544479.87</v>
      </c>
      <c r="L33" s="22">
        <f t="shared" si="17"/>
        <v>605862.59</v>
      </c>
      <c r="M33" s="22">
        <f t="shared" si="17"/>
        <v>667245.30999999994</v>
      </c>
      <c r="N33" s="22">
        <f t="shared" si="17"/>
        <v>728628.02999999991</v>
      </c>
    </row>
    <row r="34" spans="2:14">
      <c r="B34" s="23" t="s">
        <v>70</v>
      </c>
      <c r="E34" s="24">
        <f>E14</f>
        <v>0</v>
      </c>
      <c r="F34" s="24">
        <f t="shared" ref="F34:N34" si="18">F14</f>
        <v>-4.3944673764803932E-2</v>
      </c>
      <c r="G34" s="24">
        <f t="shared" si="18"/>
        <v>0.11515465783862089</v>
      </c>
      <c r="H34" s="24">
        <f t="shared" si="18"/>
        <v>0.24543910584201556</v>
      </c>
      <c r="I34" s="24">
        <f t="shared" si="18"/>
        <v>0.23792285343818964</v>
      </c>
      <c r="J34" s="24">
        <f t="shared" si="18"/>
        <v>0.11308603830273523</v>
      </c>
      <c r="K34" s="24">
        <f t="shared" si="18"/>
        <v>0.12706081996136831</v>
      </c>
      <c r="L34" s="24">
        <f t="shared" si="18"/>
        <v>0.1127364359677796</v>
      </c>
      <c r="M34" s="24">
        <f t="shared" si="18"/>
        <v>0.10131459016144229</v>
      </c>
      <c r="N34" s="24">
        <f t="shared" si="18"/>
        <v>9.1994232226225714E-2</v>
      </c>
    </row>
    <row r="35" spans="2:14">
      <c r="I35" s="21"/>
    </row>
    <row r="36" spans="2:14">
      <c r="B36" t="s">
        <v>71</v>
      </c>
      <c r="E36" s="22">
        <f>E16</f>
        <v>17987.099999999999</v>
      </c>
      <c r="F36" s="22">
        <f t="shared" ref="F36:N36" si="19">F16</f>
        <v>32287.4</v>
      </c>
      <c r="G36" s="22">
        <f t="shared" si="19"/>
        <v>24720.1</v>
      </c>
      <c r="H36" s="22">
        <f t="shared" si="19"/>
        <v>31919.7</v>
      </c>
      <c r="I36" s="22">
        <f t="shared" si="19"/>
        <v>59538.3</v>
      </c>
      <c r="J36" s="22">
        <f t="shared" si="19"/>
        <v>49469.14815999999</v>
      </c>
      <c r="K36" s="22">
        <f t="shared" si="19"/>
        <v>55754.738688000005</v>
      </c>
      <c r="L36" s="22">
        <f t="shared" si="19"/>
        <v>62040.329215999998</v>
      </c>
      <c r="M36" s="22">
        <f t="shared" si="19"/>
        <v>68325.919743999999</v>
      </c>
      <c r="N36" s="22">
        <f t="shared" si="19"/>
        <v>74611.510272</v>
      </c>
    </row>
    <row r="37" spans="2:14">
      <c r="B37" s="23" t="s">
        <v>80</v>
      </c>
      <c r="E37" s="24">
        <f>E17</f>
        <v>6.81223491342825E-2</v>
      </c>
      <c r="F37" s="24">
        <f t="shared" ref="F37:N37" si="20">F17</f>
        <v>0.12790234746842691</v>
      </c>
      <c r="G37" s="24">
        <f t="shared" si="20"/>
        <v>8.7813353330446486E-2</v>
      </c>
      <c r="H37" s="24">
        <f t="shared" si="20"/>
        <v>9.1043017088980549E-2</v>
      </c>
      <c r="I37" s="24">
        <f t="shared" si="20"/>
        <v>0.13717996571554966</v>
      </c>
      <c r="J37" s="24">
        <f t="shared" si="20"/>
        <v>0.1024</v>
      </c>
      <c r="K37" s="24">
        <f t="shared" si="20"/>
        <v>0.1024</v>
      </c>
      <c r="L37" s="24">
        <f t="shared" si="20"/>
        <v>0.1024</v>
      </c>
      <c r="M37" s="24">
        <f t="shared" si="20"/>
        <v>0.1024</v>
      </c>
      <c r="N37" s="24">
        <f t="shared" si="20"/>
        <v>0.1024</v>
      </c>
    </row>
    <row r="38" spans="2:14">
      <c r="I38" s="21"/>
      <c r="K38" s="25"/>
      <c r="L38" s="25"/>
    </row>
    <row r="39" spans="2:14">
      <c r="B39" t="s">
        <v>73</v>
      </c>
      <c r="E39" s="22">
        <f>E19</f>
        <v>395.3</v>
      </c>
      <c r="F39" s="22">
        <f t="shared" ref="F39:N39" si="21">F19</f>
        <v>2541.9</v>
      </c>
      <c r="G39" s="22">
        <f t="shared" si="21"/>
        <v>4231.3</v>
      </c>
      <c r="H39" s="22">
        <f t="shared" si="21"/>
        <v>704.1</v>
      </c>
      <c r="I39" s="22">
        <f t="shared" si="21"/>
        <v>-3851.6</v>
      </c>
      <c r="J39" s="22">
        <f t="shared" si="21"/>
        <v>12367.287039999997</v>
      </c>
      <c r="K39" s="22">
        <f t="shared" si="21"/>
        <v>13938.684672000001</v>
      </c>
      <c r="L39" s="22">
        <f t="shared" si="21"/>
        <v>15510.082304</v>
      </c>
      <c r="M39" s="22">
        <f t="shared" si="21"/>
        <v>17081.479936</v>
      </c>
      <c r="N39" s="22">
        <f t="shared" si="21"/>
        <v>18652.877568</v>
      </c>
    </row>
    <row r="40" spans="2:14">
      <c r="B40" s="23" t="s">
        <v>74</v>
      </c>
      <c r="E40" s="24">
        <f>E20</f>
        <v>1.4971154111992416E-3</v>
      </c>
      <c r="F40" s="24">
        <f t="shared" ref="F40:N40" si="22">F20</f>
        <v>1.006940716905029E-2</v>
      </c>
      <c r="G40" s="24">
        <f t="shared" si="22"/>
        <v>1.503087131310627E-2</v>
      </c>
      <c r="H40" s="24">
        <f t="shared" si="22"/>
        <v>2.0082703888931039E-3</v>
      </c>
      <c r="I40" s="24">
        <f t="shared" si="22"/>
        <v>-8.8743272137432726E-3</v>
      </c>
      <c r="J40" s="24">
        <f t="shared" si="22"/>
        <v>2.5600000000000001E-2</v>
      </c>
      <c r="K40" s="24">
        <f t="shared" si="22"/>
        <v>2.5600000000000001E-2</v>
      </c>
      <c r="L40" s="24">
        <f t="shared" si="22"/>
        <v>2.5600000000000001E-2</v>
      </c>
      <c r="M40" s="24">
        <f t="shared" si="22"/>
        <v>2.5600000000000001E-2</v>
      </c>
      <c r="N40" s="24">
        <f t="shared" si="22"/>
        <v>2.5600000000000001E-2</v>
      </c>
    </row>
    <row r="41" spans="2:14">
      <c r="I41" s="21"/>
    </row>
    <row r="42" spans="2:14">
      <c r="B42" s="26" t="s">
        <v>81</v>
      </c>
      <c r="C42" s="27"/>
      <c r="D42" s="27"/>
      <c r="E42" s="27"/>
      <c r="F42" s="27"/>
      <c r="G42" s="27"/>
      <c r="H42" s="27"/>
      <c r="I42" s="28"/>
      <c r="J42" s="29">
        <f>J36-J39</f>
        <v>37101.861119999994</v>
      </c>
      <c r="K42" s="29">
        <f t="shared" ref="K42:N42" si="23">K36-K39</f>
        <v>41816.054016000002</v>
      </c>
      <c r="L42" s="29">
        <f t="shared" si="23"/>
        <v>46530.246912000002</v>
      </c>
      <c r="M42" s="29">
        <f t="shared" si="23"/>
        <v>51244.439807999996</v>
      </c>
      <c r="N42" s="29">
        <f t="shared" si="23"/>
        <v>55958.632704000003</v>
      </c>
    </row>
    <row r="43" spans="2:14">
      <c r="I43" s="21"/>
      <c r="K43" s="30"/>
    </row>
    <row r="44" spans="2:14">
      <c r="B44" t="s">
        <v>76</v>
      </c>
      <c r="E44" s="22">
        <f>E23</f>
        <v>21425.4</v>
      </c>
      <c r="F44" s="22">
        <f t="shared" ref="F44:I44" si="24">F23</f>
        <v>23546.7</v>
      </c>
      <c r="G44" s="22">
        <f t="shared" si="24"/>
        <v>24835.7</v>
      </c>
      <c r="H44" s="22">
        <f t="shared" si="24"/>
        <v>24860.400000000001</v>
      </c>
      <c r="I44" s="22">
        <f t="shared" si="24"/>
        <v>27270.1</v>
      </c>
      <c r="J44" s="22">
        <f>J13*9.22%</f>
        <v>44541.557229999991</v>
      </c>
      <c r="K44" s="22">
        <f t="shared" ref="K44:N44" si="25">K13*9.22%</f>
        <v>50201.044013999999</v>
      </c>
      <c r="L44" s="22">
        <f t="shared" si="25"/>
        <v>55860.530798</v>
      </c>
      <c r="M44" s="22">
        <f t="shared" si="25"/>
        <v>61520.017582</v>
      </c>
      <c r="N44" s="22">
        <f t="shared" si="25"/>
        <v>67179.504365999994</v>
      </c>
    </row>
    <row r="45" spans="2:14">
      <c r="B45" s="23" t="s">
        <v>72</v>
      </c>
      <c r="E45" s="24">
        <f>E24</f>
        <v>8.1144185507483507E-2</v>
      </c>
      <c r="F45" s="24">
        <f t="shared" ref="F45:I45" si="26">F24</f>
        <v>8.917816203613757E-2</v>
      </c>
      <c r="G45" s="24">
        <f t="shared" si="26"/>
        <v>9.4059977783761711E-2</v>
      </c>
      <c r="H45" s="24">
        <f t="shared" si="26"/>
        <v>9.4153523826404309E-2</v>
      </c>
      <c r="I45" s="24">
        <f t="shared" si="26"/>
        <v>0.10327975455336309</v>
      </c>
      <c r="J45" s="31">
        <f>J44/$E$13</f>
        <v>0.1686917575710751</v>
      </c>
      <c r="K45" s="31">
        <f t="shared" ref="K45:N45" si="27">K44/$E$13</f>
        <v>0.19012587060878025</v>
      </c>
      <c r="L45" s="31">
        <f t="shared" si="27"/>
        <v>0.21155998364648534</v>
      </c>
      <c r="M45" s="31">
        <f t="shared" si="27"/>
        <v>0.23299409668419047</v>
      </c>
      <c r="N45" s="31">
        <f t="shared" si="27"/>
        <v>0.25442820972189556</v>
      </c>
    </row>
    <row r="46" spans="2:14">
      <c r="I46" s="21"/>
    </row>
    <row r="47" spans="2:14">
      <c r="B47" t="s">
        <v>77</v>
      </c>
      <c r="E47" s="22">
        <f>E26</f>
        <v>29531</v>
      </c>
      <c r="F47" s="22">
        <f t="shared" ref="F47:I47" si="28">F26</f>
        <v>19855</v>
      </c>
      <c r="G47" s="22">
        <f t="shared" si="28"/>
        <v>14938</v>
      </c>
      <c r="H47" s="22">
        <f t="shared" si="28"/>
        <v>18945</v>
      </c>
      <c r="I47" s="22">
        <f t="shared" si="28"/>
        <v>31183</v>
      </c>
      <c r="J47" s="22">
        <f>J13*8.68%</f>
        <v>41932.832619999994</v>
      </c>
      <c r="K47" s="22">
        <f t="shared" ref="K47:N47" si="29">K13*8.68%</f>
        <v>47260.852716000001</v>
      </c>
      <c r="L47" s="22">
        <f t="shared" si="29"/>
        <v>52588.872812000001</v>
      </c>
      <c r="M47" s="22">
        <f t="shared" si="29"/>
        <v>57916.892907999994</v>
      </c>
      <c r="N47" s="22">
        <f t="shared" si="29"/>
        <v>63244.913003999995</v>
      </c>
    </row>
    <row r="48" spans="2:14">
      <c r="B48" s="23" t="s">
        <v>72</v>
      </c>
      <c r="E48" s="24">
        <f>E27</f>
        <v>0.11184243665096079</v>
      </c>
      <c r="F48" s="24">
        <f t="shared" ref="F48:I48" si="30">F27</f>
        <v>7.5196626585785326E-2</v>
      </c>
      <c r="G48" s="24">
        <f t="shared" si="30"/>
        <v>5.6574525708308294E-2</v>
      </c>
      <c r="H48" s="24">
        <f t="shared" si="30"/>
        <v>7.1750193435794654E-2</v>
      </c>
      <c r="I48" s="24">
        <f t="shared" si="30"/>
        <v>0.11809903836940538</v>
      </c>
      <c r="J48" s="31">
        <f>J47/$E$13</f>
        <v>0.15881176309294273</v>
      </c>
      <c r="K48" s="31">
        <f t="shared" ref="K48:N48" si="31">K47/$E$13</f>
        <v>0.17899051593104257</v>
      </c>
      <c r="L48" s="31">
        <f t="shared" si="31"/>
        <v>0.1991692687691424</v>
      </c>
      <c r="M48" s="31">
        <f t="shared" si="31"/>
        <v>0.21934802160724221</v>
      </c>
      <c r="N48" s="31">
        <f t="shared" si="31"/>
        <v>0.23952677444534204</v>
      </c>
    </row>
    <row r="49" spans="2:15">
      <c r="I49" s="21"/>
    </row>
    <row r="50" spans="2:15">
      <c r="B50" t="s">
        <v>78</v>
      </c>
      <c r="E50" s="32">
        <f>E29</f>
        <v>0</v>
      </c>
      <c r="F50" s="32">
        <f t="shared" ref="F50:I50" si="32">F29</f>
        <v>10005.199999999997</v>
      </c>
      <c r="G50" s="32">
        <f t="shared" si="32"/>
        <v>7156.3000000000175</v>
      </c>
      <c r="H50" s="32">
        <f t="shared" si="32"/>
        <v>206.5</v>
      </c>
      <c r="I50" s="32">
        <f t="shared" si="32"/>
        <v>-1726</v>
      </c>
      <c r="J50" s="33">
        <f>J51*J33</f>
        <v>3437.7501774281959</v>
      </c>
      <c r="K50" s="33">
        <f>K51*K33</f>
        <v>3811.3590899999999</v>
      </c>
      <c r="L50" s="33">
        <f t="shared" ref="L50:N50" si="33">L51*L33</f>
        <v>4241.0381299999999</v>
      </c>
      <c r="M50" s="33">
        <f t="shared" si="33"/>
        <v>4670.7171699999999</v>
      </c>
      <c r="N50" s="33">
        <f t="shared" si="33"/>
        <v>5100.3962099999999</v>
      </c>
    </row>
    <row r="51" spans="2:15">
      <c r="B51" s="23" t="s">
        <v>72</v>
      </c>
      <c r="E51" s="34">
        <f>E30</f>
        <v>0</v>
      </c>
      <c r="F51" s="34">
        <f t="shared" ref="F51:H51" si="34">F30</f>
        <v>3.7892585661853391E-2</v>
      </c>
      <c r="G51" s="34">
        <f t="shared" si="34"/>
        <v>2.7102977528877203E-2</v>
      </c>
      <c r="H51" s="34">
        <f t="shared" si="34"/>
        <v>7.8207521480557385E-4</v>
      </c>
      <c r="I51" s="34">
        <f>I30</f>
        <v>-6.5368611174548208E-3</v>
      </c>
      <c r="J51" s="34">
        <f>AVERAGE(G51,H51,I51)</f>
        <v>7.1160638754093177E-3</v>
      </c>
      <c r="K51" s="34">
        <v>7.0000000000000001E-3</v>
      </c>
      <c r="L51" s="34">
        <v>7.0000000000000001E-3</v>
      </c>
      <c r="M51" s="34">
        <v>7.0000000000000001E-3</v>
      </c>
      <c r="N51" s="34">
        <v>7.0000000000000001E-3</v>
      </c>
      <c r="O51" s="34"/>
    </row>
    <row r="52" spans="2:15">
      <c r="I52" s="35"/>
    </row>
    <row r="53" spans="2:15">
      <c r="B53" s="26" t="s">
        <v>82</v>
      </c>
      <c r="C53" s="27"/>
      <c r="D53" s="27"/>
      <c r="E53" s="27"/>
      <c r="F53" s="27"/>
      <c r="G53" s="27"/>
      <c r="H53" s="27"/>
      <c r="I53" s="28"/>
      <c r="J53" s="36">
        <f>J42+J44-J47-J50</f>
        <v>36272.8355525718</v>
      </c>
      <c r="K53" s="36">
        <f t="shared" ref="K53:N53" si="35">K42+K44-K47-K50</f>
        <v>40944.886223999994</v>
      </c>
      <c r="L53" s="36">
        <f t="shared" si="35"/>
        <v>45560.866767999993</v>
      </c>
      <c r="M53" s="36">
        <f t="shared" si="35"/>
        <v>50176.847311999998</v>
      </c>
      <c r="N53" s="36">
        <f t="shared" si="35"/>
        <v>54792.827856000004</v>
      </c>
    </row>
    <row r="54" spans="2:15">
      <c r="B54" s="26" t="s">
        <v>83</v>
      </c>
      <c r="C54" s="27"/>
      <c r="D54" s="27"/>
      <c r="E54" s="27"/>
      <c r="F54" s="27"/>
      <c r="G54" s="27"/>
      <c r="H54" s="27"/>
      <c r="I54" s="28"/>
      <c r="J54" s="36">
        <f>J53/(1+$D$9)^J31</f>
        <v>31735.264030904949</v>
      </c>
      <c r="K54" s="36">
        <f t="shared" ref="K54:N54" si="36">K53/(1+$D$9)^K31</f>
        <v>31341.580005939311</v>
      </c>
      <c r="L54" s="36">
        <f t="shared" si="36"/>
        <v>30512.219819216691</v>
      </c>
      <c r="M54" s="36">
        <f t="shared" si="36"/>
        <v>29399.896818249523</v>
      </c>
      <c r="N54" s="36">
        <f t="shared" si="36"/>
        <v>28088.384378384482</v>
      </c>
    </row>
    <row r="55" spans="2:15">
      <c r="J55" s="37"/>
    </row>
    <row r="56" spans="2:15">
      <c r="B56" t="s">
        <v>84</v>
      </c>
      <c r="J56" s="37"/>
      <c r="N56" s="33">
        <f>(N53*(1+D10))/(D9-D10)</f>
        <v>618748.4593663289</v>
      </c>
    </row>
    <row r="57" spans="2:15">
      <c r="B57" s="3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8">
        <f>N56/(1+D9)^N31</f>
        <v>317188.31168724806</v>
      </c>
    </row>
    <row r="58" spans="2:15">
      <c r="B58" s="1" t="s">
        <v>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9">
        <f>SUM(J54:N54,N57)</f>
        <v>468265.65673994302</v>
      </c>
    </row>
    <row r="59" spans="2:15">
      <c r="B59" s="40" t="s">
        <v>87</v>
      </c>
      <c r="N59" s="46">
        <f>BS!F28</f>
        <v>45806.7</v>
      </c>
    </row>
    <row r="60" spans="2:15">
      <c r="B60" s="41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6">
        <f>WACC!D9</f>
        <v>107264</v>
      </c>
    </row>
    <row r="61" spans="2:15"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9">
        <f>N58+N59-N60</f>
        <v>406808.35673994303</v>
      </c>
    </row>
    <row r="62" spans="2:15">
      <c r="B62" s="3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2">
        <f>BS!F3/2</f>
        <v>383.25</v>
      </c>
    </row>
    <row r="63" spans="2:15"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7">
        <f>N61/N62</f>
        <v>1061.4699458315538</v>
      </c>
    </row>
  </sheetData>
  <conditionalFormatting sqref="Q5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:W10 R5:W5 Q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F8F6-92AF-451F-B531-911FECDCFE95}">
  <sheetPr>
    <tabColor rgb="FF0070C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AF01-4E39-4086-BA28-64B784A5B1D1}">
  <dimension ref="B1:O22"/>
  <sheetViews>
    <sheetView showGridLines="0" workbookViewId="0">
      <selection activeCell="J18" sqref="J18"/>
    </sheetView>
  </sheetViews>
  <sheetFormatPr defaultRowHeight="15"/>
  <cols>
    <col min="4" max="4" width="10.5703125" bestFit="1" customWidth="1"/>
    <col min="10" max="10" width="9.28515625" bestFit="1" customWidth="1"/>
    <col min="11" max="11" width="9.5703125" bestFit="1" customWidth="1"/>
  </cols>
  <sheetData>
    <row r="1" spans="2:15" ht="18.75">
      <c r="J1" s="95"/>
    </row>
    <row r="2" spans="2:15" ht="21">
      <c r="E2" s="80" t="s">
        <v>142</v>
      </c>
      <c r="F2" s="80"/>
      <c r="G2" s="80"/>
      <c r="H2" s="80"/>
      <c r="I2" s="80"/>
      <c r="J2" s="80"/>
      <c r="K2" s="80"/>
      <c r="L2" s="57"/>
    </row>
    <row r="4" spans="2:15">
      <c r="C4" s="66" t="s">
        <v>125</v>
      </c>
      <c r="D4" s="66">
        <v>2019</v>
      </c>
      <c r="E4" s="66">
        <v>2020</v>
      </c>
      <c r="F4" s="66">
        <f>E4+1</f>
        <v>2021</v>
      </c>
      <c r="G4" s="66">
        <f t="shared" ref="G4:I4" si="0">F4+1</f>
        <v>2022</v>
      </c>
      <c r="H4" s="66">
        <f t="shared" si="0"/>
        <v>2023</v>
      </c>
      <c r="I4" s="66">
        <f t="shared" si="0"/>
        <v>2024</v>
      </c>
      <c r="J4" s="66" t="s">
        <v>127</v>
      </c>
      <c r="K4" s="66">
        <f>I4+1</f>
        <v>2025</v>
      </c>
      <c r="L4" s="66">
        <f>K4+1</f>
        <v>2026</v>
      </c>
      <c r="M4" s="66">
        <f>L4+1</f>
        <v>2027</v>
      </c>
      <c r="N4" s="66">
        <f>M4+1</f>
        <v>2028</v>
      </c>
      <c r="O4" s="66">
        <f>N4+1</f>
        <v>2029</v>
      </c>
    </row>
    <row r="5" spans="2:15">
      <c r="B5" s="82" t="s">
        <v>136</v>
      </c>
      <c r="C5" s="66" t="s">
        <v>69</v>
      </c>
      <c r="D5" s="30">
        <v>39198</v>
      </c>
      <c r="E5" s="30">
        <v>36329</v>
      </c>
      <c r="F5" s="30">
        <v>33104</v>
      </c>
      <c r="G5" s="30">
        <v>52287</v>
      </c>
      <c r="H5" s="30">
        <v>70816</v>
      </c>
      <c r="I5" s="30">
        <v>78791</v>
      </c>
      <c r="J5" s="66" t="s">
        <v>140</v>
      </c>
      <c r="K5" s="94">
        <f>$I$5*(1+$J$6)^(K4-$I$4)</f>
        <v>95616.403620866768</v>
      </c>
      <c r="L5" s="94">
        <f>$I$5*(1+$J$6)^(L4-$I$4)</f>
        <v>116034.78368580807</v>
      </c>
      <c r="M5" s="94">
        <f>$I$5*(1+$J$6)^(M4-$I$4)</f>
        <v>140813.40141592556</v>
      </c>
      <c r="N5" s="94">
        <f>$I$5*(1+$J$6)^(N4-$I$4)</f>
        <v>170883.36263040538</v>
      </c>
      <c r="O5" s="94">
        <f>$I$5*(1+$J$6)^(O4-$I$4)</f>
        <v>207374.6058986405</v>
      </c>
    </row>
    <row r="6" spans="2:15">
      <c r="C6" s="66" t="s">
        <v>135</v>
      </c>
      <c r="D6" s="88"/>
      <c r="E6" s="90">
        <f>(E5/D5-1)*100%</f>
        <v>-7.3192509821929708E-2</v>
      </c>
      <c r="F6" s="90">
        <f>(F5/E5-1)*100%</f>
        <v>-8.8772055382752124E-2</v>
      </c>
      <c r="G6" s="90">
        <f t="shared" ref="G6:H6" si="1">(G5/F5-1)*100%</f>
        <v>0.57947680038666016</v>
      </c>
      <c r="H6" s="90">
        <f t="shared" si="1"/>
        <v>0.35437106737812463</v>
      </c>
      <c r="I6" s="90">
        <f>(I5/H5-1)*100%</f>
        <v>0.11261579304112068</v>
      </c>
      <c r="J6" s="93">
        <f>(I5/ E5) ^ (1/4) - 1</f>
        <v>0.21354474014629554</v>
      </c>
      <c r="K6" s="107">
        <f>(K5/I5-1)*100%</f>
        <v>0.21354474014629554</v>
      </c>
      <c r="L6" s="107">
        <f>(L5/K5-1)*100%</f>
        <v>0.21354474014629554</v>
      </c>
      <c r="M6" s="107">
        <f t="shared" ref="M6:O6" si="2">(M5/L5-1)*100%</f>
        <v>0.21354474014629554</v>
      </c>
      <c r="N6" s="107">
        <f t="shared" si="2"/>
        <v>0.21354474014629554</v>
      </c>
      <c r="O6" s="107">
        <f t="shared" si="2"/>
        <v>0.21354474014629554</v>
      </c>
    </row>
    <row r="7" spans="2:15">
      <c r="C7" s="66"/>
      <c r="D7" s="88"/>
      <c r="E7" s="88"/>
      <c r="F7" s="88"/>
      <c r="G7" s="88"/>
      <c r="H7" s="88"/>
      <c r="I7" s="88"/>
      <c r="K7" s="87"/>
      <c r="L7" s="87"/>
      <c r="M7" s="87"/>
      <c r="N7" s="87"/>
      <c r="O7" s="87"/>
    </row>
    <row r="8" spans="2:15">
      <c r="C8" s="66" t="s">
        <v>125</v>
      </c>
      <c r="D8" s="66">
        <f>D4</f>
        <v>2019</v>
      </c>
      <c r="E8" s="66">
        <f>E4</f>
        <v>2020</v>
      </c>
      <c r="F8" s="66">
        <f t="shared" ref="F8:I8" si="3">F4</f>
        <v>2021</v>
      </c>
      <c r="G8" s="66">
        <f t="shared" si="3"/>
        <v>2022</v>
      </c>
      <c r="H8" s="66">
        <f t="shared" si="3"/>
        <v>2023</v>
      </c>
      <c r="I8" s="66">
        <f t="shared" si="3"/>
        <v>2024</v>
      </c>
      <c r="J8" s="66" t="str">
        <f t="shared" ref="J8:O8" si="4">J4</f>
        <v>CAGR</v>
      </c>
      <c r="K8" s="66">
        <f t="shared" si="4"/>
        <v>2025</v>
      </c>
      <c r="L8" s="66">
        <f t="shared" si="4"/>
        <v>2026</v>
      </c>
      <c r="M8" s="66">
        <f t="shared" si="4"/>
        <v>2027</v>
      </c>
      <c r="N8" s="66">
        <f t="shared" si="4"/>
        <v>2028</v>
      </c>
      <c r="O8" s="66">
        <f t="shared" si="4"/>
        <v>2029</v>
      </c>
    </row>
    <row r="9" spans="2:15">
      <c r="B9" s="82" t="s">
        <v>137</v>
      </c>
      <c r="C9" s="66" t="s">
        <v>69</v>
      </c>
      <c r="D9" s="30">
        <v>30005</v>
      </c>
      <c r="E9" s="30">
        <v>10482</v>
      </c>
      <c r="F9" s="30">
        <v>16606</v>
      </c>
      <c r="G9" s="30">
        <v>31515</v>
      </c>
      <c r="H9" s="30">
        <v>47868</v>
      </c>
      <c r="I9" s="30">
        <v>52353</v>
      </c>
      <c r="J9" s="66" t="str">
        <f>J5</f>
        <v>%Growth</v>
      </c>
      <c r="K9" s="87">
        <f>$I$9*(1+$J$10)^(K8-$I$8)</f>
        <v>78264.700511401155</v>
      </c>
      <c r="L9" s="87">
        <f>$I$9*(1+$J$10)^(L8-$I$8)</f>
        <v>117001.19087997472</v>
      </c>
      <c r="M9" s="87">
        <f>$I$9*(1+$J$10)^(M8-$I$8)</f>
        <v>174909.9987335683</v>
      </c>
      <c r="N9" s="87">
        <f>$I$9*(1+$J$10)^(N8-$I$8)</f>
        <v>261480.30995993118</v>
      </c>
      <c r="O9" s="87">
        <f>$I$9*(1+$J$10)^(O8-$I$8)</f>
        <v>390897.9074483288</v>
      </c>
    </row>
    <row r="10" spans="2:15">
      <c r="C10" s="66" t="s">
        <v>135</v>
      </c>
      <c r="D10" s="88"/>
      <c r="E10" s="90">
        <f>(E9/D9-1)*100%</f>
        <v>-0.65065822362939518</v>
      </c>
      <c r="F10" s="90">
        <f>(F9/E9-1)*100%</f>
        <v>0.58423964892196145</v>
      </c>
      <c r="G10" s="90">
        <f t="shared" ref="G10:I10" si="5">(G9/F9-1)*100%</f>
        <v>0.89780802119715775</v>
      </c>
      <c r="H10" s="90">
        <f t="shared" si="5"/>
        <v>0.51889576392194203</v>
      </c>
      <c r="I10" s="90">
        <f t="shared" si="5"/>
        <v>9.3695161694660412E-2</v>
      </c>
      <c r="J10" s="92">
        <f>(I9/E9)^(1/4)-1</f>
        <v>0.49494203792335023</v>
      </c>
      <c r="K10" s="108">
        <f>J10</f>
        <v>0.49494203792335023</v>
      </c>
      <c r="L10" s="108">
        <f t="shared" ref="L10:O10" si="6">K10</f>
        <v>0.49494203792335023</v>
      </c>
      <c r="M10" s="108">
        <f t="shared" si="6"/>
        <v>0.49494203792335023</v>
      </c>
      <c r="N10" s="108">
        <f t="shared" si="6"/>
        <v>0.49494203792335023</v>
      </c>
      <c r="O10" s="108">
        <f t="shared" si="6"/>
        <v>0.49494203792335023</v>
      </c>
    </row>
    <row r="11" spans="2:15">
      <c r="C11" s="66"/>
      <c r="D11" s="88"/>
      <c r="E11" s="88"/>
      <c r="F11" s="88"/>
      <c r="G11" s="88"/>
      <c r="H11" s="88"/>
      <c r="I11" s="88"/>
      <c r="K11" s="87"/>
      <c r="L11" s="87"/>
      <c r="M11" s="87"/>
      <c r="N11" s="87"/>
      <c r="O11" s="87"/>
    </row>
    <row r="12" spans="2:15">
      <c r="C12" s="66" t="s">
        <v>125</v>
      </c>
      <c r="D12" s="66">
        <f>D8</f>
        <v>2019</v>
      </c>
      <c r="E12" s="66">
        <f>E8</f>
        <v>2020</v>
      </c>
      <c r="F12" s="66">
        <f t="shared" ref="F12:I12" si="7">F8</f>
        <v>2021</v>
      </c>
      <c r="G12" s="66">
        <f t="shared" si="7"/>
        <v>2022</v>
      </c>
      <c r="H12" s="66">
        <f t="shared" si="7"/>
        <v>2023</v>
      </c>
      <c r="I12" s="66">
        <f t="shared" si="7"/>
        <v>2024</v>
      </c>
      <c r="J12" s="66" t="str">
        <f t="shared" ref="J12:O12" si="8">J8</f>
        <v>CAGR</v>
      </c>
      <c r="K12" s="66">
        <f t="shared" si="8"/>
        <v>2025</v>
      </c>
      <c r="L12" s="66">
        <f t="shared" si="8"/>
        <v>2026</v>
      </c>
      <c r="M12" s="66">
        <f t="shared" si="8"/>
        <v>2027</v>
      </c>
      <c r="N12" s="66">
        <f t="shared" si="8"/>
        <v>2028</v>
      </c>
      <c r="O12" s="66">
        <f t="shared" si="8"/>
        <v>2029</v>
      </c>
    </row>
    <row r="13" spans="2:15">
      <c r="B13" s="82" t="s">
        <v>138</v>
      </c>
      <c r="C13" s="66" t="s">
        <v>69</v>
      </c>
      <c r="D13" s="91">
        <v>221420</v>
      </c>
      <c r="E13" s="49">
        <v>208040</v>
      </c>
      <c r="F13">
        <v>193823</v>
      </c>
      <c r="G13">
        <v>187697</v>
      </c>
      <c r="H13">
        <v>222860</v>
      </c>
      <c r="I13">
        <v>297250</v>
      </c>
      <c r="J13" s="66" t="str">
        <f>J9</f>
        <v>%Growth</v>
      </c>
      <c r="K13" s="87">
        <f>$I$13*(1+$J$14)^(K12-$I$12)</f>
        <v>324986.72236622038</v>
      </c>
      <c r="L13" s="87">
        <f>$I$13*(1+$J$14)^(L12-$I$12)</f>
        <v>355311.58861005481</v>
      </c>
      <c r="M13" s="87">
        <f>$I$13*(1+$J$14)^(M12-$I$12)</f>
        <v>388466.10126532073</v>
      </c>
      <c r="N13" s="87">
        <f>$I$13*(1+$J$14)^(N12-$I$12)</f>
        <v>424714.29773120553</v>
      </c>
      <c r="O13" s="87">
        <f>$I$13*(1+$J$14)^(O12-$I$12)</f>
        <v>464344.85302518267</v>
      </c>
    </row>
    <row r="14" spans="2:15">
      <c r="C14" s="66" t="s">
        <v>135</v>
      </c>
      <c r="D14" s="88"/>
      <c r="E14" s="90">
        <f>(E13/D13-1)*100%</f>
        <v>-6.0428145605636363E-2</v>
      </c>
      <c r="F14" s="90">
        <f>(F13/E13-1)*100%</f>
        <v>-6.8337819650067244E-2</v>
      </c>
      <c r="G14" s="90">
        <f t="shared" ref="G14:I14" si="9">(G13/F13-1)*100%</f>
        <v>-3.1606156132141128E-2</v>
      </c>
      <c r="H14" s="90">
        <f t="shared" si="9"/>
        <v>0.18733916897979186</v>
      </c>
      <c r="I14" s="90">
        <f t="shared" si="9"/>
        <v>0.33379700260253076</v>
      </c>
      <c r="J14" s="92">
        <f>(I13/E13)^(1/4)-1</f>
        <v>9.3311092905703497E-2</v>
      </c>
      <c r="K14" s="108">
        <f>J14</f>
        <v>9.3311092905703497E-2</v>
      </c>
      <c r="L14" s="108">
        <f t="shared" ref="L14:O14" si="10">K14</f>
        <v>9.3311092905703497E-2</v>
      </c>
      <c r="M14" s="108">
        <f t="shared" si="10"/>
        <v>9.3311092905703497E-2</v>
      </c>
      <c r="N14" s="108">
        <f t="shared" si="10"/>
        <v>9.3311092905703497E-2</v>
      </c>
      <c r="O14" s="108">
        <f t="shared" si="10"/>
        <v>9.3311092905703497E-2</v>
      </c>
    </row>
    <row r="15" spans="2:15">
      <c r="C15" s="66"/>
      <c r="D15" s="88"/>
      <c r="E15" s="88"/>
      <c r="F15" s="88"/>
      <c r="G15" s="88"/>
      <c r="H15" s="88"/>
      <c r="I15" s="88"/>
      <c r="K15" s="87"/>
      <c r="L15" s="87"/>
      <c r="M15" s="87"/>
      <c r="N15" s="87"/>
      <c r="O15" s="87"/>
    </row>
    <row r="16" spans="2:15">
      <c r="C16" s="66" t="s">
        <v>125</v>
      </c>
      <c r="D16" s="66">
        <f t="shared" ref="D16:O16" si="11">D12</f>
        <v>2019</v>
      </c>
      <c r="E16" s="66">
        <f t="shared" si="11"/>
        <v>2020</v>
      </c>
      <c r="F16" s="66">
        <f t="shared" si="11"/>
        <v>2021</v>
      </c>
      <c r="G16" s="66">
        <f t="shared" si="11"/>
        <v>2022</v>
      </c>
      <c r="H16" s="66">
        <f t="shared" si="11"/>
        <v>2023</v>
      </c>
      <c r="I16" s="66">
        <f t="shared" si="11"/>
        <v>2024</v>
      </c>
      <c r="J16" s="66" t="str">
        <f t="shared" si="11"/>
        <v>CAGR</v>
      </c>
      <c r="K16" s="66">
        <f t="shared" si="11"/>
        <v>2025</v>
      </c>
      <c r="L16" s="66">
        <f t="shared" si="11"/>
        <v>2026</v>
      </c>
      <c r="M16" s="66">
        <f t="shared" si="11"/>
        <v>2027</v>
      </c>
      <c r="N16" s="66">
        <f t="shared" si="11"/>
        <v>2028</v>
      </c>
      <c r="O16" s="66">
        <f t="shared" si="11"/>
        <v>2029</v>
      </c>
    </row>
    <row r="17" spans="2:15">
      <c r="B17" s="82" t="s">
        <v>139</v>
      </c>
      <c r="C17" s="66" t="s">
        <v>69</v>
      </c>
      <c r="D17" s="30">
        <v>3975</v>
      </c>
      <c r="E17" s="30">
        <f>4295+216</f>
        <v>4511</v>
      </c>
      <c r="F17">
        <f>284+4490</f>
        <v>4774</v>
      </c>
      <c r="G17" s="30">
        <v>4585</v>
      </c>
      <c r="H17" s="30">
        <v>4595</v>
      </c>
      <c r="I17" s="30">
        <v>9534</v>
      </c>
      <c r="J17" s="66" t="str">
        <f>J13</f>
        <v>%Growth</v>
      </c>
      <c r="K17" s="87">
        <f>$I$17*(1+$J$18)^(K16-$I$16)</f>
        <v>11495.443406986669</v>
      </c>
      <c r="L17" s="87">
        <f>$I$17*(1+$J$18)^(L16-$I$16)</f>
        <v>13860.417361362835</v>
      </c>
      <c r="M17" s="87">
        <f>$I$17*(1+$J$18)^(M16-$I$16)</f>
        <v>16711.940777717849</v>
      </c>
      <c r="N17" s="87">
        <f>$I$17*(1+$J$18)^(N16-$I$16)</f>
        <v>20150.112170250504</v>
      </c>
      <c r="O17" s="87">
        <f>$I$17*(1+$J$18)^(O16-$I$16)</f>
        <v>24295.623463136984</v>
      </c>
    </row>
    <row r="18" spans="2:15">
      <c r="C18" s="66" t="s">
        <v>135</v>
      </c>
      <c r="D18" s="88"/>
      <c r="E18" s="90">
        <f>(E17/D17-1)*100%</f>
        <v>0.13484276729559741</v>
      </c>
      <c r="F18" s="90">
        <f>(F17/E17-1)*100%</f>
        <v>5.8301928618931464E-2</v>
      </c>
      <c r="G18" s="90">
        <f t="shared" ref="G18:I18" si="12">(G17/F17-1)*100%</f>
        <v>-3.9589442815249232E-2</v>
      </c>
      <c r="H18" s="90">
        <f t="shared" si="12"/>
        <v>2.1810250817884125E-3</v>
      </c>
      <c r="I18" s="90">
        <f t="shared" si="12"/>
        <v>1.0748639825897714</v>
      </c>
      <c r="J18" s="93">
        <f>(I17/E17)^(1/4)-1</f>
        <v>0.20573142510873388</v>
      </c>
      <c r="K18" s="108">
        <f>J18</f>
        <v>0.20573142510873388</v>
      </c>
      <c r="L18" s="108">
        <f t="shared" ref="L18:O18" si="13">K18</f>
        <v>0.20573142510873388</v>
      </c>
      <c r="M18" s="108">
        <f t="shared" si="13"/>
        <v>0.20573142510873388</v>
      </c>
      <c r="N18" s="108">
        <f t="shared" si="13"/>
        <v>0.20573142510873388</v>
      </c>
      <c r="O18" s="108">
        <f t="shared" si="13"/>
        <v>0.20573142510873388</v>
      </c>
    </row>
    <row r="20" spans="2:15">
      <c r="C20" s="66" t="s">
        <v>125</v>
      </c>
      <c r="D20" s="66">
        <f>D16</f>
        <v>2019</v>
      </c>
      <c r="E20" s="66">
        <f>E16</f>
        <v>2020</v>
      </c>
      <c r="F20" s="66">
        <f t="shared" ref="F20:O20" si="14">F16</f>
        <v>2021</v>
      </c>
      <c r="G20" s="66">
        <f t="shared" si="14"/>
        <v>2022</v>
      </c>
      <c r="H20" s="66">
        <f t="shared" si="14"/>
        <v>2023</v>
      </c>
      <c r="I20" s="66">
        <f t="shared" si="14"/>
        <v>2024</v>
      </c>
      <c r="K20" s="66">
        <f t="shared" si="14"/>
        <v>2025</v>
      </c>
      <c r="L20" s="66">
        <f t="shared" si="14"/>
        <v>2026</v>
      </c>
      <c r="M20" s="66">
        <f t="shared" si="14"/>
        <v>2027</v>
      </c>
      <c r="N20" s="66">
        <f t="shared" si="14"/>
        <v>2028</v>
      </c>
      <c r="O20" s="66">
        <f t="shared" si="14"/>
        <v>2029</v>
      </c>
    </row>
    <row r="21" spans="2:15">
      <c r="B21" s="82" t="s">
        <v>141</v>
      </c>
      <c r="C21" s="66" t="s">
        <v>69</v>
      </c>
      <c r="D21" s="89">
        <f>D5+D9+D13+D17</f>
        <v>294598</v>
      </c>
      <c r="E21" s="89">
        <f>E5+E9+E13+E17</f>
        <v>259362</v>
      </c>
      <c r="F21" s="89">
        <f>F17+F13+F9+F5</f>
        <v>248307</v>
      </c>
      <c r="G21" s="89">
        <f t="shared" ref="G21:O21" si="15">G17+G13+G9+G5</f>
        <v>276084</v>
      </c>
      <c r="H21" s="89">
        <f t="shared" si="15"/>
        <v>346139</v>
      </c>
      <c r="I21" s="89">
        <f t="shared" si="15"/>
        <v>437928</v>
      </c>
      <c r="K21" s="89">
        <f t="shared" si="15"/>
        <v>510363.26990547497</v>
      </c>
      <c r="L21" s="89">
        <f t="shared" si="15"/>
        <v>602207.98053720046</v>
      </c>
      <c r="M21" s="89">
        <f t="shared" si="15"/>
        <v>720901.44219253247</v>
      </c>
      <c r="N21" s="89">
        <f t="shared" si="15"/>
        <v>877228.08249179262</v>
      </c>
      <c r="O21" s="89">
        <f t="shared" si="15"/>
        <v>1086912.9898352891</v>
      </c>
    </row>
    <row r="22" spans="2:15">
      <c r="C22" s="66" t="s">
        <v>135</v>
      </c>
      <c r="D22" s="66"/>
      <c r="E22" s="109">
        <f>(E21/D21-1)*100%</f>
        <v>-0.1196070577532774</v>
      </c>
      <c r="F22" s="109">
        <f>(F21/E21-1)*100%</f>
        <v>-4.2623823073541955E-2</v>
      </c>
      <c r="G22" s="109">
        <f t="shared" ref="G22:I22" si="16">(G21/F21-1)*100%</f>
        <v>0.11186555352849492</v>
      </c>
      <c r="H22" s="109">
        <f t="shared" si="16"/>
        <v>0.25374523695686824</v>
      </c>
      <c r="I22" s="109">
        <f t="shared" si="16"/>
        <v>0.26517959548042835</v>
      </c>
      <c r="K22" s="107">
        <f>(K21/I21-1)*100%</f>
        <v>0.16540451833514869</v>
      </c>
      <c r="L22" s="107">
        <f>(L21/K21-1)*100%</f>
        <v>0.17995948385693228</v>
      </c>
      <c r="M22" s="107">
        <f t="shared" ref="M22:O22" si="17">(M21/L21-1)*100%</f>
        <v>0.19709712506541566</v>
      </c>
      <c r="N22" s="107">
        <f t="shared" si="17"/>
        <v>0.21684883834302227</v>
      </c>
      <c r="O22" s="107">
        <f t="shared" si="17"/>
        <v>0.23903122976624291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2862-F0A7-4FA4-BA1D-F03C0C8852AF}">
  <dimension ref="B2:N21"/>
  <sheetViews>
    <sheetView showGridLines="0" workbookViewId="0">
      <selection activeCell="N17" sqref="N17"/>
    </sheetView>
  </sheetViews>
  <sheetFormatPr defaultRowHeight="15"/>
  <cols>
    <col min="12" max="12" width="8.7109375" customWidth="1"/>
  </cols>
  <sheetData>
    <row r="2" spans="2:14" ht="21">
      <c r="F2" s="80" t="s">
        <v>128</v>
      </c>
      <c r="G2" s="80"/>
      <c r="H2" s="80"/>
      <c r="I2" s="80"/>
    </row>
    <row r="4" spans="2:14">
      <c r="B4" s="82" t="s">
        <v>131</v>
      </c>
      <c r="C4" s="82"/>
      <c r="D4" s="82"/>
      <c r="E4" s="82"/>
      <c r="F4" s="82"/>
      <c r="G4" s="82"/>
      <c r="I4" t="s">
        <v>132</v>
      </c>
      <c r="L4" s="81">
        <f>'CAGR '!C7</f>
        <v>7.5270158564497702E-2</v>
      </c>
    </row>
    <row r="6" spans="2:14">
      <c r="B6" s="60" t="s">
        <v>125</v>
      </c>
      <c r="C6" s="60">
        <v>2020</v>
      </c>
      <c r="D6" s="60">
        <f>C6+1</f>
        <v>2021</v>
      </c>
      <c r="E6" s="60">
        <f t="shared" ref="E6:G6" si="0">D6+1</f>
        <v>2022</v>
      </c>
      <c r="F6" s="60">
        <f t="shared" si="0"/>
        <v>2023</v>
      </c>
      <c r="G6" s="60">
        <f t="shared" si="0"/>
        <v>2024</v>
      </c>
      <c r="I6" s="66">
        <f>G6+1</f>
        <v>2025</v>
      </c>
      <c r="J6" s="66">
        <f>I6+1</f>
        <v>2026</v>
      </c>
      <c r="K6" s="66">
        <f>J6+1</f>
        <v>2027</v>
      </c>
      <c r="L6" s="66">
        <f>K6+1</f>
        <v>2028</v>
      </c>
      <c r="M6" s="66">
        <f>L6+1</f>
        <v>2029</v>
      </c>
    </row>
    <row r="7" spans="2:14">
      <c r="B7" s="60" t="s">
        <v>126</v>
      </c>
      <c r="C7" s="78">
        <f>IS!B2</f>
        <v>264041.09999999998</v>
      </c>
      <c r="D7" s="78">
        <f>IS!C2</f>
        <v>252437.9</v>
      </c>
      <c r="E7" s="78">
        <f>IS!D2</f>
        <v>281507.3</v>
      </c>
      <c r="F7" s="78">
        <f>IS!E2</f>
        <v>350600.2</v>
      </c>
      <c r="G7" s="78">
        <f>IS!F2</f>
        <v>434016</v>
      </c>
      <c r="I7" s="79">
        <f>$G$7 * (1 + $L$4)^(I6 - 2024)</f>
        <v>466684.45313952904</v>
      </c>
      <c r="J7" s="79">
        <f t="shared" ref="J7:M7" si="1">$G$7 * (1 + $L$4)^(J6 - 2024)</f>
        <v>501811.86592692725</v>
      </c>
      <c r="K7" s="79">
        <f t="shared" si="1"/>
        <v>539583.32464479352</v>
      </c>
      <c r="L7" s="79">
        <f t="shared" si="1"/>
        <v>580197.84704956587</v>
      </c>
      <c r="M7" s="79">
        <f t="shared" si="1"/>
        <v>623869.43099576677</v>
      </c>
      <c r="N7" s="77"/>
    </row>
    <row r="11" spans="2:14">
      <c r="B11" s="82" t="s">
        <v>130</v>
      </c>
      <c r="C11" s="82"/>
      <c r="D11" s="82"/>
      <c r="E11" s="82"/>
      <c r="F11" s="82"/>
      <c r="G11" s="82"/>
      <c r="H11" s="82"/>
      <c r="I11" t="s">
        <v>133</v>
      </c>
      <c r="L11" s="81">
        <f>L4+4%</f>
        <v>0.11527015856449771</v>
      </c>
    </row>
    <row r="13" spans="2:14">
      <c r="B13" s="60" t="str">
        <f t="shared" ref="B13:G14" si="2">B6</f>
        <v xml:space="preserve">Year </v>
      </c>
      <c r="C13" s="60">
        <f t="shared" si="2"/>
        <v>2020</v>
      </c>
      <c r="D13" s="60">
        <f t="shared" si="2"/>
        <v>2021</v>
      </c>
      <c r="E13" s="60">
        <f t="shared" si="2"/>
        <v>2022</v>
      </c>
      <c r="F13" s="60">
        <f t="shared" si="2"/>
        <v>2023</v>
      </c>
      <c r="G13" s="60">
        <f t="shared" si="2"/>
        <v>2024</v>
      </c>
      <c r="I13" s="66">
        <f>I6</f>
        <v>2025</v>
      </c>
      <c r="J13" s="66">
        <f>J6</f>
        <v>2026</v>
      </c>
      <c r="K13" s="66">
        <f>K6</f>
        <v>2027</v>
      </c>
      <c r="L13" s="66">
        <f>L6</f>
        <v>2028</v>
      </c>
      <c r="M13" s="66">
        <f>M6</f>
        <v>2029</v>
      </c>
    </row>
    <row r="14" spans="2:14">
      <c r="B14" s="60" t="str">
        <f t="shared" si="2"/>
        <v xml:space="preserve">Revenue </v>
      </c>
      <c r="C14" s="78">
        <f t="shared" si="2"/>
        <v>264041.09999999998</v>
      </c>
      <c r="D14" s="78">
        <f t="shared" si="2"/>
        <v>252437.9</v>
      </c>
      <c r="E14" s="78">
        <f t="shared" si="2"/>
        <v>281507.3</v>
      </c>
      <c r="F14" s="78">
        <f t="shared" si="2"/>
        <v>350600.2</v>
      </c>
      <c r="G14" s="78">
        <f t="shared" si="2"/>
        <v>434016</v>
      </c>
      <c r="I14" s="79">
        <f>$G$14 * (1 + $L$11)^(I13 - 2024)</f>
        <v>484045.09313952905</v>
      </c>
      <c r="J14" s="79">
        <f>$G$14 * (1 + $L$11)^(J13 - 2024)</f>
        <v>539841.04777808965</v>
      </c>
      <c r="K14" s="79">
        <f>$G$14 * (1 + $L$11)^(K13 - 2024)</f>
        <v>602068.61095509469</v>
      </c>
      <c r="L14" s="79">
        <f>$G$14 * (1 + $L$11)^(L13 - 2024)</f>
        <v>671469.15520659543</v>
      </c>
      <c r="M14" s="79">
        <f>$G$14 * (1 + $L$11)^(M13 - 2024)</f>
        <v>748869.51119842904</v>
      </c>
    </row>
    <row r="18" spans="2:13">
      <c r="B18" s="82" t="s">
        <v>129</v>
      </c>
      <c r="C18" s="82"/>
      <c r="D18" s="82"/>
      <c r="E18" s="82"/>
      <c r="F18" s="82"/>
      <c r="G18" s="82"/>
      <c r="I18" t="s">
        <v>134</v>
      </c>
      <c r="L18" s="81">
        <f>L4-3%</f>
        <v>4.5270158564497703E-2</v>
      </c>
    </row>
    <row r="20" spans="2:13">
      <c r="B20" s="60" t="str">
        <f>B13</f>
        <v xml:space="preserve">Year </v>
      </c>
      <c r="C20" s="60">
        <f t="shared" ref="C20:M20" si="3">C13</f>
        <v>2020</v>
      </c>
      <c r="D20" s="60">
        <f t="shared" si="3"/>
        <v>2021</v>
      </c>
      <c r="E20" s="60">
        <f t="shared" si="3"/>
        <v>2022</v>
      </c>
      <c r="F20" s="60">
        <f t="shared" si="3"/>
        <v>2023</v>
      </c>
      <c r="G20" s="60">
        <f t="shared" si="3"/>
        <v>2024</v>
      </c>
      <c r="I20" s="66">
        <f t="shared" si="3"/>
        <v>2025</v>
      </c>
      <c r="J20" s="66">
        <f t="shared" si="3"/>
        <v>2026</v>
      </c>
      <c r="K20" s="66">
        <f t="shared" si="3"/>
        <v>2027</v>
      </c>
      <c r="L20" s="66">
        <f t="shared" si="3"/>
        <v>2028</v>
      </c>
      <c r="M20" s="66">
        <f t="shared" si="3"/>
        <v>2029</v>
      </c>
    </row>
    <row r="21" spans="2:13">
      <c r="B21" s="60" t="str">
        <f>B14</f>
        <v xml:space="preserve">Revenue </v>
      </c>
      <c r="C21" s="78">
        <f t="shared" ref="C21:G21" si="4">C14</f>
        <v>264041.09999999998</v>
      </c>
      <c r="D21" s="78">
        <f t="shared" si="4"/>
        <v>252437.9</v>
      </c>
      <c r="E21" s="78">
        <f t="shared" si="4"/>
        <v>281507.3</v>
      </c>
      <c r="F21" s="78">
        <f t="shared" si="4"/>
        <v>350600.2</v>
      </c>
      <c r="G21" s="78">
        <f t="shared" si="4"/>
        <v>434016</v>
      </c>
      <c r="I21" s="79">
        <f>$G$21 * (1 + $L$18)^(I13 - 2024)</f>
        <v>453663.973139529</v>
      </c>
      <c r="J21" s="79">
        <f t="shared" ref="J21:M21" si="5">$G$21 * (1 + $L$18)^(J13 - 2024)</f>
        <v>474201.41313855554</v>
      </c>
      <c r="K21" s="79">
        <f t="shared" si="5"/>
        <v>495668.58630284684</v>
      </c>
      <c r="L21" s="79">
        <f t="shared" si="5"/>
        <v>518107.58180021716</v>
      </c>
      <c r="M21" s="79">
        <f t="shared" si="5"/>
        <v>541562.39418178145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F573-67BB-43F0-86B9-BE72205EE17D}">
  <dimension ref="B2:M9"/>
  <sheetViews>
    <sheetView showGridLines="0" workbookViewId="0">
      <selection activeCell="J10" sqref="J10"/>
    </sheetView>
  </sheetViews>
  <sheetFormatPr defaultRowHeight="15"/>
  <cols>
    <col min="1" max="2" width="11.42578125" bestFit="1" customWidth="1"/>
    <col min="5" max="5" width="11.28515625" customWidth="1"/>
  </cols>
  <sheetData>
    <row r="2" spans="2:13">
      <c r="E2" s="57" t="s">
        <v>109</v>
      </c>
      <c r="F2" s="57"/>
      <c r="G2" s="57"/>
      <c r="H2" s="57"/>
      <c r="I2" s="57"/>
    </row>
    <row r="4" spans="2:13">
      <c r="B4" s="66" t="s">
        <v>125</v>
      </c>
      <c r="C4" s="66">
        <v>2020</v>
      </c>
      <c r="D4" s="66">
        <f>C4+1</f>
        <v>2021</v>
      </c>
      <c r="E4" s="66">
        <f t="shared" ref="E4:G4" si="0">D4+1</f>
        <v>2022</v>
      </c>
      <c r="F4" s="66">
        <f t="shared" si="0"/>
        <v>2023</v>
      </c>
      <c r="G4" s="66">
        <f t="shared" si="0"/>
        <v>2024</v>
      </c>
      <c r="I4" s="66">
        <f>G4+1</f>
        <v>2025</v>
      </c>
      <c r="J4" s="66">
        <f>I4+1</f>
        <v>2026</v>
      </c>
      <c r="K4" s="66">
        <f>J4+1</f>
        <v>2027</v>
      </c>
      <c r="L4" s="66">
        <f>K4+1</f>
        <v>2028</v>
      </c>
      <c r="M4" s="66">
        <f>L4+1</f>
        <v>2029</v>
      </c>
    </row>
    <row r="5" spans="2:13">
      <c r="B5" s="66" t="s">
        <v>110</v>
      </c>
      <c r="C5" s="66">
        <v>1</v>
      </c>
      <c r="D5" s="66">
        <v>2</v>
      </c>
      <c r="E5" s="66">
        <v>3</v>
      </c>
      <c r="F5" s="66">
        <v>4</v>
      </c>
      <c r="G5" s="66">
        <v>5</v>
      </c>
      <c r="I5" s="66">
        <v>6</v>
      </c>
      <c r="J5" s="66">
        <v>7</v>
      </c>
      <c r="K5" s="66">
        <v>8</v>
      </c>
      <c r="L5" s="66">
        <v>9</v>
      </c>
      <c r="M5" s="66">
        <v>10</v>
      </c>
    </row>
    <row r="6" spans="2:13">
      <c r="B6" s="66" t="s">
        <v>111</v>
      </c>
      <c r="C6" s="60"/>
      <c r="D6" s="61">
        <f>' DCF_ LINEAR REGRESSION'!F13</f>
        <v>252437.9</v>
      </c>
      <c r="E6" s="61">
        <f>' DCF_ LINEAR REGRESSION'!G13</f>
        <v>281507.3</v>
      </c>
      <c r="F6" s="61">
        <f>' DCF_ LINEAR REGRESSION'!H13</f>
        <v>350600.2</v>
      </c>
      <c r="G6" s="61">
        <f>' DCF_ LINEAR REGRESSION'!I13</f>
        <v>434016</v>
      </c>
      <c r="I6" s="61">
        <f>$D$9*I5+$E$9</f>
        <v>483097.14999999991</v>
      </c>
      <c r="J6" s="61">
        <f>$D$9*J5+$E$9</f>
        <v>544479.87</v>
      </c>
      <c r="K6" s="61">
        <f>$D$9*K5+$E$9</f>
        <v>605862.59</v>
      </c>
      <c r="L6" s="61">
        <f>$D$9*L5+$E$9</f>
        <v>667245.30999999994</v>
      </c>
      <c r="M6" s="61">
        <f>$D$9*M5+$E$9</f>
        <v>728628.02999999991</v>
      </c>
    </row>
    <row r="8" spans="2:13">
      <c r="D8" s="59" t="s">
        <v>112</v>
      </c>
      <c r="E8" s="59" t="s">
        <v>113</v>
      </c>
    </row>
    <row r="9" spans="2:13">
      <c r="D9" s="62">
        <f>SLOPE(D6:G6,D5:G5)</f>
        <v>61382.719999999994</v>
      </c>
      <c r="E9" s="63">
        <f>INTERCEPT(D6:G6,D5:G5)</f>
        <v>114800.82999999999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A990-775F-4958-9794-FFF3333AC06E}">
  <dimension ref="B2:N7"/>
  <sheetViews>
    <sheetView showGridLines="0" workbookViewId="0">
      <selection activeCell="J5" sqref="J5"/>
    </sheetView>
  </sheetViews>
  <sheetFormatPr defaultRowHeight="15"/>
  <sheetData>
    <row r="2" spans="2:14">
      <c r="C2" s="70" t="s">
        <v>123</v>
      </c>
      <c r="D2" s="70"/>
      <c r="E2" s="70"/>
      <c r="F2" s="70"/>
      <c r="J2" s="57" t="s">
        <v>124</v>
      </c>
      <c r="K2" s="57"/>
      <c r="L2" s="57"/>
      <c r="M2" s="57"/>
    </row>
    <row r="4" spans="2:14">
      <c r="B4" s="66" t="s">
        <v>125</v>
      </c>
      <c r="C4" s="67">
        <v>2019</v>
      </c>
      <c r="D4" s="67">
        <v>2020</v>
      </c>
      <c r="E4" s="67">
        <f>D4+1</f>
        <v>2021</v>
      </c>
      <c r="F4" s="67">
        <f t="shared" ref="F4:H4" si="0">E4+1</f>
        <v>2022</v>
      </c>
      <c r="G4" s="67">
        <f t="shared" si="0"/>
        <v>2023</v>
      </c>
      <c r="H4" s="67">
        <f t="shared" si="0"/>
        <v>2024</v>
      </c>
      <c r="J4" s="67">
        <v>2025</v>
      </c>
      <c r="K4" s="67">
        <f>J4+1</f>
        <v>2026</v>
      </c>
      <c r="L4" s="67">
        <f t="shared" ref="L4:N4" si="1">K4+1</f>
        <v>2027</v>
      </c>
      <c r="M4" s="67">
        <f t="shared" si="1"/>
        <v>2028</v>
      </c>
      <c r="N4" s="67">
        <f t="shared" si="1"/>
        <v>2029</v>
      </c>
    </row>
    <row r="5" spans="2:14">
      <c r="B5" s="66" t="s">
        <v>126</v>
      </c>
      <c r="C5" s="68">
        <v>301938</v>
      </c>
      <c r="D5" s="67">
        <v>264041.09999999998</v>
      </c>
      <c r="E5" s="67">
        <v>252437.9</v>
      </c>
      <c r="F5" s="67">
        <v>281507.3</v>
      </c>
      <c r="G5" s="67">
        <v>350600.2</v>
      </c>
      <c r="H5" s="69">
        <v>434016</v>
      </c>
      <c r="I5" s="30"/>
      <c r="J5" s="68">
        <f>$H$5*(1+$C$7)^(J4-$H$4)</f>
        <v>466684.45313952904</v>
      </c>
      <c r="K5" s="68">
        <f>$H$5*(1+$C$7)^(K4-$H$4)</f>
        <v>501811.86592692725</v>
      </c>
      <c r="L5" s="68">
        <f>$H$5*(1+$C$7)^(L4-$H$4)</f>
        <v>539583.32464479352</v>
      </c>
      <c r="M5" s="68">
        <f>$H$5*(1+$C$7)^(M4-$H$4)</f>
        <v>580197.84704956587</v>
      </c>
      <c r="N5" s="68">
        <f>$H$5*(1+$C$7)^(N4-$H$4)</f>
        <v>623869.43099576677</v>
      </c>
    </row>
    <row r="7" spans="2:14">
      <c r="B7" s="66" t="s">
        <v>127</v>
      </c>
      <c r="C7" s="81">
        <f>(H5/C5)^(1/5)-1</f>
        <v>7.5270158564497702E-2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5363-3D7B-465C-9B6E-1C85EA0A55D1}">
  <sheetPr>
    <tabColor rgb="FF0070C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C200-4129-4F1F-989A-E70DF0B1D6E7}">
  <dimension ref="B2:I23"/>
  <sheetViews>
    <sheetView showGridLines="0" topLeftCell="A4" workbookViewId="0">
      <selection activeCell="G10" sqref="G10"/>
    </sheetView>
  </sheetViews>
  <sheetFormatPr defaultRowHeight="15"/>
  <cols>
    <col min="3" max="3" width="11.85546875" customWidth="1"/>
    <col min="4" max="4" width="12.7109375" bestFit="1" customWidth="1"/>
  </cols>
  <sheetData>
    <row r="2" spans="2:9" ht="21">
      <c r="B2" s="2" t="s">
        <v>66</v>
      </c>
      <c r="C2" s="3"/>
      <c r="D2" s="3"/>
      <c r="E2" s="3"/>
      <c r="F2" s="3"/>
      <c r="G2" s="3"/>
      <c r="H2" s="3"/>
      <c r="I2" s="3"/>
    </row>
    <row r="4" spans="2:9">
      <c r="B4" s="57" t="s">
        <v>66</v>
      </c>
      <c r="C4" s="57"/>
      <c r="D4" s="57"/>
      <c r="E4" s="57"/>
      <c r="F4" s="57"/>
      <c r="G4" s="57"/>
      <c r="H4" s="57"/>
      <c r="I4" s="57"/>
    </row>
    <row r="6" spans="2:9">
      <c r="B6" s="1" t="s">
        <v>92</v>
      </c>
    </row>
    <row r="7" spans="2:9">
      <c r="B7" s="1" t="s">
        <v>93</v>
      </c>
    </row>
    <row r="9" spans="2:9">
      <c r="B9" s="1" t="s">
        <v>94</v>
      </c>
      <c r="C9" s="1"/>
      <c r="D9" s="30">
        <v>107264</v>
      </c>
    </row>
    <row r="10" spans="2:9">
      <c r="B10" s="1" t="s">
        <v>95</v>
      </c>
      <c r="C10" s="1"/>
      <c r="D10" s="154">
        <v>0.2</v>
      </c>
    </row>
    <row r="11" spans="2:9">
      <c r="B11" s="1" t="s">
        <v>96</v>
      </c>
      <c r="C11" s="1"/>
      <c r="D11" s="155">
        <v>5.2999999999999999E-2</v>
      </c>
    </row>
    <row r="12" spans="2:9">
      <c r="B12" s="1" t="s">
        <v>97</v>
      </c>
      <c r="C12" s="1"/>
      <c r="D12" s="74">
        <v>0.25</v>
      </c>
    </row>
    <row r="13" spans="2:9">
      <c r="B13" s="1"/>
      <c r="C13" s="1"/>
    </row>
    <row r="14" spans="2:9">
      <c r="B14" s="1" t="s">
        <v>89</v>
      </c>
      <c r="C14" s="1"/>
      <c r="D14" s="153">
        <v>253377</v>
      </c>
    </row>
    <row r="15" spans="2:9">
      <c r="B15" s="1" t="s">
        <v>98</v>
      </c>
      <c r="C15" s="1"/>
      <c r="D15" s="43">
        <v>0.8</v>
      </c>
    </row>
    <row r="16" spans="2:9">
      <c r="B16" s="1" t="s">
        <v>99</v>
      </c>
      <c r="C16" s="1"/>
      <c r="D16" s="152">
        <f>(D17+D18*(13-D17))/100</f>
        <v>0.16879000000000002</v>
      </c>
    </row>
    <row r="17" spans="2:4">
      <c r="B17" s="1" t="s">
        <v>100</v>
      </c>
      <c r="C17" s="1"/>
      <c r="D17" s="74">
        <v>7.0000000000000007E-2</v>
      </c>
    </row>
    <row r="18" spans="2:4">
      <c r="B18" s="1" t="s">
        <v>101</v>
      </c>
      <c r="C18" s="1"/>
      <c r="D18" s="75">
        <v>1.3</v>
      </c>
    </row>
    <row r="19" spans="2:4">
      <c r="B19" s="1" t="s">
        <v>102</v>
      </c>
      <c r="C19" s="1"/>
      <c r="D19" s="74">
        <v>0.06</v>
      </c>
    </row>
    <row r="20" spans="2:4">
      <c r="B20" s="1"/>
      <c r="C20" s="1"/>
    </row>
    <row r="21" spans="2:4">
      <c r="B21" s="1" t="s">
        <v>103</v>
      </c>
      <c r="C21" s="1"/>
      <c r="D21" s="30">
        <f>D9+D14</f>
        <v>360641</v>
      </c>
    </row>
    <row r="23" spans="2:4">
      <c r="B23" s="58" t="s">
        <v>66</v>
      </c>
      <c r="C23" s="44"/>
      <c r="D23" s="156">
        <f>(D15*D16)+(D10*D11*(1-D12))</f>
        <v>0.14298200000000003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38AB-D2BB-42B5-801C-4C106506A3EE}">
  <dimension ref="B2:O8"/>
  <sheetViews>
    <sheetView showGridLines="0" workbookViewId="0">
      <selection activeCell="H14" sqref="H14"/>
    </sheetView>
  </sheetViews>
  <sheetFormatPr defaultRowHeight="15"/>
  <cols>
    <col min="2" max="2" width="16.7109375" bestFit="1" customWidth="1"/>
    <col min="4" max="8" width="9" bestFit="1" customWidth="1"/>
    <col min="10" max="10" width="26.5703125" bestFit="1" customWidth="1"/>
    <col min="13" max="17" width="9" bestFit="1" customWidth="1"/>
  </cols>
  <sheetData>
    <row r="2" spans="2:15">
      <c r="C2" s="57"/>
      <c r="D2" s="57" t="s">
        <v>119</v>
      </c>
      <c r="E2" s="57"/>
      <c r="F2" s="57"/>
      <c r="K2" s="57"/>
      <c r="L2" s="57" t="s">
        <v>117</v>
      </c>
      <c r="M2" s="57"/>
      <c r="N2" s="57"/>
    </row>
    <row r="4" spans="2:15">
      <c r="B4" s="76" t="s">
        <v>194</v>
      </c>
      <c r="C4" s="76">
        <v>2020</v>
      </c>
      <c r="D4" s="76">
        <f>C4+1</f>
        <v>2021</v>
      </c>
      <c r="E4" s="76">
        <f t="shared" ref="E4:G4" si="0">D4+1</f>
        <v>2022</v>
      </c>
      <c r="F4" s="76">
        <f t="shared" si="0"/>
        <v>2023</v>
      </c>
      <c r="G4" s="76">
        <f t="shared" si="0"/>
        <v>2024</v>
      </c>
      <c r="J4" s="76" t="s">
        <v>194</v>
      </c>
      <c r="K4" s="76">
        <v>2020</v>
      </c>
      <c r="L4" s="76">
        <f>K4+1</f>
        <v>2021</v>
      </c>
      <c r="M4" s="76">
        <f t="shared" ref="M4:O4" si="1">L4+1</f>
        <v>2022</v>
      </c>
      <c r="N4" s="76">
        <f t="shared" si="1"/>
        <v>2023</v>
      </c>
      <c r="O4" s="76">
        <f t="shared" si="1"/>
        <v>2024</v>
      </c>
    </row>
    <row r="5" spans="2:15">
      <c r="B5" s="76" t="s">
        <v>33</v>
      </c>
      <c r="C5" s="85">
        <f>BS!B16</f>
        <v>161952.4</v>
      </c>
      <c r="D5" s="85">
        <f>BS!C16</f>
        <v>158867.79999999999</v>
      </c>
      <c r="E5" s="85">
        <f>BS!D16</f>
        <v>148299.4</v>
      </c>
      <c r="F5" s="85">
        <f>BS!E16</f>
        <v>145513.70000000001</v>
      </c>
      <c r="G5" s="85">
        <f>BS!F16</f>
        <v>156123.6</v>
      </c>
      <c r="J5" s="76" t="s">
        <v>107</v>
      </c>
      <c r="K5" s="56">
        <f>BS!B25</f>
        <v>119587.3</v>
      </c>
      <c r="L5" s="56">
        <f>BS!C25</f>
        <v>146887.6</v>
      </c>
      <c r="M5" s="56">
        <f>BS!D25</f>
        <v>146977.5</v>
      </c>
      <c r="N5" s="56">
        <f>BS!E25</f>
        <v>151528.5</v>
      </c>
      <c r="O5" s="56">
        <f>BS!F25</f>
        <v>168392.2</v>
      </c>
    </row>
    <row r="6" spans="2:15">
      <c r="B6" s="76" t="s">
        <v>77</v>
      </c>
      <c r="C6" s="86">
        <v>29531</v>
      </c>
      <c r="D6" s="86">
        <v>19855</v>
      </c>
      <c r="E6" s="86">
        <v>14938</v>
      </c>
      <c r="F6" s="86">
        <v>18945</v>
      </c>
      <c r="G6" s="86">
        <v>31183</v>
      </c>
      <c r="J6" s="76" t="s">
        <v>106</v>
      </c>
      <c r="K6" s="56">
        <f>BS!B11</f>
        <v>140454.1</v>
      </c>
      <c r="L6" s="56">
        <f>BS!C11</f>
        <v>157749.20000000001</v>
      </c>
      <c r="M6" s="56">
        <f>BS!D11</f>
        <v>150682.79999999999</v>
      </c>
      <c r="N6" s="56">
        <f>BS!E11</f>
        <v>155027.29999999999</v>
      </c>
      <c r="O6" s="56">
        <f>BS!F11</f>
        <v>173617</v>
      </c>
    </row>
    <row r="7" spans="2:15" ht="15.75" thickBot="1">
      <c r="D7" s="77"/>
      <c r="E7" s="77"/>
      <c r="F7" s="77"/>
      <c r="G7" s="77"/>
      <c r="H7" s="83"/>
      <c r="J7" s="76" t="s">
        <v>105</v>
      </c>
      <c r="K7" s="56">
        <f>K5-K6</f>
        <v>-20866.800000000003</v>
      </c>
      <c r="L7" s="56">
        <f>L5-L6</f>
        <v>-10861.600000000006</v>
      </c>
      <c r="M7" s="56">
        <f>M5-M6</f>
        <v>-3705.2999999999884</v>
      </c>
      <c r="N7" s="56">
        <f>N5-N6</f>
        <v>-3498.7999999999884</v>
      </c>
      <c r="O7" s="56">
        <f>O5-O6</f>
        <v>-5224.7999999999884</v>
      </c>
    </row>
    <row r="8" spans="2:15">
      <c r="J8" s="76" t="s">
        <v>118</v>
      </c>
      <c r="K8" s="56"/>
      <c r="L8" s="56">
        <f>L7-K7</f>
        <v>10005.199999999997</v>
      </c>
      <c r="M8" s="56">
        <f t="shared" ref="M8:O8" si="2">M7-L7</f>
        <v>7156.3000000000175</v>
      </c>
      <c r="N8" s="56">
        <f t="shared" si="2"/>
        <v>206.5</v>
      </c>
      <c r="O8" s="56">
        <f t="shared" si="2"/>
        <v>-1726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45D5-61E6-4AC4-B345-0688B745EC9C}">
  <sheetPr>
    <tabColor rgb="FF0070C0"/>
  </sheetPr>
  <dimension ref="A1"/>
  <sheetViews>
    <sheetView zoomScaleNormal="100" workbookViewId="0"/>
  </sheetViews>
  <sheetFormatPr defaultRowHeight="15"/>
  <sheetData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EF5E-CCF9-494D-A2B0-1F59AD726EE4}">
  <dimension ref="A1:F16"/>
  <sheetViews>
    <sheetView workbookViewId="0">
      <selection activeCell="C20" sqref="C20"/>
    </sheetView>
  </sheetViews>
  <sheetFormatPr defaultRowHeight="15"/>
  <cols>
    <col min="1" max="1" width="34.28515625" bestFit="1" customWidth="1"/>
    <col min="2" max="6" width="12.140625" bestFit="1" customWidth="1"/>
  </cols>
  <sheetData>
    <row r="1" spans="1:6">
      <c r="A1" t="s">
        <v>120</v>
      </c>
      <c r="B1" t="s">
        <v>3</v>
      </c>
      <c r="C1" t="s">
        <v>2</v>
      </c>
      <c r="D1" t="s">
        <v>1</v>
      </c>
      <c r="E1" t="s">
        <v>114</v>
      </c>
      <c r="F1" t="s">
        <v>0</v>
      </c>
    </row>
    <row r="2" spans="1:6">
      <c r="A2" t="s">
        <v>4</v>
      </c>
      <c r="B2" s="49">
        <v>264041.09999999998</v>
      </c>
      <c r="C2" s="49">
        <v>252437.9</v>
      </c>
      <c r="D2" s="49">
        <v>281507.3</v>
      </c>
      <c r="E2" s="50">
        <v>350600.2</v>
      </c>
      <c r="F2" s="65">
        <v>434016</v>
      </c>
    </row>
    <row r="3" spans="1:6">
      <c r="A3" t="s">
        <v>5</v>
      </c>
      <c r="B3" s="49">
        <v>243080.9</v>
      </c>
      <c r="C3" s="49">
        <v>217507.3</v>
      </c>
      <c r="D3" s="49">
        <v>253733.5</v>
      </c>
      <c r="E3" s="51">
        <v>314047.3</v>
      </c>
      <c r="F3" s="49">
        <v>378389.4</v>
      </c>
    </row>
    <row r="4" spans="1:6">
      <c r="A4" t="s">
        <v>6</v>
      </c>
      <c r="B4" s="49">
        <v>17987.099999999999</v>
      </c>
      <c r="C4" s="49">
        <v>32287.4</v>
      </c>
      <c r="D4" s="49">
        <v>24720.1</v>
      </c>
      <c r="E4" s="50">
        <v>31919.7</v>
      </c>
      <c r="F4" s="49">
        <v>59538.3</v>
      </c>
    </row>
    <row r="5" spans="1:6">
      <c r="A5" t="s">
        <v>7</v>
      </c>
      <c r="B5" s="49">
        <v>6.8099999999999994E-2</v>
      </c>
      <c r="C5" s="49">
        <v>0.12790000000000001</v>
      </c>
      <c r="D5" s="49">
        <v>8.7800000000000003E-2</v>
      </c>
      <c r="E5" s="51">
        <v>9.0999999999999998E-2</v>
      </c>
      <c r="F5" s="49">
        <v>0.1341</v>
      </c>
    </row>
    <row r="6" spans="1:6">
      <c r="A6" t="s">
        <v>8</v>
      </c>
      <c r="B6" s="49">
        <v>271749.7</v>
      </c>
      <c r="C6" s="49">
        <v>249151.2</v>
      </c>
      <c r="D6" s="49">
        <v>287881.09999999998</v>
      </c>
      <c r="E6" s="50">
        <v>349133.1</v>
      </c>
      <c r="F6" s="49">
        <v>415645.3</v>
      </c>
    </row>
    <row r="7" spans="1:6">
      <c r="A7" t="s">
        <v>9</v>
      </c>
      <c r="B7" s="49">
        <v>20960.2</v>
      </c>
      <c r="C7" s="49">
        <v>34930.6</v>
      </c>
      <c r="D7" s="49">
        <v>27773.7</v>
      </c>
      <c r="E7" s="51">
        <v>36552.9</v>
      </c>
      <c r="F7" s="49">
        <v>65488.3</v>
      </c>
    </row>
    <row r="8" spans="1:6">
      <c r="A8" t="s">
        <v>10</v>
      </c>
      <c r="B8" s="49">
        <v>7.9399999999999998E-2</v>
      </c>
      <c r="C8" s="49">
        <v>0.1384</v>
      </c>
      <c r="D8" s="49">
        <v>9.8699999999999996E-2</v>
      </c>
      <c r="E8" s="50">
        <v>0.1043</v>
      </c>
      <c r="F8" s="49">
        <v>0.14749999999999999</v>
      </c>
    </row>
    <row r="9" spans="1:6">
      <c r="A9" t="s">
        <v>11</v>
      </c>
      <c r="B9" s="49">
        <v>7243.3</v>
      </c>
      <c r="C9" s="49">
        <v>8097.2</v>
      </c>
      <c r="D9" s="49">
        <v>9311.9</v>
      </c>
      <c r="E9" s="51">
        <v>10225.5</v>
      </c>
      <c r="F9" s="49">
        <v>9985.7999999999993</v>
      </c>
    </row>
    <row r="10" spans="1:6">
      <c r="A10" t="s">
        <v>12</v>
      </c>
      <c r="B10" s="49">
        <v>21425.4</v>
      </c>
      <c r="C10" s="49">
        <v>23546.7</v>
      </c>
      <c r="D10" s="49">
        <v>24835.7</v>
      </c>
      <c r="E10" s="50">
        <v>24860.400000000001</v>
      </c>
      <c r="F10" s="49">
        <v>27270.1</v>
      </c>
    </row>
    <row r="11" spans="1:6">
      <c r="A11" t="s">
        <v>13</v>
      </c>
      <c r="B11" s="49">
        <v>-10580</v>
      </c>
      <c r="C11" s="49">
        <v>-10474.299999999999</v>
      </c>
      <c r="D11" s="49">
        <v>-7003.4</v>
      </c>
      <c r="E11" s="51">
        <v>3057.6</v>
      </c>
      <c r="F11" s="49">
        <v>27255.3</v>
      </c>
    </row>
    <row r="12" spans="1:6">
      <c r="A12" t="s">
        <v>14</v>
      </c>
      <c r="B12" s="49">
        <v>395.3</v>
      </c>
      <c r="C12" s="49">
        <v>2541.9</v>
      </c>
      <c r="D12" s="49">
        <v>4231.3</v>
      </c>
      <c r="E12" s="50">
        <v>704.1</v>
      </c>
      <c r="F12" s="49">
        <v>-3851.6</v>
      </c>
    </row>
    <row r="13" spans="1:6">
      <c r="A13" t="s">
        <v>15</v>
      </c>
      <c r="B13" s="49">
        <v>-10975.2</v>
      </c>
      <c r="C13" s="49">
        <v>-13016.1</v>
      </c>
      <c r="D13" s="49">
        <v>-11234.7</v>
      </c>
      <c r="E13" s="51">
        <v>2353.5</v>
      </c>
      <c r="F13" s="49">
        <v>31107</v>
      </c>
    </row>
    <row r="14" spans="1:6">
      <c r="A14" t="s">
        <v>16</v>
      </c>
      <c r="B14" s="49">
        <v>-12070.9</v>
      </c>
      <c r="C14" s="49">
        <v>-13451.4</v>
      </c>
      <c r="D14" s="49">
        <v>-11441.5</v>
      </c>
      <c r="E14" s="50">
        <v>2414.3000000000002</v>
      </c>
      <c r="F14" s="49">
        <v>31399.1</v>
      </c>
    </row>
    <row r="15" spans="1:6">
      <c r="A15" t="s">
        <v>17</v>
      </c>
      <c r="B15" s="49">
        <v>-4.2000000000000003E-2</v>
      </c>
      <c r="C15" s="49">
        <v>-5.21E-2</v>
      </c>
      <c r="D15" s="49">
        <v>-4.0300000000000002E-2</v>
      </c>
      <c r="E15" s="51">
        <v>6.7999999999999996E-3</v>
      </c>
      <c r="F15" s="49">
        <v>7.0999999999999994E-2</v>
      </c>
    </row>
    <row r="16" spans="1:6">
      <c r="A16" t="s">
        <v>18</v>
      </c>
      <c r="B16" s="49">
        <v>-32.799999999999997</v>
      </c>
      <c r="C16" s="49">
        <v>-36.5</v>
      </c>
      <c r="D16" s="49">
        <v>-31.1</v>
      </c>
      <c r="E16" s="50">
        <v>6.6</v>
      </c>
      <c r="F16" s="49">
        <v>85.3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2012-EAB6-4BAE-ADDB-868EC0379BB3}">
  <dimension ref="A1:F35"/>
  <sheetViews>
    <sheetView workbookViewId="0">
      <selection activeCell="C20" sqref="C20"/>
    </sheetView>
  </sheetViews>
  <sheetFormatPr defaultRowHeight="15"/>
  <cols>
    <col min="1" max="1" width="48.85546875" bestFit="1" customWidth="1"/>
    <col min="2" max="6" width="9.85546875" bestFit="1" customWidth="1"/>
    <col min="11" max="11" width="9.85546875" bestFit="1" customWidth="1"/>
  </cols>
  <sheetData>
    <row r="1" spans="1:6">
      <c r="A1" s="52" t="s">
        <v>115</v>
      </c>
      <c r="B1" s="52" t="s">
        <v>3</v>
      </c>
      <c r="C1" s="52" t="s">
        <v>2</v>
      </c>
      <c r="D1" s="52" t="s">
        <v>1</v>
      </c>
      <c r="E1" s="52" t="s">
        <v>114</v>
      </c>
      <c r="F1" s="52" t="s">
        <v>0</v>
      </c>
    </row>
    <row r="2" spans="1:6">
      <c r="A2" s="52" t="s">
        <v>19</v>
      </c>
      <c r="B2" s="49">
        <v>63078.5</v>
      </c>
      <c r="C2" s="49">
        <v>55246.7</v>
      </c>
      <c r="D2" s="49">
        <v>44554.9</v>
      </c>
      <c r="E2" s="49">
        <v>47819.3</v>
      </c>
      <c r="F2" s="50">
        <v>87464.2</v>
      </c>
    </row>
    <row r="3" spans="1:6">
      <c r="A3" s="52" t="s">
        <v>20</v>
      </c>
      <c r="B3" s="49">
        <v>719.5</v>
      </c>
      <c r="C3" s="49">
        <v>765.8</v>
      </c>
      <c r="D3" s="49">
        <v>765.9</v>
      </c>
      <c r="E3" s="49">
        <v>766</v>
      </c>
      <c r="F3" s="51">
        <v>766.5</v>
      </c>
    </row>
    <row r="4" spans="1:6">
      <c r="A4" s="52" t="s">
        <v>21</v>
      </c>
      <c r="B4" s="49">
        <v>719.5</v>
      </c>
      <c r="C4" s="49">
        <v>765.8</v>
      </c>
      <c r="D4" s="49">
        <v>765.9</v>
      </c>
      <c r="E4" s="49">
        <v>3266</v>
      </c>
      <c r="F4" s="50">
        <v>3314.4</v>
      </c>
    </row>
    <row r="5" spans="1:6">
      <c r="A5" s="52" t="s">
        <v>22</v>
      </c>
      <c r="B5" s="49">
        <v>61491.5</v>
      </c>
      <c r="C5" s="49">
        <v>54480.9</v>
      </c>
      <c r="D5" s="49">
        <v>43789</v>
      </c>
      <c r="E5" s="49">
        <v>44553.3</v>
      </c>
      <c r="F5" s="51">
        <v>84149.8</v>
      </c>
    </row>
    <row r="6" spans="1:6">
      <c r="A6" s="52" t="s">
        <v>23</v>
      </c>
      <c r="B6" s="49">
        <v>61491.5</v>
      </c>
      <c r="C6" s="49">
        <v>54480.9</v>
      </c>
      <c r="D6" s="49">
        <v>43789</v>
      </c>
      <c r="E6" s="49">
        <v>44553.3</v>
      </c>
      <c r="F6" s="50">
        <v>84149.8</v>
      </c>
    </row>
    <row r="7" spans="1:6">
      <c r="A7" s="52" t="s">
        <v>24</v>
      </c>
      <c r="B7" s="49">
        <v>813.6</v>
      </c>
      <c r="C7" s="49">
        <v>1573.5</v>
      </c>
      <c r="D7" s="49">
        <v>4271.1000000000004</v>
      </c>
      <c r="E7" s="49">
        <v>7277.7</v>
      </c>
      <c r="F7" s="51">
        <v>8175.9</v>
      </c>
    </row>
    <row r="8" spans="1:6">
      <c r="A8" s="52" t="s">
        <v>25</v>
      </c>
      <c r="B8" s="49">
        <v>117775.1</v>
      </c>
      <c r="C8" s="49">
        <v>128556.4</v>
      </c>
      <c r="D8" s="49">
        <v>131104.79999999999</v>
      </c>
      <c r="E8" s="49">
        <v>125954.5</v>
      </c>
      <c r="F8" s="50">
        <v>101405.1</v>
      </c>
    </row>
    <row r="9" spans="1:6">
      <c r="A9" s="52" t="s">
        <v>26</v>
      </c>
      <c r="B9" s="49">
        <v>1941.9</v>
      </c>
      <c r="C9" s="49">
        <v>1555.9</v>
      </c>
      <c r="D9" s="49">
        <v>1558.4</v>
      </c>
      <c r="E9" s="49">
        <v>1407</v>
      </c>
      <c r="F9" s="51">
        <v>1143.4000000000001</v>
      </c>
    </row>
    <row r="10" spans="1:6">
      <c r="A10" s="52" t="s">
        <v>27</v>
      </c>
      <c r="B10" s="49">
        <v>17780.900000000001</v>
      </c>
      <c r="C10" s="49">
        <v>20281</v>
      </c>
      <c r="D10" s="49">
        <v>18831.3</v>
      </c>
      <c r="E10" s="49">
        <v>22655.3</v>
      </c>
      <c r="F10" s="50">
        <v>21576.6</v>
      </c>
    </row>
    <row r="11" spans="1:6">
      <c r="A11" s="52" t="s">
        <v>28</v>
      </c>
      <c r="B11" s="49">
        <v>140454.1</v>
      </c>
      <c r="C11" s="49">
        <v>157749.20000000001</v>
      </c>
      <c r="D11" s="49">
        <v>150682.79999999999</v>
      </c>
      <c r="E11" s="49">
        <v>155027.29999999999</v>
      </c>
      <c r="F11" s="51">
        <v>173617</v>
      </c>
    </row>
    <row r="12" spans="1:6">
      <c r="A12" s="52" t="s">
        <v>29</v>
      </c>
      <c r="B12" s="49">
        <v>63626.9</v>
      </c>
      <c r="C12" s="49">
        <v>68179.8</v>
      </c>
      <c r="D12" s="49">
        <v>59970.400000000001</v>
      </c>
      <c r="E12" s="49">
        <v>72055.8</v>
      </c>
      <c r="F12" s="50">
        <v>88043</v>
      </c>
    </row>
    <row r="13" spans="1:6">
      <c r="A13" s="52" t="s">
        <v>30</v>
      </c>
      <c r="B13" s="49">
        <v>50135.6</v>
      </c>
      <c r="C13" s="49">
        <v>55058.5</v>
      </c>
      <c r="D13" s="49">
        <v>38028.300000000003</v>
      </c>
      <c r="E13" s="49">
        <v>34196.199999999997</v>
      </c>
      <c r="F13" s="51">
        <v>36931</v>
      </c>
    </row>
    <row r="14" spans="1:6">
      <c r="A14" s="52" t="s">
        <v>31</v>
      </c>
      <c r="B14" s="49">
        <v>10329</v>
      </c>
      <c r="C14" s="49">
        <v>12848</v>
      </c>
      <c r="D14" s="49">
        <v>10766.3</v>
      </c>
      <c r="E14" s="49">
        <v>11810.7</v>
      </c>
      <c r="F14" s="50">
        <v>12291.5</v>
      </c>
    </row>
    <row r="15" spans="1:6">
      <c r="A15" s="52" t="s">
        <v>32</v>
      </c>
      <c r="B15" s="49">
        <v>322121.3</v>
      </c>
      <c r="C15" s="49">
        <v>343125.8</v>
      </c>
      <c r="D15" s="49">
        <v>330619.90000000002</v>
      </c>
      <c r="E15" s="49">
        <v>336081.4</v>
      </c>
      <c r="F15" s="51">
        <v>370664</v>
      </c>
    </row>
    <row r="16" spans="1:6">
      <c r="A16" s="52" t="s">
        <v>33</v>
      </c>
      <c r="B16" s="49">
        <v>161952.4</v>
      </c>
      <c r="C16" s="49">
        <v>158867.79999999999</v>
      </c>
      <c r="D16" s="49">
        <v>148299.4</v>
      </c>
      <c r="E16" s="49">
        <v>145513.70000000001</v>
      </c>
      <c r="F16" s="50">
        <v>156123.6</v>
      </c>
    </row>
    <row r="17" spans="1:6">
      <c r="A17" s="52" t="s">
        <v>34</v>
      </c>
      <c r="B17" s="49">
        <v>84158.2</v>
      </c>
      <c r="C17" s="49">
        <v>86130.7</v>
      </c>
      <c r="D17" s="49">
        <v>87586.2</v>
      </c>
      <c r="E17" s="49">
        <v>84442.5</v>
      </c>
      <c r="F17" s="51">
        <v>81184.2</v>
      </c>
    </row>
    <row r="18" spans="1:6">
      <c r="A18" s="52" t="s">
        <v>35</v>
      </c>
      <c r="B18" s="49">
        <v>42171.9</v>
      </c>
      <c r="C18" s="49">
        <v>51773.2</v>
      </c>
      <c r="D18" s="49">
        <v>50462.1</v>
      </c>
      <c r="E18" s="49">
        <v>46796.7</v>
      </c>
      <c r="F18" s="50">
        <v>39241.1</v>
      </c>
    </row>
    <row r="19" spans="1:6">
      <c r="A19" s="52" t="s">
        <v>36</v>
      </c>
      <c r="B19" s="49">
        <v>8599.6</v>
      </c>
      <c r="C19" s="49">
        <v>8377.1</v>
      </c>
      <c r="D19" s="49">
        <v>3529</v>
      </c>
      <c r="E19" s="49">
        <v>5219.8999999999996</v>
      </c>
      <c r="F19" s="51">
        <v>10937.3</v>
      </c>
    </row>
    <row r="20" spans="1:6">
      <c r="A20" s="52" t="s">
        <v>37</v>
      </c>
      <c r="B20" s="49">
        <v>202534</v>
      </c>
      <c r="C20" s="49">
        <v>196238.2</v>
      </c>
      <c r="D20" s="49">
        <v>183642.4</v>
      </c>
      <c r="E20" s="49">
        <v>184552.9</v>
      </c>
      <c r="F20" s="50">
        <v>202271.8</v>
      </c>
    </row>
    <row r="21" spans="1:6">
      <c r="A21" s="52" t="s">
        <v>38</v>
      </c>
      <c r="B21" s="49">
        <v>5446.9</v>
      </c>
      <c r="C21" s="49">
        <v>5569.1</v>
      </c>
      <c r="D21" s="49">
        <v>6670.3</v>
      </c>
      <c r="E21" s="49">
        <v>7540.9</v>
      </c>
      <c r="F21" s="51">
        <v>8717.7999999999993</v>
      </c>
    </row>
    <row r="22" spans="1:6">
      <c r="A22" s="52" t="s">
        <v>39</v>
      </c>
      <c r="B22" s="49">
        <v>5457.9</v>
      </c>
      <c r="C22" s="49">
        <v>4520.3999999999996</v>
      </c>
      <c r="D22" s="49">
        <v>3870.9</v>
      </c>
      <c r="E22" s="49">
        <v>5184.7</v>
      </c>
      <c r="F22" s="50">
        <v>13099</v>
      </c>
    </row>
    <row r="23" spans="1:6">
      <c r="A23" s="52" t="s">
        <v>40</v>
      </c>
      <c r="B23" s="49">
        <v>782.8</v>
      </c>
      <c r="C23" s="49">
        <v>1204.5999999999999</v>
      </c>
      <c r="D23" s="49">
        <v>843.4</v>
      </c>
      <c r="E23" s="49">
        <v>870.7</v>
      </c>
      <c r="F23" s="51">
        <v>441.6</v>
      </c>
    </row>
    <row r="24" spans="1:6">
      <c r="A24" s="52" t="s">
        <v>41</v>
      </c>
      <c r="B24" s="49">
        <v>28117</v>
      </c>
      <c r="C24" s="49">
        <v>25272.6</v>
      </c>
      <c r="D24" s="49">
        <v>23151.3</v>
      </c>
      <c r="E24" s="49">
        <v>24602.5</v>
      </c>
      <c r="F24" s="50">
        <v>23029.5</v>
      </c>
    </row>
    <row r="25" spans="1:6">
      <c r="A25" s="52" t="s">
        <v>42</v>
      </c>
      <c r="B25" s="49">
        <v>119587.3</v>
      </c>
      <c r="C25" s="49">
        <v>146887.6</v>
      </c>
      <c r="D25" s="49">
        <v>146977.5</v>
      </c>
      <c r="E25" s="49">
        <v>151528.5</v>
      </c>
      <c r="F25" s="51">
        <v>168392.2</v>
      </c>
    </row>
    <row r="26" spans="1:6">
      <c r="A26" s="52" t="s">
        <v>43</v>
      </c>
      <c r="B26" s="49">
        <v>10861.5</v>
      </c>
      <c r="C26" s="49">
        <v>19051.2</v>
      </c>
      <c r="D26" s="49">
        <v>22709.200000000001</v>
      </c>
      <c r="E26" s="49">
        <v>18838.3</v>
      </c>
      <c r="F26" s="50">
        <v>14253.2</v>
      </c>
    </row>
    <row r="27" spans="1:6">
      <c r="A27" s="52" t="s">
        <v>44</v>
      </c>
      <c r="B27" s="49">
        <v>11172.7</v>
      </c>
      <c r="C27" s="49">
        <v>12679.1</v>
      </c>
      <c r="D27" s="49">
        <v>12442.1</v>
      </c>
      <c r="E27" s="49">
        <v>15738</v>
      </c>
      <c r="F27" s="51">
        <v>16951.8</v>
      </c>
    </row>
    <row r="28" spans="1:6">
      <c r="A28" s="52" t="s">
        <v>45</v>
      </c>
      <c r="B28" s="49">
        <v>33727</v>
      </c>
      <c r="C28" s="49">
        <v>46792.5</v>
      </c>
      <c r="D28" s="49">
        <v>40669.199999999997</v>
      </c>
      <c r="E28" s="49">
        <v>37015.599999999999</v>
      </c>
      <c r="F28" s="50">
        <v>45806.7</v>
      </c>
    </row>
    <row r="29" spans="1:6">
      <c r="A29" s="52" t="s">
        <v>46</v>
      </c>
      <c r="B29" s="49">
        <v>935.3</v>
      </c>
      <c r="C29" s="49">
        <v>1749.4</v>
      </c>
      <c r="D29" s="49">
        <v>1671.9</v>
      </c>
      <c r="E29" s="49">
        <v>2302.8000000000002</v>
      </c>
      <c r="F29" s="51">
        <v>196.7</v>
      </c>
    </row>
    <row r="30" spans="1:6">
      <c r="A30" s="52" t="s">
        <v>47</v>
      </c>
      <c r="B30" s="49">
        <v>25433.9</v>
      </c>
      <c r="C30" s="49">
        <v>30526.9</v>
      </c>
      <c r="D30" s="49">
        <v>34244.699999999997</v>
      </c>
      <c r="E30" s="49">
        <v>36878.400000000001</v>
      </c>
      <c r="F30" s="50">
        <v>43395.4</v>
      </c>
    </row>
    <row r="31" spans="1:6">
      <c r="A31" s="52" t="s">
        <v>48</v>
      </c>
      <c r="B31" s="49">
        <v>322121.3</v>
      </c>
      <c r="C31" s="49">
        <v>343125.8</v>
      </c>
      <c r="D31" s="49">
        <v>330619.90000000002</v>
      </c>
      <c r="E31" s="49">
        <v>336081.4</v>
      </c>
      <c r="F31" s="51">
        <v>370664</v>
      </c>
    </row>
    <row r="32" spans="1:6">
      <c r="A32" s="52" t="s">
        <v>49</v>
      </c>
      <c r="B32" s="49">
        <v>15590.8</v>
      </c>
      <c r="C32" s="49">
        <v>17773.8</v>
      </c>
      <c r="D32" s="49">
        <v>18470.5</v>
      </c>
      <c r="E32" s="49">
        <v>39477.300000000003</v>
      </c>
      <c r="F32" s="50">
        <v>43055.3</v>
      </c>
    </row>
    <row r="33" spans="1:6">
      <c r="A33" s="52" t="s">
        <v>50</v>
      </c>
      <c r="B33" s="49">
        <v>111.3</v>
      </c>
      <c r="C33" s="49">
        <v>111.3</v>
      </c>
      <c r="D33" s="49">
        <v>111.3</v>
      </c>
      <c r="E33" s="49">
        <v>111.3</v>
      </c>
      <c r="F33" s="51">
        <v>111.3</v>
      </c>
    </row>
    <row r="34" spans="1:6">
      <c r="A34" s="52" t="s">
        <v>51</v>
      </c>
      <c r="B34" s="49">
        <v>711.6</v>
      </c>
      <c r="C34" s="49">
        <v>868.9</v>
      </c>
      <c r="D34" s="49">
        <v>975.4</v>
      </c>
      <c r="E34" s="49">
        <v>1131.5</v>
      </c>
      <c r="F34" s="50">
        <v>1342.2</v>
      </c>
    </row>
    <row r="35" spans="1:6">
      <c r="A35" s="52" t="s">
        <v>52</v>
      </c>
      <c r="B35" s="49">
        <v>10861.5</v>
      </c>
      <c r="C35" s="49">
        <v>19051.2</v>
      </c>
      <c r="D35" s="49">
        <v>22023.599999999999</v>
      </c>
      <c r="E35" s="49">
        <v>18703.900000000001</v>
      </c>
      <c r="F35" s="51">
        <v>13988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8BE4-35A9-455D-A30C-070237CB5545}">
  <dimension ref="A1:F10"/>
  <sheetViews>
    <sheetView workbookViewId="0">
      <selection activeCell="C20" sqref="C20"/>
    </sheetView>
  </sheetViews>
  <sheetFormatPr defaultRowHeight="15"/>
  <cols>
    <col min="1" max="1" width="35.7109375" bestFit="1" customWidth="1"/>
    <col min="2" max="6" width="9.85546875" bestFit="1" customWidth="1"/>
  </cols>
  <sheetData>
    <row r="1" spans="1:6">
      <c r="A1" s="52" t="s">
        <v>116</v>
      </c>
      <c r="B1" s="49" t="s">
        <v>3</v>
      </c>
      <c r="C1" s="49" t="s">
        <v>2</v>
      </c>
      <c r="D1" s="49" t="s">
        <v>1</v>
      </c>
      <c r="E1" s="49" t="s">
        <v>114</v>
      </c>
      <c r="F1" s="49" t="s">
        <v>0</v>
      </c>
    </row>
    <row r="2" spans="1:6">
      <c r="A2" s="52" t="s">
        <v>53</v>
      </c>
      <c r="B2" s="49">
        <v>26632.9</v>
      </c>
      <c r="C2" s="49">
        <v>29000.5</v>
      </c>
      <c r="D2" s="49">
        <v>14282.8</v>
      </c>
      <c r="E2" s="50">
        <v>35388</v>
      </c>
      <c r="F2" s="49">
        <v>67915.399999999994</v>
      </c>
    </row>
    <row r="3" spans="1:6">
      <c r="A3" s="52" t="s">
        <v>13</v>
      </c>
      <c r="B3" s="49">
        <v>-10580</v>
      </c>
      <c r="C3" s="49">
        <v>-10474.299999999999</v>
      </c>
      <c r="D3" s="49">
        <v>-7003.4</v>
      </c>
      <c r="E3" s="51">
        <v>3057.6</v>
      </c>
      <c r="F3" s="49">
        <v>27255.3</v>
      </c>
    </row>
    <row r="4" spans="1:6">
      <c r="A4" s="52" t="s">
        <v>11</v>
      </c>
      <c r="B4" s="49">
        <v>7243.3</v>
      </c>
      <c r="C4" s="49">
        <v>8097.2</v>
      </c>
      <c r="D4" s="49">
        <v>9311.9</v>
      </c>
      <c r="E4" s="50">
        <v>10225.5</v>
      </c>
      <c r="F4" s="49">
        <v>9985.7999999999993</v>
      </c>
    </row>
    <row r="5" spans="1:6">
      <c r="A5" s="52" t="s">
        <v>14</v>
      </c>
      <c r="B5" s="49">
        <v>395.3</v>
      </c>
      <c r="C5" s="49">
        <v>2541.9</v>
      </c>
      <c r="D5" s="49">
        <v>4231.3</v>
      </c>
      <c r="E5" s="51">
        <v>704.1</v>
      </c>
      <c r="F5" s="49">
        <v>-3851.6</v>
      </c>
    </row>
    <row r="6" spans="1:6">
      <c r="A6" s="52" t="s">
        <v>54</v>
      </c>
      <c r="B6" s="49">
        <v>-34170.199999999997</v>
      </c>
      <c r="C6" s="49">
        <v>-26126.3</v>
      </c>
      <c r="D6" s="49">
        <v>-4775.1000000000004</v>
      </c>
      <c r="E6" s="50">
        <v>-16804.2</v>
      </c>
      <c r="F6" s="49">
        <v>-22828.1</v>
      </c>
    </row>
    <row r="7" spans="1:6">
      <c r="A7" s="52" t="s">
        <v>55</v>
      </c>
      <c r="B7" s="49">
        <v>3389.6</v>
      </c>
      <c r="C7" s="49">
        <v>9904.2000000000007</v>
      </c>
      <c r="D7" s="49">
        <v>-3380.2</v>
      </c>
      <c r="E7" s="51">
        <v>-26242.9</v>
      </c>
      <c r="F7" s="49">
        <v>-37006</v>
      </c>
    </row>
    <row r="8" spans="1:6">
      <c r="A8" s="52" t="s">
        <v>56</v>
      </c>
      <c r="B8" s="49">
        <v>-4147.7</v>
      </c>
      <c r="C8" s="49">
        <v>12778.5</v>
      </c>
      <c r="D8" s="49">
        <v>6127.5</v>
      </c>
      <c r="E8" s="50">
        <v>-7659.1</v>
      </c>
      <c r="F8" s="49">
        <v>8081.3</v>
      </c>
    </row>
    <row r="9" spans="1:6">
      <c r="A9" s="52" t="s">
        <v>57</v>
      </c>
      <c r="B9" s="49">
        <v>21559.8</v>
      </c>
      <c r="C9" s="49">
        <v>18467.8</v>
      </c>
      <c r="D9" s="49">
        <v>31700</v>
      </c>
      <c r="E9" s="51">
        <v>38159</v>
      </c>
      <c r="F9" s="49">
        <v>31887</v>
      </c>
    </row>
    <row r="10" spans="1:6">
      <c r="A10" s="52" t="s">
        <v>58</v>
      </c>
      <c r="B10" s="49">
        <v>18467.8</v>
      </c>
      <c r="C10" s="49">
        <v>31700</v>
      </c>
      <c r="D10" s="49">
        <v>38159</v>
      </c>
      <c r="E10" s="50">
        <v>31887</v>
      </c>
      <c r="F10" s="49">
        <v>40014.800000000003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94DA-6D45-4098-BF8D-84D945CB85EB}">
  <sheetPr>
    <pageSetUpPr fitToPage="1"/>
  </sheetPr>
  <dimension ref="A1:N29"/>
  <sheetViews>
    <sheetView zoomScale="120" zoomScaleNormal="120" zoomScaleSheetLayoutView="100" zoomScalePageLayoutView="120" workbookViewId="0">
      <pane xSplit="1" ySplit="4" topLeftCell="B17" activePane="bottomRight" state="frozen"/>
      <selection activeCell="I2" sqref="I2"/>
      <selection pane="topRight" activeCell="I2" sqref="I2"/>
      <selection pane="bottomLeft" activeCell="I2" sqref="I2"/>
      <selection pane="bottomRight" activeCell="F29" sqref="F29"/>
    </sheetView>
  </sheetViews>
  <sheetFormatPr defaultColWidth="8.85546875" defaultRowHeight="15"/>
  <cols>
    <col min="1" max="1" width="20.7109375" customWidth="1"/>
    <col min="2" max="5" width="13.42578125" customWidth="1"/>
    <col min="6" max="6" width="24" bestFit="1" customWidth="1"/>
    <col min="7" max="7" width="14.85546875" bestFit="1" customWidth="1"/>
    <col min="8" max="11" width="13.42578125" customWidth="1"/>
    <col min="12" max="12" width="13.28515625" customWidth="1"/>
    <col min="13" max="14" width="12.140625" customWidth="1"/>
  </cols>
  <sheetData>
    <row r="1" spans="1:14" s="1" customFormat="1">
      <c r="A1" s="1" t="str">
        <f>'[1]Data Sheet'!B1</f>
        <v>TATA MOTORS LTD</v>
      </c>
      <c r="H1" t="str">
        <f>UPDATE</f>
        <v/>
      </c>
      <c r="J1" s="157"/>
      <c r="K1" s="157"/>
      <c r="M1" s="1" t="s">
        <v>215</v>
      </c>
    </row>
    <row r="3" spans="1:14" s="1" customFormat="1">
      <c r="A3" s="158" t="s">
        <v>216</v>
      </c>
      <c r="B3" s="159">
        <f>'[1]Data Sheet'!B16</f>
        <v>42460</v>
      </c>
      <c r="C3" s="159">
        <f>'[1]Data Sheet'!C16</f>
        <v>42825</v>
      </c>
      <c r="D3" s="159">
        <f>'[1]Data Sheet'!D16</f>
        <v>43190</v>
      </c>
      <c r="E3" s="159">
        <f>'[1]Data Sheet'!E16</f>
        <v>43555</v>
      </c>
      <c r="F3" s="159">
        <f>'[1]Data Sheet'!F16</f>
        <v>43921</v>
      </c>
      <c r="G3" s="159">
        <f>'[1]Data Sheet'!G16</f>
        <v>44286</v>
      </c>
      <c r="H3" s="159">
        <f>'[1]Data Sheet'!H16</f>
        <v>44651</v>
      </c>
      <c r="I3" s="159">
        <f>'[1]Data Sheet'!I16</f>
        <v>45016</v>
      </c>
      <c r="J3" s="159">
        <f>'[1]Data Sheet'!J16</f>
        <v>45382</v>
      </c>
      <c r="K3" s="159">
        <f>'[1]Data Sheet'!K16</f>
        <v>45747</v>
      </c>
      <c r="L3" s="160" t="s">
        <v>217</v>
      </c>
      <c r="M3" s="160" t="s">
        <v>218</v>
      </c>
      <c r="N3" s="160" t="s">
        <v>219</v>
      </c>
    </row>
    <row r="4" spans="1:14" s="1" customFormat="1">
      <c r="A4" s="1" t="s">
        <v>220</v>
      </c>
      <c r="B4" s="161">
        <f>'[1]Data Sheet'!B17</f>
        <v>273045.59999999998</v>
      </c>
      <c r="C4" s="161">
        <f>'[1]Data Sheet'!C17</f>
        <v>269692.51</v>
      </c>
      <c r="D4" s="161">
        <f>'[1]Data Sheet'!D17</f>
        <v>291550.48</v>
      </c>
      <c r="E4" s="161">
        <f>'[1]Data Sheet'!E17</f>
        <v>301938.40000000002</v>
      </c>
      <c r="F4" s="161">
        <f>'[1]Data Sheet'!F17</f>
        <v>261067.97</v>
      </c>
      <c r="G4" s="161">
        <f>'[1]Data Sheet'!G17</f>
        <v>249794.75</v>
      </c>
      <c r="H4" s="161">
        <f>'[1]Data Sheet'!H17</f>
        <v>278453.62</v>
      </c>
      <c r="I4" s="161">
        <f>'[1]Data Sheet'!I17</f>
        <v>345966.97</v>
      </c>
      <c r="J4" s="161">
        <f>'[1]Data Sheet'!J17</f>
        <v>434016</v>
      </c>
      <c r="K4" s="161">
        <f>'[1]Data Sheet'!K17</f>
        <v>439695</v>
      </c>
      <c r="L4" s="161">
        <f>SUM([1]Quarters!H4:K4)</f>
        <v>0</v>
      </c>
      <c r="M4" s="161">
        <f>$K4+M23*K4</f>
        <v>512017.03850373905</v>
      </c>
      <c r="N4" s="161">
        <f>$K4+N23*L4</f>
        <v>439695</v>
      </c>
    </row>
    <row r="5" spans="1:14">
      <c r="A5" t="s">
        <v>221</v>
      </c>
      <c r="B5" s="162">
        <f>SUM('[1]Data Sheet'!B18,'[1]Data Sheet'!B20:B24, -1*'[1]Data Sheet'!B19)</f>
        <v>234650.35</v>
      </c>
      <c r="C5" s="162">
        <f>SUM('[1]Data Sheet'!C18,'[1]Data Sheet'!C20:C24, -1*'[1]Data Sheet'!C19)</f>
        <v>240103.81999999998</v>
      </c>
      <c r="D5" s="162">
        <f>SUM('[1]Data Sheet'!D18,'[1]Data Sheet'!D20:D24, -1*'[1]Data Sheet'!D19)</f>
        <v>260092.80000000002</v>
      </c>
      <c r="E5" s="162">
        <f>SUM('[1]Data Sheet'!E18,'[1]Data Sheet'!E20:E24, -1*'[1]Data Sheet'!E19)</f>
        <v>277274.07</v>
      </c>
      <c r="F5" s="162">
        <f>SUM('[1]Data Sheet'!F18,'[1]Data Sheet'!F20:F24, -1*'[1]Data Sheet'!F19)</f>
        <v>243080.90000000005</v>
      </c>
      <c r="G5" s="162">
        <f>SUM('[1]Data Sheet'!G18,'[1]Data Sheet'!G20:G24, -1*'[1]Data Sheet'!G19)</f>
        <v>217507.32</v>
      </c>
      <c r="H5" s="162">
        <f>SUM('[1]Data Sheet'!H18,'[1]Data Sheet'!H20:H24, -1*'[1]Data Sheet'!H19)</f>
        <v>253733.52999999997</v>
      </c>
      <c r="I5" s="162">
        <f>SUM('[1]Data Sheet'!I18,'[1]Data Sheet'!I20:I24, -1*'[1]Data Sheet'!I19)</f>
        <v>314151.17000000004</v>
      </c>
      <c r="J5" s="162">
        <f>SUM('[1]Data Sheet'!J18,'[1]Data Sheet'!J20:J24, -1*'[1]Data Sheet'!J19)</f>
        <v>376192</v>
      </c>
      <c r="K5" s="162">
        <f>SUM('[1]Data Sheet'!K18,'[1]Data Sheet'!K20:K24, -1*'[1]Data Sheet'!K19)</f>
        <v>384479</v>
      </c>
      <c r="L5" s="162">
        <f>SUM([1]Quarters!H5:K5)</f>
        <v>0</v>
      </c>
      <c r="M5" s="162">
        <f t="shared" ref="M5:N5" si="0">M4-M6</f>
        <v>451207.02180228964</v>
      </c>
      <c r="N5" s="162">
        <f t="shared" si="0"/>
        <v>439695</v>
      </c>
    </row>
    <row r="6" spans="1:14" s="1" customFormat="1">
      <c r="A6" s="1" t="s">
        <v>222</v>
      </c>
      <c r="B6" s="161">
        <f>B4-B5</f>
        <v>38395.249999999971</v>
      </c>
      <c r="C6" s="161">
        <f t="shared" ref="C6:K6" si="1">C4-C5</f>
        <v>29588.690000000031</v>
      </c>
      <c r="D6" s="161">
        <f t="shared" si="1"/>
        <v>31457.679999999964</v>
      </c>
      <c r="E6" s="161">
        <f t="shared" si="1"/>
        <v>24664.330000000016</v>
      </c>
      <c r="F6" s="161">
        <f t="shared" si="1"/>
        <v>17987.069999999949</v>
      </c>
      <c r="G6" s="161">
        <f t="shared" si="1"/>
        <v>32287.429999999993</v>
      </c>
      <c r="H6" s="161">
        <f t="shared" si="1"/>
        <v>24720.090000000026</v>
      </c>
      <c r="I6" s="161">
        <f t="shared" si="1"/>
        <v>31815.79999999993</v>
      </c>
      <c r="J6" s="161">
        <f t="shared" si="1"/>
        <v>57824</v>
      </c>
      <c r="K6" s="161">
        <f t="shared" si="1"/>
        <v>55216</v>
      </c>
      <c r="L6" s="161">
        <f>SUM([1]Quarters!H6:K6)</f>
        <v>0</v>
      </c>
      <c r="M6" s="161">
        <f>M4*M24</f>
        <v>60810.016701449393</v>
      </c>
      <c r="N6" s="161">
        <f>N4*N24</f>
        <v>0</v>
      </c>
    </row>
    <row r="7" spans="1:14">
      <c r="A7" t="s">
        <v>223</v>
      </c>
      <c r="B7" s="162">
        <f>'[1]Data Sheet'!B25</f>
        <v>-2669.62</v>
      </c>
      <c r="C7" s="162">
        <f>'[1]Data Sheet'!C25</f>
        <v>1869.1</v>
      </c>
      <c r="D7" s="162">
        <f>'[1]Data Sheet'!D25</f>
        <v>5932.73</v>
      </c>
      <c r="E7" s="162">
        <f>'[1]Data Sheet'!E25</f>
        <v>-26686.25</v>
      </c>
      <c r="F7" s="162">
        <f>'[1]Data Sheet'!F25</f>
        <v>101.71</v>
      </c>
      <c r="G7" s="162">
        <f>'[1]Data Sheet'!G25</f>
        <v>-11117.83</v>
      </c>
      <c r="H7" s="162">
        <f>'[1]Data Sheet'!H25</f>
        <v>2424.0500000000002</v>
      </c>
      <c r="I7" s="162">
        <f>'[1]Data Sheet'!I25</f>
        <v>6663.97</v>
      </c>
      <c r="J7" s="162">
        <f>'[1]Data Sheet'!J25</f>
        <v>4792</v>
      </c>
      <c r="K7" s="162">
        <f>'[1]Data Sheet'!K25</f>
        <v>11774</v>
      </c>
      <c r="L7" s="162">
        <f>SUM([1]Quarters!H7:K7)</f>
        <v>0</v>
      </c>
      <c r="M7" s="162">
        <v>0</v>
      </c>
      <c r="N7" s="162">
        <v>0</v>
      </c>
    </row>
    <row r="8" spans="1:14">
      <c r="A8" t="s">
        <v>224</v>
      </c>
      <c r="B8" s="162">
        <f>'[1]Data Sheet'!B26</f>
        <v>16710.78</v>
      </c>
      <c r="C8" s="162">
        <f>'[1]Data Sheet'!C26</f>
        <v>17904.990000000002</v>
      </c>
      <c r="D8" s="162">
        <f>'[1]Data Sheet'!D26</f>
        <v>21553.59</v>
      </c>
      <c r="E8" s="162">
        <f>'[1]Data Sheet'!E26</f>
        <v>23590.63</v>
      </c>
      <c r="F8" s="162">
        <f>'[1]Data Sheet'!F26</f>
        <v>21425.43</v>
      </c>
      <c r="G8" s="162">
        <f>'[1]Data Sheet'!G26</f>
        <v>23546.71</v>
      </c>
      <c r="H8" s="162">
        <f>'[1]Data Sheet'!H26</f>
        <v>24835.69</v>
      </c>
      <c r="I8" s="162">
        <f>'[1]Data Sheet'!I26</f>
        <v>24860.36</v>
      </c>
      <c r="J8" s="162">
        <f>'[1]Data Sheet'!J26</f>
        <v>27239</v>
      </c>
      <c r="K8" s="162">
        <f>'[1]Data Sheet'!K26</f>
        <v>23256</v>
      </c>
      <c r="L8" s="162">
        <f>SUM([1]Quarters!H8:K8)</f>
        <v>0</v>
      </c>
      <c r="M8" s="162">
        <f>+$L8</f>
        <v>0</v>
      </c>
      <c r="N8" s="162">
        <f>+$L8</f>
        <v>0</v>
      </c>
    </row>
    <row r="9" spans="1:14">
      <c r="A9" t="s">
        <v>225</v>
      </c>
      <c r="B9" s="162">
        <f>'[1]Data Sheet'!B27</f>
        <v>4889.08</v>
      </c>
      <c r="C9" s="162">
        <f>'[1]Data Sheet'!C27</f>
        <v>4238.01</v>
      </c>
      <c r="D9" s="162">
        <f>'[1]Data Sheet'!D27</f>
        <v>4681.79</v>
      </c>
      <c r="E9" s="162">
        <f>'[1]Data Sheet'!E27</f>
        <v>5758.6</v>
      </c>
      <c r="F9" s="162">
        <f>'[1]Data Sheet'!F27</f>
        <v>7243.33</v>
      </c>
      <c r="G9" s="162">
        <f>'[1]Data Sheet'!G27</f>
        <v>8097.17</v>
      </c>
      <c r="H9" s="162">
        <f>'[1]Data Sheet'!H27</f>
        <v>9311.86</v>
      </c>
      <c r="I9" s="162">
        <f>'[1]Data Sheet'!I27</f>
        <v>10225.48</v>
      </c>
      <c r="J9" s="162">
        <f>'[1]Data Sheet'!J27</f>
        <v>7594</v>
      </c>
      <c r="K9" s="162">
        <f>'[1]Data Sheet'!K27</f>
        <v>5083</v>
      </c>
      <c r="L9" s="162">
        <f>SUM([1]Quarters!H9:K9)</f>
        <v>0</v>
      </c>
      <c r="M9" s="162">
        <f>+$L9</f>
        <v>0</v>
      </c>
      <c r="N9" s="162">
        <f>+$L9</f>
        <v>0</v>
      </c>
    </row>
    <row r="10" spans="1:14">
      <c r="A10" t="s">
        <v>226</v>
      </c>
      <c r="B10" s="162">
        <f>'[1]Data Sheet'!B28</f>
        <v>14125.77</v>
      </c>
      <c r="C10" s="162">
        <f>'[1]Data Sheet'!C28</f>
        <v>9314.7900000000009</v>
      </c>
      <c r="D10" s="162">
        <f>'[1]Data Sheet'!D28</f>
        <v>11155.03</v>
      </c>
      <c r="E10" s="162">
        <f>'[1]Data Sheet'!E28</f>
        <v>-31371.15</v>
      </c>
      <c r="F10" s="162">
        <f>'[1]Data Sheet'!F28</f>
        <v>-10579.98</v>
      </c>
      <c r="G10" s="162">
        <f>'[1]Data Sheet'!G28</f>
        <v>-10474.280000000001</v>
      </c>
      <c r="H10" s="162">
        <f>'[1]Data Sheet'!H28</f>
        <v>-7003.41</v>
      </c>
      <c r="I10" s="162">
        <f>'[1]Data Sheet'!I28</f>
        <v>3393.93</v>
      </c>
      <c r="J10" s="162">
        <f>'[1]Data Sheet'!J28</f>
        <v>27783</v>
      </c>
      <c r="K10" s="162">
        <f>'[1]Data Sheet'!K28</f>
        <v>38651</v>
      </c>
      <c r="L10" s="162">
        <f>SUM([1]Quarters!H10:K10)</f>
        <v>0</v>
      </c>
      <c r="M10" s="162">
        <f>M6+M7-SUM(M8:M9)</f>
        <v>60810.016701449393</v>
      </c>
      <c r="N10" s="162">
        <f>N6+N7-SUM(N8:N9)</f>
        <v>0</v>
      </c>
    </row>
    <row r="11" spans="1:14">
      <c r="A11" t="s">
        <v>227</v>
      </c>
      <c r="B11" s="162">
        <f>'[1]Data Sheet'!B29</f>
        <v>3025.05</v>
      </c>
      <c r="C11" s="162">
        <f>'[1]Data Sheet'!C29</f>
        <v>3251.23</v>
      </c>
      <c r="D11" s="162">
        <f>'[1]Data Sheet'!D29</f>
        <v>4341.93</v>
      </c>
      <c r="E11" s="162">
        <f>'[1]Data Sheet'!E29</f>
        <v>-2437.4499999999998</v>
      </c>
      <c r="F11" s="162">
        <f>'[1]Data Sheet'!F29</f>
        <v>395.25</v>
      </c>
      <c r="G11" s="162">
        <f>'[1]Data Sheet'!G29</f>
        <v>2541.86</v>
      </c>
      <c r="H11" s="162">
        <f>'[1]Data Sheet'!H29</f>
        <v>4231.29</v>
      </c>
      <c r="I11" s="162">
        <f>'[1]Data Sheet'!I29</f>
        <v>704.06</v>
      </c>
      <c r="J11" s="162">
        <f>'[1]Data Sheet'!J29</f>
        <v>-4024</v>
      </c>
      <c r="K11" s="162">
        <f>'[1]Data Sheet'!K29</f>
        <v>10502</v>
      </c>
      <c r="L11" s="162">
        <f>SUM([1]Quarters!H11:K11)</f>
        <v>0</v>
      </c>
      <c r="M11" s="163">
        <f>IF($L10&gt;0,$L11/$L10,0)</f>
        <v>0</v>
      </c>
      <c r="N11" s="163">
        <f>IF($L10&gt;0,$L11/$L10,0)</f>
        <v>0</v>
      </c>
    </row>
    <row r="12" spans="1:14" s="1" customFormat="1">
      <c r="A12" s="1" t="s">
        <v>228</v>
      </c>
      <c r="B12" s="161">
        <f>'[1]Data Sheet'!B30</f>
        <v>11579.31</v>
      </c>
      <c r="C12" s="161">
        <f>'[1]Data Sheet'!C30</f>
        <v>7454.36</v>
      </c>
      <c r="D12" s="161">
        <f>'[1]Data Sheet'!D30</f>
        <v>8988.91</v>
      </c>
      <c r="E12" s="161">
        <f>'[1]Data Sheet'!E30</f>
        <v>-28826.23</v>
      </c>
      <c r="F12" s="161">
        <f>'[1]Data Sheet'!F30</f>
        <v>-12070.85</v>
      </c>
      <c r="G12" s="161">
        <f>'[1]Data Sheet'!G30</f>
        <v>-13451.39</v>
      </c>
      <c r="H12" s="161">
        <f>'[1]Data Sheet'!H30</f>
        <v>-11441.47</v>
      </c>
      <c r="I12" s="161">
        <f>'[1]Data Sheet'!I30</f>
        <v>2414.29</v>
      </c>
      <c r="J12" s="161">
        <f>'[1]Data Sheet'!J30</f>
        <v>31399</v>
      </c>
      <c r="K12" s="161">
        <f>'[1]Data Sheet'!K30</f>
        <v>27830</v>
      </c>
      <c r="L12" s="161">
        <f>SUM([1]Quarters!H12:K12)</f>
        <v>0</v>
      </c>
      <c r="M12" s="161">
        <f>M10-M11*M10</f>
        <v>60810.016701449393</v>
      </c>
      <c r="N12" s="161">
        <f>N10-N11*N10</f>
        <v>0</v>
      </c>
    </row>
    <row r="13" spans="1:14">
      <c r="A13" t="s">
        <v>229</v>
      </c>
      <c r="B13" s="162">
        <f>IF('[1]Data Sheet'!B93&gt;0,B12/'[1]Data Sheet'!B93,0)</f>
        <v>40.105673316708227</v>
      </c>
      <c r="C13" s="162">
        <f>IF('[1]Data Sheet'!C93&gt;0,C12/'[1]Data Sheet'!C93,0)</f>
        <v>25.817753610639695</v>
      </c>
      <c r="D13" s="162">
        <f>IF('[1]Data Sheet'!D93&gt;0,D12/'[1]Data Sheet'!D93,0)</f>
        <v>31.132580611644094</v>
      </c>
      <c r="E13" s="162">
        <f>IF('[1]Data Sheet'!E93&gt;0,E12/'[1]Data Sheet'!E93,0)</f>
        <v>-99.838014754268684</v>
      </c>
      <c r="F13" s="162">
        <f>IF('[1]Data Sheet'!F93&gt;0,F12/'[1]Data Sheet'!F93,0)</f>
        <v>-39.076885723535128</v>
      </c>
      <c r="G13" s="162">
        <f>IF('[1]Data Sheet'!G93&gt;0,G12/'[1]Data Sheet'!G93,0)</f>
        <v>-40.512574164985097</v>
      </c>
      <c r="H13" s="162">
        <f>IF('[1]Data Sheet'!H93&gt;0,H12/'[1]Data Sheet'!H93,0)</f>
        <v>-34.454994428885477</v>
      </c>
      <c r="I13" s="162">
        <f>IF('[1]Data Sheet'!I93&gt;0,I12/'[1]Data Sheet'!I93,0)</f>
        <v>7.2691114924878812</v>
      </c>
      <c r="J13" s="162">
        <f>IF('[1]Data Sheet'!J93&gt;0,J12/'[1]Data Sheet'!J93,0)</f>
        <v>94.470018353040288</v>
      </c>
      <c r="K13" s="162">
        <f>IF('[1]Data Sheet'!K93&gt;0,K12/'[1]Data Sheet'!K93,0)</f>
        <v>75.598294080895343</v>
      </c>
      <c r="L13" s="162">
        <f>IF('[1]Data Sheet'!$B6&gt;0,'Profit &amp; Loss'!L12/'[1]Data Sheet'!$B6,0)</f>
        <v>0</v>
      </c>
      <c r="M13" s="162">
        <f>IF('[1]Data Sheet'!$B6&gt;0,'Profit &amp; Loss'!M12/'[1]Data Sheet'!$B6,0)</f>
        <v>0</v>
      </c>
      <c r="N13" s="162">
        <f>IF('[1]Data Sheet'!$B6&gt;0,'Profit &amp; Loss'!N12/'[1]Data Sheet'!$B6,0)</f>
        <v>0</v>
      </c>
    </row>
    <row r="14" spans="1:14">
      <c r="A14" t="s">
        <v>230</v>
      </c>
      <c r="B14" s="162">
        <f>IF(B15&gt;0,B15/B13,"")</f>
        <v>9.6395339618681959</v>
      </c>
      <c r="C14" s="162">
        <f t="shared" ref="C14:K14" si="2">IF(C15&gt;0,C15/C13,"")</f>
        <v>18.043785180753279</v>
      </c>
      <c r="D14" s="162">
        <f t="shared" si="2"/>
        <v>10.4986478338308</v>
      </c>
      <c r="E14" s="162">
        <f t="shared" si="2"/>
        <v>-1.7453271725092045</v>
      </c>
      <c r="F14" s="162">
        <f t="shared" si="2"/>
        <v>-1.8182103994333454</v>
      </c>
      <c r="G14" s="162">
        <f t="shared" si="2"/>
        <v>-7.4495389695786081</v>
      </c>
      <c r="H14" s="162">
        <f t="shared" si="2"/>
        <v>-12.588886087189845</v>
      </c>
      <c r="I14" s="162">
        <f t="shared" si="2"/>
        <v>57.88878055246056</v>
      </c>
      <c r="J14" s="162">
        <f t="shared" si="2"/>
        <v>10.509154304277205</v>
      </c>
      <c r="K14" s="162">
        <f t="shared" si="2"/>
        <v>8.9214976104922741</v>
      </c>
      <c r="L14" s="162">
        <f t="shared" ref="L14" si="3">IF(L13&gt;0,L15/L13,0)</f>
        <v>0</v>
      </c>
      <c r="M14" s="162">
        <f>M25</f>
        <v>25.773144155743342</v>
      </c>
      <c r="N14" s="162">
        <f>N25</f>
        <v>0</v>
      </c>
    </row>
    <row r="15" spans="1:14" s="1" customFormat="1">
      <c r="A15" s="1" t="s">
        <v>231</v>
      </c>
      <c r="B15" s="161">
        <f>'[1]Data Sheet'!B90</f>
        <v>386.6</v>
      </c>
      <c r="C15" s="161">
        <f>'[1]Data Sheet'!C90</f>
        <v>465.85</v>
      </c>
      <c r="D15" s="161">
        <f>'[1]Data Sheet'!D90</f>
        <v>326.85000000000002</v>
      </c>
      <c r="E15" s="161">
        <f>'[1]Data Sheet'!E90</f>
        <v>174.25</v>
      </c>
      <c r="F15" s="161">
        <f>'[1]Data Sheet'!F90</f>
        <v>71.05</v>
      </c>
      <c r="G15" s="161">
        <f>'[1]Data Sheet'!G90</f>
        <v>301.8</v>
      </c>
      <c r="H15" s="161">
        <f>'[1]Data Sheet'!H90</f>
        <v>433.75</v>
      </c>
      <c r="I15" s="161">
        <f>'[1]Data Sheet'!I90</f>
        <v>420.8</v>
      </c>
      <c r="J15" s="161">
        <f>'[1]Data Sheet'!J90</f>
        <v>992.8</v>
      </c>
      <c r="K15" s="161">
        <f>'[1]Data Sheet'!K90</f>
        <v>674.45</v>
      </c>
      <c r="L15" s="161">
        <f>'[1]Data Sheet'!B8</f>
        <v>688</v>
      </c>
      <c r="M15" s="164">
        <f>M13*M14</f>
        <v>0</v>
      </c>
      <c r="N15" s="165">
        <f>N13*N14</f>
        <v>0</v>
      </c>
    </row>
    <row r="17" spans="1:14" s="1" customFormat="1">
      <c r="A17" s="1" t="s">
        <v>232</v>
      </c>
    </row>
    <row r="18" spans="1:14">
      <c r="A18" t="s">
        <v>233</v>
      </c>
      <c r="B18" s="166">
        <f>IF('[1]Data Sheet'!B30&gt;0, '[1]Data Sheet'!B31/'[1]Data Sheet'!B30, 0)</f>
        <v>5.8656344808110331E-3</v>
      </c>
      <c r="C18" s="166">
        <f>IF('[1]Data Sheet'!C30&gt;0, '[1]Data Sheet'!C31/'[1]Data Sheet'!C30, 0)</f>
        <v>0</v>
      </c>
      <c r="D18" s="166">
        <f>IF('[1]Data Sheet'!D30&gt;0, '[1]Data Sheet'!D31/'[1]Data Sheet'!D30, 0)</f>
        <v>0</v>
      </c>
      <c r="E18" s="166">
        <f>IF('[1]Data Sheet'!E30&gt;0, '[1]Data Sheet'!E31/'[1]Data Sheet'!E30, 0)</f>
        <v>0</v>
      </c>
      <c r="F18" s="166">
        <f>IF('[1]Data Sheet'!F30&gt;0, '[1]Data Sheet'!F31/'[1]Data Sheet'!F30, 0)</f>
        <v>0</v>
      </c>
      <c r="G18" s="166">
        <f>IF('[1]Data Sheet'!G30&gt;0, '[1]Data Sheet'!G31/'[1]Data Sheet'!G30, 0)</f>
        <v>0</v>
      </c>
      <c r="H18" s="166">
        <f>IF('[1]Data Sheet'!H30&gt;0, '[1]Data Sheet'!H31/'[1]Data Sheet'!H30, 0)</f>
        <v>0</v>
      </c>
      <c r="I18" s="166">
        <f>IF('[1]Data Sheet'!I30&gt;0, '[1]Data Sheet'!I31/'[1]Data Sheet'!I30, 0)</f>
        <v>0.31728582730326516</v>
      </c>
      <c r="J18" s="166">
        <f>IF('[1]Data Sheet'!J30&gt;0, '[1]Data Sheet'!J31/'[1]Data Sheet'!J30, 0)</f>
        <v>7.3282588617471889E-2</v>
      </c>
      <c r="K18" s="166">
        <f>IF('[1]Data Sheet'!K30&gt;0, '[1]Data Sheet'!K31/'[1]Data Sheet'!K30, 0)</f>
        <v>7.9338842975206617E-2</v>
      </c>
    </row>
    <row r="19" spans="1:14">
      <c r="A19" t="s">
        <v>234</v>
      </c>
      <c r="B19" s="166">
        <f t="shared" ref="B19:L19" si="4">IF(B6&gt;0,B6/B4,0)</f>
        <v>0.14061845347443788</v>
      </c>
      <c r="C19" s="166">
        <f t="shared" si="4"/>
        <v>0.10971268723777323</v>
      </c>
      <c r="D19" s="166">
        <f t="shared" si="4"/>
        <v>0.10789788444182964</v>
      </c>
      <c r="E19" s="166">
        <f t="shared" si="4"/>
        <v>8.1686628795807403E-2</v>
      </c>
      <c r="F19" s="166">
        <f t="shared" si="4"/>
        <v>6.8898034485042142E-2</v>
      </c>
      <c r="G19" s="166">
        <f t="shared" si="4"/>
        <v>0.12925583904385499</v>
      </c>
      <c r="H19" s="166">
        <f t="shared" si="4"/>
        <v>8.8776328352276501E-2</v>
      </c>
      <c r="I19" s="166">
        <f t="shared" si="4"/>
        <v>9.1961958102531965E-2</v>
      </c>
      <c r="J19" s="166">
        <f t="shared" si="4"/>
        <v>0.13323011133230112</v>
      </c>
      <c r="K19" s="166">
        <f t="shared" si="4"/>
        <v>0.12557795744777631</v>
      </c>
      <c r="L19" s="166">
        <f t="shared" si="4"/>
        <v>0</v>
      </c>
    </row>
    <row r="20" spans="1:14">
      <c r="B20" s="166"/>
      <c r="C20" s="166"/>
      <c r="D20" s="166"/>
      <c r="E20" s="166"/>
      <c r="F20" s="166"/>
      <c r="G20" s="166"/>
      <c r="H20" s="166"/>
      <c r="I20" s="166"/>
      <c r="J20" s="166"/>
      <c r="K20" s="166"/>
      <c r="L20" s="166"/>
    </row>
    <row r="21" spans="1:14">
      <c r="B21" s="166"/>
      <c r="C21" s="166"/>
      <c r="D21" s="166"/>
      <c r="E21" s="166"/>
      <c r="F21" s="166"/>
      <c r="G21" s="166"/>
      <c r="H21" s="166"/>
      <c r="I21" s="166"/>
      <c r="J21" s="166"/>
      <c r="K21" s="166"/>
      <c r="L21" s="166"/>
    </row>
    <row r="22" spans="1:14" s="1" customFormat="1">
      <c r="A22" s="158"/>
      <c r="B22" s="159"/>
      <c r="C22" s="159"/>
      <c r="D22" s="159"/>
      <c r="E22" s="159"/>
      <c r="F22" s="159"/>
      <c r="G22" s="159" t="s">
        <v>235</v>
      </c>
      <c r="H22" s="159" t="s">
        <v>236</v>
      </c>
      <c r="I22" s="159" t="s">
        <v>237</v>
      </c>
      <c r="J22" s="159" t="s">
        <v>238</v>
      </c>
      <c r="K22" s="159" t="s">
        <v>239</v>
      </c>
      <c r="L22" s="160" t="s">
        <v>240</v>
      </c>
      <c r="M22" s="160" t="s">
        <v>241</v>
      </c>
      <c r="N22" s="160" t="s">
        <v>242</v>
      </c>
    </row>
    <row r="23" spans="1:14" s="1" customFormat="1">
      <c r="A23"/>
      <c r="B23"/>
      <c r="C23"/>
      <c r="D23"/>
      <c r="E23"/>
      <c r="F23"/>
      <c r="G23" t="s">
        <v>243</v>
      </c>
      <c r="H23" s="166">
        <f>IF(B4=0,"",POWER($K4/B4,1/9)-1)</f>
        <v>5.4364329974180503E-2</v>
      </c>
      <c r="I23" s="166">
        <f>IF(D4=0,"",POWER($K4/D4,1/7)-1)</f>
        <v>6.0452229419457382E-2</v>
      </c>
      <c r="J23" s="166">
        <f>IF(F4=0,"",POWER($K4/F4,1/5)-1)</f>
        <v>0.10988910171869626</v>
      </c>
      <c r="K23" s="166">
        <f>IF(H4=0,"",POWER($K4/H4, 1/3)-1)</f>
        <v>0.164482285456371</v>
      </c>
      <c r="L23" s="166">
        <f>IF(ISERROR(MAX(IF(J4=0,"",(K4-J4)/J4),IF(K4=0,"",(L4-K4)/K4))),"",MAX(IF(J4=0,"",(K4-J4)/J4),IF(K4=0,"",(L4-K4)/K4)))</f>
        <v>1.3084771068347711E-2</v>
      </c>
      <c r="M23" s="167">
        <f>MAX(K23:L23)</f>
        <v>0.164482285456371</v>
      </c>
      <c r="N23" s="167">
        <f>MIN(H23:L23)</f>
        <v>1.3084771068347711E-2</v>
      </c>
    </row>
    <row r="24" spans="1:14">
      <c r="G24" t="s">
        <v>234</v>
      </c>
      <c r="H24" s="166">
        <f>IF(SUM(B4:$K$4)=0,"",SUMPRODUCT(B19:$K$19,B4:$K$4)/SUM(B4:$K$4))</f>
        <v>0.1093583907752373</v>
      </c>
      <c r="I24" s="166">
        <f>IF(SUM(E4:$K$4)=0,"",SUMPRODUCT(E19:$K$19,E4:$K$4)/SUM(E4:$K$4))</f>
        <v>0.10580780606112929</v>
      </c>
      <c r="J24" s="166">
        <f>IF(SUM(G4:$K$4)=0,"",SUMPRODUCT(G19:$K$19,G4:$K$4)/SUM(G4:$K$4))</f>
        <v>0.11548731510047498</v>
      </c>
      <c r="K24" s="166">
        <f>IF(SUM(I4:$K$4)=0, "", SUMPRODUCT(I19:$K$19,I4:$K$4)/SUM(I4:$K$4))</f>
        <v>0.11876561154908778</v>
      </c>
      <c r="L24" s="166">
        <f>L19</f>
        <v>0</v>
      </c>
      <c r="M24" s="167">
        <f>MAX(K24:L24)</f>
        <v>0.11876561154908778</v>
      </c>
      <c r="N24" s="167">
        <f>MIN(H24:L24)</f>
        <v>0</v>
      </c>
    </row>
    <row r="25" spans="1:14">
      <c r="G25" t="s">
        <v>244</v>
      </c>
      <c r="H25" s="162">
        <f>IF(ISERROR(AVERAGEIF(B14:$L14,"&gt;0")),"",AVERAGEIF(B14:$L14,"&gt;0"))</f>
        <v>19.250233240613721</v>
      </c>
      <c r="I25" s="162">
        <f>IF(ISERROR(AVERAGEIF(E14:$L14,"&gt;0")),"",AVERAGEIF(E14:$L14,"&gt;0"))</f>
        <v>25.773144155743342</v>
      </c>
      <c r="J25" s="162">
        <f>IF(ISERROR(AVERAGEIF(G14:$L14,"&gt;0")),"",AVERAGEIF(G14:$L14,"&gt;0"))</f>
        <v>25.773144155743342</v>
      </c>
      <c r="K25" s="162">
        <f>IF(ISERROR(AVERAGEIF(I14:$L14,"&gt;0")),"",AVERAGEIF(I14:$L14,"&gt;0"))</f>
        <v>25.773144155743342</v>
      </c>
      <c r="L25" s="162">
        <f>L14</f>
        <v>0</v>
      </c>
      <c r="M25" s="161">
        <f>MAX(K25:L25)</f>
        <v>25.773144155743342</v>
      </c>
      <c r="N25" s="161">
        <f>MIN(H25:L25)</f>
        <v>0</v>
      </c>
    </row>
    <row r="28" spans="1:14">
      <c r="F28" s="43" t="e">
        <f>J9/'[1]Balance Sheet'!J6</f>
        <v>#DIV/0!</v>
      </c>
    </row>
    <row r="29" spans="1:14">
      <c r="F29" s="168" t="e">
        <f>F28*(1-0.25)</f>
        <v>#DIV/0!</v>
      </c>
    </row>
  </sheetData>
  <hyperlinks>
    <hyperlink ref="M1" r:id="rId1" xr:uid="{1EC1823C-6545-43A7-AE52-FEB12AC4A549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D4D9-CFF7-4DEA-ACC9-80E276A104AA}">
  <sheetPr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85546875" defaultRowHeight="15"/>
  <cols>
    <col min="1" max="1" width="20.7109375" customWidth="1"/>
    <col min="2" max="11" width="13.42578125" bestFit="1" customWidth="1"/>
  </cols>
  <sheetData>
    <row r="1" spans="1:11" s="1" customFormat="1">
      <c r="A1" s="1">
        <f>'[1]Profit &amp; Loss'!A1</f>
        <v>0</v>
      </c>
      <c r="E1" t="str">
        <f>UPDATE</f>
        <v/>
      </c>
      <c r="J1" s="1" t="s">
        <v>215</v>
      </c>
    </row>
    <row r="3" spans="1:11" s="1" customFormat="1">
      <c r="A3" s="158" t="s">
        <v>216</v>
      </c>
      <c r="B3" s="159">
        <f>'[1]Data Sheet'!B41</f>
        <v>44926</v>
      </c>
      <c r="C3" s="159">
        <f>'[1]Data Sheet'!C41</f>
        <v>45016</v>
      </c>
      <c r="D3" s="159">
        <f>'[1]Data Sheet'!D41</f>
        <v>45107</v>
      </c>
      <c r="E3" s="159">
        <f>'[1]Data Sheet'!E41</f>
        <v>45199</v>
      </c>
      <c r="F3" s="159">
        <f>'[1]Data Sheet'!F41</f>
        <v>45291</v>
      </c>
      <c r="G3" s="159">
        <f>'[1]Data Sheet'!G41</f>
        <v>45382</v>
      </c>
      <c r="H3" s="159">
        <f>'[1]Data Sheet'!H41</f>
        <v>45473</v>
      </c>
      <c r="I3" s="159">
        <f>'[1]Data Sheet'!I41</f>
        <v>45565</v>
      </c>
      <c r="J3" s="159">
        <f>'[1]Data Sheet'!J41</f>
        <v>45657</v>
      </c>
      <c r="K3" s="159">
        <f>'[1]Data Sheet'!K41</f>
        <v>45747</v>
      </c>
    </row>
    <row r="4" spans="1:11" s="1" customFormat="1">
      <c r="A4" s="1" t="s">
        <v>220</v>
      </c>
      <c r="B4" s="161">
        <f>'[1]Data Sheet'!B42</f>
        <v>88488.59</v>
      </c>
      <c r="C4" s="161">
        <f>'[1]Data Sheet'!C42</f>
        <v>105932.35</v>
      </c>
      <c r="D4" s="161">
        <f>'[1]Data Sheet'!D42</f>
        <v>102236</v>
      </c>
      <c r="E4" s="161">
        <f>'[1]Data Sheet'!E42</f>
        <v>105129</v>
      </c>
      <c r="F4" s="161">
        <f>'[1]Data Sheet'!F42</f>
        <v>110577</v>
      </c>
      <c r="G4" s="161">
        <f>'[1]Data Sheet'!G42</f>
        <v>119033</v>
      </c>
      <c r="H4" s="161">
        <f>'[1]Data Sheet'!H42</f>
        <v>108048</v>
      </c>
      <c r="I4" s="161">
        <f>'[1]Data Sheet'!I42</f>
        <v>101450</v>
      </c>
      <c r="J4" s="161">
        <f>'[1]Data Sheet'!J42</f>
        <v>112608</v>
      </c>
      <c r="K4" s="161">
        <f>'[1]Data Sheet'!K42</f>
        <v>119503</v>
      </c>
    </row>
    <row r="5" spans="1:11">
      <c r="A5" t="s">
        <v>221</v>
      </c>
      <c r="B5" s="162">
        <f>'[1]Data Sheet'!B43</f>
        <v>77668.350000000006</v>
      </c>
      <c r="C5" s="162">
        <f>'[1]Data Sheet'!C43</f>
        <v>92817.95</v>
      </c>
      <c r="D5" s="162">
        <f>'[1]Data Sheet'!D43</f>
        <v>89019</v>
      </c>
      <c r="E5" s="162">
        <f>'[1]Data Sheet'!E43</f>
        <v>91362</v>
      </c>
      <c r="F5" s="162">
        <f>'[1]Data Sheet'!F43</f>
        <v>95159</v>
      </c>
      <c r="G5" s="162">
        <f>'[1]Data Sheet'!G43</f>
        <v>102348</v>
      </c>
      <c r="H5" s="162">
        <f>'[1]Data Sheet'!H43</f>
        <v>92263</v>
      </c>
      <c r="I5" s="162">
        <f>'[1]Data Sheet'!I43</f>
        <v>89291</v>
      </c>
      <c r="J5" s="162">
        <f>'[1]Data Sheet'!J43</f>
        <v>100185</v>
      </c>
      <c r="K5" s="162">
        <f>'[1]Data Sheet'!K43</f>
        <v>102685</v>
      </c>
    </row>
    <row r="6" spans="1:11" s="1" customFormat="1">
      <c r="A6" s="1" t="s">
        <v>222</v>
      </c>
      <c r="B6" s="161">
        <f>'[1]Data Sheet'!B50</f>
        <v>10820.24</v>
      </c>
      <c r="C6" s="161">
        <f>'[1]Data Sheet'!C50</f>
        <v>13114.4</v>
      </c>
      <c r="D6" s="161">
        <f>'[1]Data Sheet'!D50</f>
        <v>13217</v>
      </c>
      <c r="E6" s="161">
        <f>'[1]Data Sheet'!E50</f>
        <v>13767</v>
      </c>
      <c r="F6" s="161">
        <f>'[1]Data Sheet'!F50</f>
        <v>15418</v>
      </c>
      <c r="G6" s="161">
        <f>'[1]Data Sheet'!G50</f>
        <v>16685</v>
      </c>
      <c r="H6" s="161">
        <f>'[1]Data Sheet'!H50</f>
        <v>15785</v>
      </c>
      <c r="I6" s="161">
        <f>'[1]Data Sheet'!I50</f>
        <v>12159</v>
      </c>
      <c r="J6" s="161">
        <f>'[1]Data Sheet'!J50</f>
        <v>12423</v>
      </c>
      <c r="K6" s="161">
        <f>'[1]Data Sheet'!K50</f>
        <v>16818</v>
      </c>
    </row>
    <row r="7" spans="1:11">
      <c r="A7" t="s">
        <v>223</v>
      </c>
      <c r="B7" s="162">
        <f>'[1]Data Sheet'!B44</f>
        <v>1129.98</v>
      </c>
      <c r="C7" s="162">
        <f>'[1]Data Sheet'!C44</f>
        <v>1452.86</v>
      </c>
      <c r="D7" s="162">
        <f>'[1]Data Sheet'!D44</f>
        <v>895</v>
      </c>
      <c r="E7" s="162">
        <f>'[1]Data Sheet'!E44</f>
        <v>1557</v>
      </c>
      <c r="F7" s="162">
        <f>'[1]Data Sheet'!F44</f>
        <v>1604</v>
      </c>
      <c r="G7" s="162">
        <f>'[1]Data Sheet'!G44</f>
        <v>1412</v>
      </c>
      <c r="H7" s="162">
        <f>'[1]Data Sheet'!H44</f>
        <v>1747</v>
      </c>
      <c r="I7" s="162">
        <f>'[1]Data Sheet'!I44</f>
        <v>1647</v>
      </c>
      <c r="J7" s="162">
        <f>'[1]Data Sheet'!J44</f>
        <v>1700</v>
      </c>
      <c r="K7" s="162">
        <f>'[1]Data Sheet'!K44</f>
        <v>1057</v>
      </c>
    </row>
    <row r="8" spans="1:11">
      <c r="A8" t="s">
        <v>224</v>
      </c>
      <c r="B8" s="162">
        <f>'[1]Data Sheet'!B45</f>
        <v>6071.78</v>
      </c>
      <c r="C8" s="162">
        <f>'[1]Data Sheet'!C45</f>
        <v>7050.2</v>
      </c>
      <c r="D8" s="162">
        <f>'[1]Data Sheet'!D45</f>
        <v>6633</v>
      </c>
      <c r="E8" s="162">
        <f>'[1]Data Sheet'!E45</f>
        <v>6637</v>
      </c>
      <c r="F8" s="162">
        <f>'[1]Data Sheet'!F45</f>
        <v>6850</v>
      </c>
      <c r="G8" s="162">
        <f>'[1]Data Sheet'!G45</f>
        <v>7143</v>
      </c>
      <c r="H8" s="162">
        <f>'[1]Data Sheet'!H45</f>
        <v>6574</v>
      </c>
      <c r="I8" s="162">
        <f>'[1]Data Sheet'!I45</f>
        <v>6005</v>
      </c>
      <c r="J8" s="162">
        <f>'[1]Data Sheet'!J45</f>
        <v>5399</v>
      </c>
      <c r="K8" s="162">
        <f>'[1]Data Sheet'!K45</f>
        <v>5295</v>
      </c>
    </row>
    <row r="9" spans="1:11">
      <c r="A9" t="s">
        <v>225</v>
      </c>
      <c r="B9" s="162">
        <f>'[1]Data Sheet'!B46</f>
        <v>2675.83</v>
      </c>
      <c r="C9" s="162">
        <f>'[1]Data Sheet'!C46</f>
        <v>2641.67</v>
      </c>
      <c r="D9" s="162">
        <f>'[1]Data Sheet'!D46</f>
        <v>2615</v>
      </c>
      <c r="E9" s="162">
        <f>'[1]Data Sheet'!E46</f>
        <v>2652</v>
      </c>
      <c r="F9" s="162">
        <f>'[1]Data Sheet'!F46</f>
        <v>2485</v>
      </c>
      <c r="G9" s="162">
        <f>'[1]Data Sheet'!G46</f>
        <v>1645</v>
      </c>
      <c r="H9" s="162">
        <f>'[1]Data Sheet'!H46</f>
        <v>2088</v>
      </c>
      <c r="I9" s="162">
        <f>'[1]Data Sheet'!I46</f>
        <v>2034</v>
      </c>
      <c r="J9" s="162">
        <f>'[1]Data Sheet'!J46</f>
        <v>1119</v>
      </c>
      <c r="K9" s="162">
        <f>'[1]Data Sheet'!K46</f>
        <v>1076</v>
      </c>
    </row>
    <row r="10" spans="1:11">
      <c r="A10" t="s">
        <v>226</v>
      </c>
      <c r="B10" s="162">
        <f>'[1]Data Sheet'!B47</f>
        <v>3202.61</v>
      </c>
      <c r="C10" s="162">
        <f>'[1]Data Sheet'!C47</f>
        <v>4875.3900000000003</v>
      </c>
      <c r="D10" s="162">
        <f>'[1]Data Sheet'!D47</f>
        <v>4864</v>
      </c>
      <c r="E10" s="162">
        <f>'[1]Data Sheet'!E47</f>
        <v>6035</v>
      </c>
      <c r="F10" s="162">
        <f>'[1]Data Sheet'!F47</f>
        <v>7687</v>
      </c>
      <c r="G10" s="162">
        <f>'[1]Data Sheet'!G47</f>
        <v>9309</v>
      </c>
      <c r="H10" s="162">
        <f>'[1]Data Sheet'!H47</f>
        <v>8870</v>
      </c>
      <c r="I10" s="162">
        <f>'[1]Data Sheet'!I47</f>
        <v>5767</v>
      </c>
      <c r="J10" s="162">
        <f>'[1]Data Sheet'!J47</f>
        <v>7605</v>
      </c>
      <c r="K10" s="162">
        <f>'[1]Data Sheet'!K47</f>
        <v>11504</v>
      </c>
    </row>
    <row r="11" spans="1:11">
      <c r="A11" t="s">
        <v>227</v>
      </c>
      <c r="B11" s="162">
        <f>'[1]Data Sheet'!B48</f>
        <v>262.83</v>
      </c>
      <c r="C11" s="162">
        <f>'[1]Data Sheet'!C48</f>
        <v>-620.65</v>
      </c>
      <c r="D11" s="162">
        <f>'[1]Data Sheet'!D48</f>
        <v>1563</v>
      </c>
      <c r="E11" s="162">
        <f>'[1]Data Sheet'!E48</f>
        <v>2203</v>
      </c>
      <c r="F11" s="162">
        <f>'[1]Data Sheet'!F48</f>
        <v>542</v>
      </c>
      <c r="G11" s="162">
        <f>'[1]Data Sheet'!G48</f>
        <v>-8219</v>
      </c>
      <c r="H11" s="162">
        <f>'[1]Data Sheet'!H48</f>
        <v>3178</v>
      </c>
      <c r="I11" s="162">
        <f>'[1]Data Sheet'!I48</f>
        <v>2317</v>
      </c>
      <c r="J11" s="162">
        <f>'[1]Data Sheet'!J48</f>
        <v>2120</v>
      </c>
      <c r="K11" s="162">
        <f>'[1]Data Sheet'!K48</f>
        <v>2948</v>
      </c>
    </row>
    <row r="12" spans="1:11" s="1" customFormat="1">
      <c r="A12" s="1" t="s">
        <v>228</v>
      </c>
      <c r="B12" s="161">
        <f>'[1]Data Sheet'!B49</f>
        <v>2957.71</v>
      </c>
      <c r="C12" s="161">
        <f>'[1]Data Sheet'!C49</f>
        <v>5407.79</v>
      </c>
      <c r="D12" s="161">
        <f>'[1]Data Sheet'!D49</f>
        <v>3203</v>
      </c>
      <c r="E12" s="161">
        <f>'[1]Data Sheet'!E49</f>
        <v>3764</v>
      </c>
      <c r="F12" s="161">
        <f>'[1]Data Sheet'!F49</f>
        <v>7025</v>
      </c>
      <c r="G12" s="161">
        <f>'[1]Data Sheet'!G49</f>
        <v>17407</v>
      </c>
      <c r="H12" s="161">
        <f>'[1]Data Sheet'!H49</f>
        <v>5566</v>
      </c>
      <c r="I12" s="161">
        <f>'[1]Data Sheet'!I49</f>
        <v>3343</v>
      </c>
      <c r="J12" s="161">
        <f>'[1]Data Sheet'!J49</f>
        <v>5406</v>
      </c>
      <c r="K12" s="161">
        <f>'[1]Data Sheet'!K49</f>
        <v>8470</v>
      </c>
    </row>
    <row r="14" spans="1:11" s="1" customFormat="1">
      <c r="A14" s="1" t="s">
        <v>234</v>
      </c>
      <c r="B14" s="151">
        <f>IF(B4&gt;0,B6/B4,"")</f>
        <v>0.12227836379808968</v>
      </c>
      <c r="C14" s="151">
        <f t="shared" ref="C14:K14" si="0">IF(C4&gt;0,C6/C4,"")</f>
        <v>0.1237997646611257</v>
      </c>
      <c r="D14" s="151">
        <f t="shared" si="0"/>
        <v>0.12927931452717242</v>
      </c>
      <c r="E14" s="151">
        <f t="shared" si="0"/>
        <v>0.1309534001084382</v>
      </c>
      <c r="F14" s="151">
        <f t="shared" si="0"/>
        <v>0.13943225082973856</v>
      </c>
      <c r="G14" s="151">
        <f t="shared" si="0"/>
        <v>0.14017121302495947</v>
      </c>
      <c r="H14" s="151">
        <f t="shared" si="0"/>
        <v>0.14609247741744411</v>
      </c>
      <c r="I14" s="151">
        <f t="shared" si="0"/>
        <v>0.11985214391325777</v>
      </c>
      <c r="J14" s="151">
        <f t="shared" si="0"/>
        <v>0.11032075873827792</v>
      </c>
      <c r="K14" s="151">
        <f t="shared" si="0"/>
        <v>0.14073286863091303</v>
      </c>
    </row>
    <row r="22" s="169" customFormat="1"/>
  </sheetData>
  <hyperlinks>
    <hyperlink ref="J1" r:id="rId1" xr:uid="{4F6889D8-9768-4459-9EE9-2EA9DB6A0C8D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3AB5-FF6C-4290-A570-0823271758F1}">
  <sheetPr>
    <pageSetUpPr fitToPage="1"/>
  </sheetPr>
  <dimension ref="A1:K27"/>
  <sheetViews>
    <sheetView zoomScale="125" workbookViewId="0">
      <pane xSplit="1" ySplit="3" topLeftCell="E19" activePane="bottomRight" state="frozen"/>
      <selection activeCell="C4" sqref="C4"/>
      <selection pane="topRight" activeCell="C4" sqref="C4"/>
      <selection pane="bottomLeft" activeCell="C4" sqref="C4"/>
      <selection pane="bottomRight" activeCell="I27" sqref="I27"/>
    </sheetView>
  </sheetViews>
  <sheetFormatPr defaultColWidth="8.85546875" defaultRowHeight="15"/>
  <cols>
    <col min="1" max="1" width="22.85546875" bestFit="1" customWidth="1"/>
    <col min="2" max="2" width="13.42578125" customWidth="1"/>
    <col min="3" max="11" width="15.42578125" customWidth="1"/>
  </cols>
  <sheetData>
    <row r="1" spans="1:11" s="1" customFormat="1">
      <c r="A1" s="1">
        <f>'[1]Profit &amp; Loss'!A1</f>
        <v>0</v>
      </c>
      <c r="E1" t="str">
        <f>UPDATE</f>
        <v/>
      </c>
      <c r="G1"/>
      <c r="J1" s="1" t="s">
        <v>215</v>
      </c>
    </row>
    <row r="2" spans="1:11">
      <c r="G2" s="1"/>
      <c r="H2" s="1"/>
    </row>
    <row r="3" spans="1:11">
      <c r="A3" s="158" t="s">
        <v>216</v>
      </c>
      <c r="B3" s="159">
        <f>'[1]Data Sheet'!B56</f>
        <v>42460</v>
      </c>
      <c r="C3" s="159">
        <f>'[1]Data Sheet'!C56</f>
        <v>42825</v>
      </c>
      <c r="D3" s="159">
        <f>'[1]Data Sheet'!D56</f>
        <v>43190</v>
      </c>
      <c r="E3" s="159">
        <f>'[1]Data Sheet'!E56</f>
        <v>43555</v>
      </c>
      <c r="F3" s="159">
        <f>'[1]Data Sheet'!F56</f>
        <v>43921</v>
      </c>
      <c r="G3" s="159">
        <f>'[1]Data Sheet'!G56</f>
        <v>44286</v>
      </c>
      <c r="H3" s="159">
        <f>'[1]Data Sheet'!H56</f>
        <v>44651</v>
      </c>
      <c r="I3" s="159">
        <f>'[1]Data Sheet'!I56</f>
        <v>45016</v>
      </c>
      <c r="J3" s="159">
        <f>'[1]Data Sheet'!J56</f>
        <v>45382</v>
      </c>
      <c r="K3" s="159">
        <f>'[1]Data Sheet'!K56</f>
        <v>45747</v>
      </c>
    </row>
    <row r="4" spans="1:11">
      <c r="A4" t="s">
        <v>245</v>
      </c>
      <c r="B4" s="170">
        <f>'[1]Data Sheet'!B57</f>
        <v>679.18</v>
      </c>
      <c r="C4" s="170">
        <f>'[1]Data Sheet'!C57</f>
        <v>679.22</v>
      </c>
      <c r="D4" s="170">
        <f>'[1]Data Sheet'!D57</f>
        <v>679.22</v>
      </c>
      <c r="E4" s="170">
        <f>'[1]Data Sheet'!E57</f>
        <v>679.22</v>
      </c>
      <c r="F4" s="170">
        <f>'[1]Data Sheet'!F57</f>
        <v>719.54</v>
      </c>
      <c r="G4" s="170">
        <f>'[1]Data Sheet'!G57</f>
        <v>765.81</v>
      </c>
      <c r="H4" s="170">
        <f>'[1]Data Sheet'!H57</f>
        <v>765.88</v>
      </c>
      <c r="I4" s="170">
        <f>'[1]Data Sheet'!I57</f>
        <v>766.02</v>
      </c>
      <c r="J4" s="170">
        <f>'[1]Data Sheet'!J57</f>
        <v>767</v>
      </c>
      <c r="K4" s="170">
        <f>'[1]Data Sheet'!K57</f>
        <v>736</v>
      </c>
    </row>
    <row r="5" spans="1:11">
      <c r="A5" t="s">
        <v>246</v>
      </c>
      <c r="B5" s="170">
        <f>'[1]Data Sheet'!B58</f>
        <v>78273.23</v>
      </c>
      <c r="C5" s="170">
        <f>'[1]Data Sheet'!C58</f>
        <v>57382.67</v>
      </c>
      <c r="D5" s="170">
        <f>'[1]Data Sheet'!D58</f>
        <v>94748.69</v>
      </c>
      <c r="E5" s="170">
        <f>'[1]Data Sheet'!E58</f>
        <v>59500.34</v>
      </c>
      <c r="F5" s="170">
        <f>'[1]Data Sheet'!F58</f>
        <v>62358.99</v>
      </c>
      <c r="G5" s="170">
        <f>'[1]Data Sheet'!G58</f>
        <v>54480.91</v>
      </c>
      <c r="H5" s="170">
        <f>'[1]Data Sheet'!H58</f>
        <v>43795.360000000001</v>
      </c>
      <c r="I5" s="170">
        <f>'[1]Data Sheet'!I58</f>
        <v>44555.77</v>
      </c>
      <c r="J5" s="170">
        <f>'[1]Data Sheet'!J58</f>
        <v>84151</v>
      </c>
      <c r="K5" s="170">
        <f>'[1]Data Sheet'!K58</f>
        <v>115408</v>
      </c>
    </row>
    <row r="6" spans="1:11">
      <c r="A6" t="s">
        <v>247</v>
      </c>
      <c r="B6" s="170">
        <f>'[1]Data Sheet'!B59</f>
        <v>69359.960000000006</v>
      </c>
      <c r="C6" s="170">
        <f>'[1]Data Sheet'!C59</f>
        <v>78603.98</v>
      </c>
      <c r="D6" s="170">
        <f>'[1]Data Sheet'!D59</f>
        <v>88950.47</v>
      </c>
      <c r="E6" s="170">
        <f>'[1]Data Sheet'!E59</f>
        <v>106175.34</v>
      </c>
      <c r="F6" s="170">
        <f>'[1]Data Sheet'!F59</f>
        <v>124787.64</v>
      </c>
      <c r="G6" s="170">
        <f>'[1]Data Sheet'!G59</f>
        <v>142130.57</v>
      </c>
      <c r="H6" s="170">
        <f>'[1]Data Sheet'!H59</f>
        <v>146449.03</v>
      </c>
      <c r="I6" s="170">
        <f>'[1]Data Sheet'!I59</f>
        <v>134113.44</v>
      </c>
      <c r="J6" s="170">
        <f>'[1]Data Sheet'!J59</f>
        <v>107264</v>
      </c>
      <c r="K6" s="170">
        <f>'[1]Data Sheet'!K59</f>
        <v>71540</v>
      </c>
    </row>
    <row r="7" spans="1:11">
      <c r="A7" t="s">
        <v>248</v>
      </c>
      <c r="B7" s="170">
        <f>'[1]Data Sheet'!B60</f>
        <v>114871.75</v>
      </c>
      <c r="C7" s="170">
        <f>'[1]Data Sheet'!C60</f>
        <v>135914.49</v>
      </c>
      <c r="D7" s="170">
        <f>'[1]Data Sheet'!D60</f>
        <v>142813.43</v>
      </c>
      <c r="E7" s="170">
        <f>'[1]Data Sheet'!E60</f>
        <v>139348.59</v>
      </c>
      <c r="F7" s="170">
        <f>'[1]Data Sheet'!F60</f>
        <v>132313.22</v>
      </c>
      <c r="G7" s="170">
        <f>'[1]Data Sheet'!G60</f>
        <v>144192.62</v>
      </c>
      <c r="H7" s="170">
        <f>'[1]Data Sheet'!H60</f>
        <v>138051.22</v>
      </c>
      <c r="I7" s="170">
        <f>'[1]Data Sheet'!I60</f>
        <v>155239.20000000001</v>
      </c>
      <c r="J7" s="170">
        <f>'[1]Data Sheet'!J60</f>
        <v>177339</v>
      </c>
      <c r="K7" s="170">
        <f>'[1]Data Sheet'!K60</f>
        <v>189289</v>
      </c>
    </row>
    <row r="8" spans="1:11" s="1" customFormat="1">
      <c r="A8" s="1" t="s">
        <v>249</v>
      </c>
      <c r="B8" s="171">
        <f>'[1]Data Sheet'!B61</f>
        <v>263184.12</v>
      </c>
      <c r="C8" s="171">
        <f>'[1]Data Sheet'!C61</f>
        <v>272580.36</v>
      </c>
      <c r="D8" s="171">
        <f>'[1]Data Sheet'!D61</f>
        <v>327191.81</v>
      </c>
      <c r="E8" s="171">
        <f>'[1]Data Sheet'!E61</f>
        <v>305703.49</v>
      </c>
      <c r="F8" s="171">
        <f>'[1]Data Sheet'!F61</f>
        <v>320179.39</v>
      </c>
      <c r="G8" s="171">
        <f>'[1]Data Sheet'!G61</f>
        <v>341569.91</v>
      </c>
      <c r="H8" s="171">
        <f>'[1]Data Sheet'!H61</f>
        <v>329061.49</v>
      </c>
      <c r="I8" s="171">
        <f>'[1]Data Sheet'!I61</f>
        <v>334674.43</v>
      </c>
      <c r="J8" s="171">
        <f>'[1]Data Sheet'!J61</f>
        <v>369521</v>
      </c>
      <c r="K8" s="171">
        <f>'[1]Data Sheet'!K61</f>
        <v>376973</v>
      </c>
    </row>
    <row r="9" spans="1:11" s="1" customFormat="1">
      <c r="B9" s="171"/>
      <c r="C9" s="171"/>
      <c r="D9" s="171"/>
      <c r="E9" s="171"/>
      <c r="F9" s="171"/>
      <c r="G9" s="171"/>
      <c r="H9" s="171"/>
      <c r="I9" s="171"/>
      <c r="J9" s="171"/>
      <c r="K9" s="171"/>
    </row>
    <row r="10" spans="1:11">
      <c r="A10" t="s">
        <v>250</v>
      </c>
      <c r="B10" s="170">
        <f>'[1]Data Sheet'!B62</f>
        <v>107231.76</v>
      </c>
      <c r="C10" s="170">
        <f>'[1]Data Sheet'!C62</f>
        <v>95944.08</v>
      </c>
      <c r="D10" s="170">
        <f>'[1]Data Sheet'!D62</f>
        <v>121413.86</v>
      </c>
      <c r="E10" s="170">
        <f>'[1]Data Sheet'!E62</f>
        <v>111234.47</v>
      </c>
      <c r="F10" s="170">
        <f>'[1]Data Sheet'!F62</f>
        <v>127107.14</v>
      </c>
      <c r="G10" s="170">
        <f>'[1]Data Sheet'!G62</f>
        <v>138707.60999999999</v>
      </c>
      <c r="H10" s="170">
        <f>'[1]Data Sheet'!H62</f>
        <v>138855.45000000001</v>
      </c>
      <c r="I10" s="170">
        <f>'[1]Data Sheet'!I62</f>
        <v>132079.76</v>
      </c>
      <c r="J10" s="170">
        <f>'[1]Data Sheet'!J62</f>
        <v>121285</v>
      </c>
      <c r="K10" s="170">
        <f>'[1]Data Sheet'!K62</f>
        <v>115697</v>
      </c>
    </row>
    <row r="11" spans="1:11">
      <c r="A11" t="s">
        <v>251</v>
      </c>
      <c r="B11" s="170">
        <f>'[1]Data Sheet'!B63</f>
        <v>25918.94</v>
      </c>
      <c r="C11" s="170">
        <f>'[1]Data Sheet'!C63</f>
        <v>33698.839999999997</v>
      </c>
      <c r="D11" s="170">
        <f>'[1]Data Sheet'!D63</f>
        <v>40033.5</v>
      </c>
      <c r="E11" s="170">
        <f>'[1]Data Sheet'!E63</f>
        <v>31883.84</v>
      </c>
      <c r="F11" s="170">
        <f>'[1]Data Sheet'!F63</f>
        <v>35622.29</v>
      </c>
      <c r="G11" s="170">
        <f>'[1]Data Sheet'!G63</f>
        <v>20963.93</v>
      </c>
      <c r="H11" s="170">
        <f>'[1]Data Sheet'!H63</f>
        <v>10251.09</v>
      </c>
      <c r="I11" s="170">
        <f>'[1]Data Sheet'!I63</f>
        <v>14274.5</v>
      </c>
      <c r="J11" s="170">
        <f>'[1]Data Sheet'!J63</f>
        <v>35698</v>
      </c>
      <c r="K11" s="170">
        <f>'[1]Data Sheet'!K63</f>
        <v>65806</v>
      </c>
    </row>
    <row r="12" spans="1:11">
      <c r="A12" t="s">
        <v>252</v>
      </c>
      <c r="B12" s="170">
        <f>'[1]Data Sheet'!B64</f>
        <v>23767.02</v>
      </c>
      <c r="C12" s="170">
        <f>'[1]Data Sheet'!C64</f>
        <v>20337.919999999998</v>
      </c>
      <c r="D12" s="170">
        <f>'[1]Data Sheet'!D64</f>
        <v>20812.75</v>
      </c>
      <c r="E12" s="170">
        <f>'[1]Data Sheet'!E64</f>
        <v>15770.72</v>
      </c>
      <c r="F12" s="170">
        <f>'[1]Data Sheet'!F64</f>
        <v>16308.48</v>
      </c>
      <c r="G12" s="170">
        <f>'[1]Data Sheet'!G64</f>
        <v>24620.28</v>
      </c>
      <c r="H12" s="170">
        <f>'[1]Data Sheet'!H64</f>
        <v>29379.53</v>
      </c>
      <c r="I12" s="170">
        <f>'[1]Data Sheet'!I64</f>
        <v>26379.16</v>
      </c>
      <c r="J12" s="170">
        <f>'[1]Data Sheet'!J64</f>
        <v>22971</v>
      </c>
      <c r="K12" s="170">
        <f>'[1]Data Sheet'!K64</f>
        <v>35656</v>
      </c>
    </row>
    <row r="13" spans="1:11">
      <c r="A13" t="s">
        <v>253</v>
      </c>
      <c r="B13" s="170">
        <f>'[1]Data Sheet'!B65</f>
        <v>106266.4</v>
      </c>
      <c r="C13" s="170">
        <f>'[1]Data Sheet'!C65</f>
        <v>122599.52</v>
      </c>
      <c r="D13" s="170">
        <f>'[1]Data Sheet'!D65</f>
        <v>144931.70000000001</v>
      </c>
      <c r="E13" s="170">
        <f>'[1]Data Sheet'!E65</f>
        <v>146814.46</v>
      </c>
      <c r="F13" s="170">
        <f>'[1]Data Sheet'!F65</f>
        <v>141141.48000000001</v>
      </c>
      <c r="G13" s="170">
        <f>'[1]Data Sheet'!G65</f>
        <v>157278.09</v>
      </c>
      <c r="H13" s="170">
        <f>'[1]Data Sheet'!H65</f>
        <v>150575.42000000001</v>
      </c>
      <c r="I13" s="170">
        <f>'[1]Data Sheet'!I65</f>
        <v>161941.01</v>
      </c>
      <c r="J13" s="170">
        <f>'[1]Data Sheet'!J65</f>
        <v>189567</v>
      </c>
      <c r="K13" s="170">
        <f>'[1]Data Sheet'!K65</f>
        <v>159814</v>
      </c>
    </row>
    <row r="14" spans="1:11" s="1" customFormat="1">
      <c r="A14" s="1" t="s">
        <v>249</v>
      </c>
      <c r="B14" s="170">
        <f>'[1]Data Sheet'!B66</f>
        <v>263184.12</v>
      </c>
      <c r="C14" s="170">
        <f>'[1]Data Sheet'!C66</f>
        <v>272580.36</v>
      </c>
      <c r="D14" s="170">
        <f>'[1]Data Sheet'!D66</f>
        <v>327191.81</v>
      </c>
      <c r="E14" s="170">
        <f>'[1]Data Sheet'!E66</f>
        <v>305703.49</v>
      </c>
      <c r="F14" s="170">
        <f>'[1]Data Sheet'!F66</f>
        <v>320179.39</v>
      </c>
      <c r="G14" s="170">
        <f>'[1]Data Sheet'!G66</f>
        <v>341569.91</v>
      </c>
      <c r="H14" s="170">
        <f>'[1]Data Sheet'!H66</f>
        <v>329061.49</v>
      </c>
      <c r="I14" s="170">
        <f>'[1]Data Sheet'!I66</f>
        <v>334674.43</v>
      </c>
      <c r="J14" s="170">
        <f>'[1]Data Sheet'!J66</f>
        <v>369521</v>
      </c>
      <c r="K14" s="170">
        <f>'[1]Data Sheet'!K66</f>
        <v>376973</v>
      </c>
    </row>
    <row r="15" spans="1:11">
      <c r="B15" s="172"/>
      <c r="C15" s="172"/>
      <c r="D15" s="172"/>
      <c r="E15" s="172"/>
      <c r="F15" s="172"/>
      <c r="G15" s="172"/>
      <c r="H15" s="172"/>
      <c r="I15" s="172"/>
      <c r="J15" s="172"/>
      <c r="K15" s="172"/>
    </row>
    <row r="16" spans="1:11">
      <c r="A16" t="s">
        <v>254</v>
      </c>
      <c r="B16" s="172">
        <f>B13-B7</f>
        <v>-8605.3500000000058</v>
      </c>
      <c r="C16" s="172">
        <f t="shared" ref="C16:K16" si="0">C13-C7</f>
        <v>-13314.969999999987</v>
      </c>
      <c r="D16" s="172">
        <f t="shared" si="0"/>
        <v>2118.2700000000186</v>
      </c>
      <c r="E16" s="172">
        <f t="shared" si="0"/>
        <v>7465.8699999999953</v>
      </c>
      <c r="F16" s="172">
        <f t="shared" si="0"/>
        <v>8828.2600000000093</v>
      </c>
      <c r="G16" s="172">
        <f t="shared" si="0"/>
        <v>13085.470000000001</v>
      </c>
      <c r="H16" s="172">
        <f t="shared" si="0"/>
        <v>12524.200000000012</v>
      </c>
      <c r="I16" s="172">
        <f t="shared" si="0"/>
        <v>6701.8099999999977</v>
      </c>
      <c r="J16" s="172">
        <f t="shared" si="0"/>
        <v>12228</v>
      </c>
      <c r="K16" s="172">
        <f t="shared" si="0"/>
        <v>-29475</v>
      </c>
    </row>
    <row r="17" spans="1:11">
      <c r="A17" t="s">
        <v>255</v>
      </c>
      <c r="B17" s="172">
        <f>'[1]Data Sheet'!B67</f>
        <v>13570.91</v>
      </c>
      <c r="C17" s="172">
        <f>'[1]Data Sheet'!C67</f>
        <v>14075.55</v>
      </c>
      <c r="D17" s="172">
        <f>'[1]Data Sheet'!D67</f>
        <v>19893.3</v>
      </c>
      <c r="E17" s="172">
        <f>'[1]Data Sheet'!E67</f>
        <v>18996.169999999998</v>
      </c>
      <c r="F17" s="172">
        <f>'[1]Data Sheet'!F67</f>
        <v>11172.69</v>
      </c>
      <c r="G17" s="172">
        <f>'[1]Data Sheet'!G67</f>
        <v>12679.08</v>
      </c>
      <c r="H17" s="172">
        <f>'[1]Data Sheet'!H67</f>
        <v>12442.12</v>
      </c>
      <c r="I17" s="172">
        <f>'[1]Data Sheet'!I67</f>
        <v>15737.97</v>
      </c>
      <c r="J17" s="172">
        <f>'[1]Data Sheet'!J67</f>
        <v>16952</v>
      </c>
      <c r="K17" s="172">
        <f>'[1]Data Sheet'!K67</f>
        <v>13248</v>
      </c>
    </row>
    <row r="18" spans="1:11">
      <c r="A18" t="s">
        <v>256</v>
      </c>
      <c r="B18" s="172">
        <f>'[1]Data Sheet'!B68</f>
        <v>32655.73</v>
      </c>
      <c r="C18" s="172">
        <f>'[1]Data Sheet'!C68</f>
        <v>35085.31</v>
      </c>
      <c r="D18" s="172">
        <f>'[1]Data Sheet'!D68</f>
        <v>42137.63</v>
      </c>
      <c r="E18" s="172">
        <f>'[1]Data Sheet'!E68</f>
        <v>39013.730000000003</v>
      </c>
      <c r="F18" s="172">
        <f>'[1]Data Sheet'!F68</f>
        <v>37456.879999999997</v>
      </c>
      <c r="G18" s="172">
        <f>'[1]Data Sheet'!G68</f>
        <v>36088.589999999997</v>
      </c>
      <c r="H18" s="172">
        <f>'[1]Data Sheet'!H68</f>
        <v>35240.339999999997</v>
      </c>
      <c r="I18" s="172">
        <f>'[1]Data Sheet'!I68</f>
        <v>40755.39</v>
      </c>
      <c r="J18" s="172">
        <f>'[1]Data Sheet'!J68</f>
        <v>47788</v>
      </c>
      <c r="K18" s="172">
        <f>'[1]Data Sheet'!K68</f>
        <v>47269</v>
      </c>
    </row>
    <row r="20" spans="1:11">
      <c r="A20" t="s">
        <v>257</v>
      </c>
      <c r="B20" s="172">
        <f>IF('[1]Profit &amp; Loss'!B4&gt;0,'Balance Sheet'!B17/('[1]Profit &amp; Loss'!B4/365),0)</f>
        <v>0</v>
      </c>
      <c r="C20" s="172">
        <f>IF('[1]Profit &amp; Loss'!C4&gt;0,'Balance Sheet'!C17/('[1]Profit &amp; Loss'!C4/365),0)</f>
        <v>0</v>
      </c>
      <c r="D20" s="172">
        <f>IF('[1]Profit &amp; Loss'!D4&gt;0,'Balance Sheet'!D17/('[1]Profit &amp; Loss'!D4/365),0)</f>
        <v>0</v>
      </c>
      <c r="E20" s="172">
        <f>IF('[1]Profit &amp; Loss'!E4&gt;0,'Balance Sheet'!E17/('[1]Profit &amp; Loss'!E4/365),0)</f>
        <v>0</v>
      </c>
      <c r="F20" s="172">
        <f>IF('[1]Profit &amp; Loss'!F4&gt;0,'Balance Sheet'!F17/('[1]Profit &amp; Loss'!F4/365),0)</f>
        <v>0</v>
      </c>
      <c r="G20" s="172">
        <f>IF('[1]Profit &amp; Loss'!G4&gt;0,'Balance Sheet'!G17/('[1]Profit &amp; Loss'!G4/365),0)</f>
        <v>0</v>
      </c>
      <c r="H20" s="172">
        <f>IF('[1]Profit &amp; Loss'!H4&gt;0,'Balance Sheet'!H17/('[1]Profit &amp; Loss'!H4/365),0)</f>
        <v>0</v>
      </c>
      <c r="I20" s="172">
        <f>IF('[1]Profit &amp; Loss'!I4&gt;0,'Balance Sheet'!I17/('[1]Profit &amp; Loss'!I4/365),0)</f>
        <v>0</v>
      </c>
      <c r="J20" s="172">
        <f>IF('[1]Profit &amp; Loss'!J4&gt;0,'Balance Sheet'!J17/('[1]Profit &amp; Loss'!J4/365),0)</f>
        <v>0</v>
      </c>
      <c r="K20" s="172">
        <f>IF('[1]Profit &amp; Loss'!K4&gt;0,'Balance Sheet'!K17/('[1]Profit &amp; Loss'!K4/365),0)</f>
        <v>0</v>
      </c>
    </row>
    <row r="21" spans="1:11">
      <c r="A21" t="s">
        <v>258</v>
      </c>
      <c r="B21" s="172">
        <f>IF('Balance Sheet'!B18&gt;0,'[1]Profit &amp; Loss'!B4/'Balance Sheet'!B18,0)</f>
        <v>0</v>
      </c>
      <c r="C21" s="172">
        <f>IF('Balance Sheet'!C18&gt;0,'[1]Profit &amp; Loss'!C4/'Balance Sheet'!C18,0)</f>
        <v>0</v>
      </c>
      <c r="D21" s="172">
        <f>IF('Balance Sheet'!D18&gt;0,'[1]Profit &amp; Loss'!D4/'Balance Sheet'!D18,0)</f>
        <v>0</v>
      </c>
      <c r="E21" s="172">
        <f>IF('Balance Sheet'!E18&gt;0,'[1]Profit &amp; Loss'!E4/'Balance Sheet'!E18,0)</f>
        <v>0</v>
      </c>
      <c r="F21" s="172">
        <f>IF('Balance Sheet'!F18&gt;0,'[1]Profit &amp; Loss'!F4/'Balance Sheet'!F18,0)</f>
        <v>0</v>
      </c>
      <c r="G21" s="172">
        <f>IF('Balance Sheet'!G18&gt;0,'[1]Profit &amp; Loss'!G4/'Balance Sheet'!G18,0)</f>
        <v>0</v>
      </c>
      <c r="H21" s="172">
        <f>IF('Balance Sheet'!H18&gt;0,'[1]Profit &amp; Loss'!H4/'Balance Sheet'!H18,0)</f>
        <v>0</v>
      </c>
      <c r="I21" s="172">
        <f>IF('Balance Sheet'!I18&gt;0,'[1]Profit &amp; Loss'!I4/'Balance Sheet'!I18,0)</f>
        <v>0</v>
      </c>
      <c r="J21" s="172">
        <f>IF('Balance Sheet'!J18&gt;0,'[1]Profit &amp; Loss'!J4/'Balance Sheet'!J18,0)</f>
        <v>0</v>
      </c>
      <c r="K21" s="172">
        <f>IF('Balance Sheet'!K18&gt;0,'[1]Profit &amp; Loss'!K4/'Balance Sheet'!K18,0)</f>
        <v>0</v>
      </c>
    </row>
    <row r="23" spans="1:11" s="1" customFormat="1">
      <c r="A23" s="1" t="s">
        <v>259</v>
      </c>
      <c r="B23" s="151">
        <f>IF(SUM('Balance Sheet'!B4:B5)&gt;0,'[1]Profit &amp; Loss'!B12/SUM('Balance Sheet'!B4:B5),"")</f>
        <v>0</v>
      </c>
      <c r="C23" s="151">
        <f>IF(SUM('Balance Sheet'!C4:C5)&gt;0,'[1]Profit &amp; Loss'!C12/SUM('Balance Sheet'!C4:C5),"")</f>
        <v>0</v>
      </c>
      <c r="D23" s="151">
        <f>IF(SUM('Balance Sheet'!D4:D5)&gt;0,'[1]Profit &amp; Loss'!D12/SUM('Balance Sheet'!D4:D5),"")</f>
        <v>0</v>
      </c>
      <c r="E23" s="151">
        <f>IF(SUM('Balance Sheet'!E4:E5)&gt;0,'[1]Profit &amp; Loss'!E12/SUM('Balance Sheet'!E4:E5),"")</f>
        <v>0</v>
      </c>
      <c r="F23" s="151">
        <f>IF(SUM('Balance Sheet'!F4:F5)&gt;0,'[1]Profit &amp; Loss'!F12/SUM('Balance Sheet'!F4:F5),"")</f>
        <v>0</v>
      </c>
      <c r="G23" s="151">
        <f>IF(SUM('Balance Sheet'!G4:G5)&gt;0,'[1]Profit &amp; Loss'!G12/SUM('Balance Sheet'!G4:G5),"")</f>
        <v>0</v>
      </c>
      <c r="H23" s="151">
        <f>IF(SUM('Balance Sheet'!H4:H5)&gt;0,'[1]Profit &amp; Loss'!H12/SUM('Balance Sheet'!H4:H5),"")</f>
        <v>0</v>
      </c>
      <c r="I23" s="151">
        <f>IF(SUM('Balance Sheet'!I4:I5)&gt;0,'[1]Profit &amp; Loss'!I12/SUM('Balance Sheet'!I4:I5),"")</f>
        <v>0</v>
      </c>
      <c r="J23" s="151">
        <f>IF(SUM('Balance Sheet'!J4:J5)&gt;0,'[1]Profit &amp; Loss'!J12/SUM('Balance Sheet'!J4:J5),"")</f>
        <v>0</v>
      </c>
      <c r="K23" s="151">
        <f>IF(SUM('Balance Sheet'!K4:K5)&gt;0,'[1]Profit &amp; Loss'!K12/SUM('Balance Sheet'!K4:K5),"")</f>
        <v>0</v>
      </c>
    </row>
    <row r="24" spans="1:11" s="1" customFormat="1">
      <c r="A24" s="1" t="s">
        <v>260</v>
      </c>
      <c r="B24" s="151"/>
      <c r="C24" s="151">
        <f>IF((B4+B5+B6+C4+C5+C6)&gt;0,('[1]Profit &amp; Loss'!C10+'[1]Profit &amp; Loss'!C9)*2/(B4+B5+B6+C4+C5+C6),"")</f>
        <v>0</v>
      </c>
      <c r="D24" s="151">
        <f>IF((C4+C5+C6+D4+D5+D6)&gt;0,('[1]Profit &amp; Loss'!D10+'[1]Profit &amp; Loss'!D9)*2/(C4+C5+C6+D4+D5+D6),"")</f>
        <v>0</v>
      </c>
      <c r="E24" s="151">
        <f>IF((D4+D5+D6+E4+E5+E6)&gt;0,('[1]Profit &amp; Loss'!E10+'[1]Profit &amp; Loss'!E9)*2/(D4+D5+D6+E4+E5+E6),"")</f>
        <v>0</v>
      </c>
      <c r="F24" s="151">
        <f>IF((E4+E5+E6+F4+F5+F6)&gt;0,('[1]Profit &amp; Loss'!F10+'[1]Profit &amp; Loss'!F9)*2/(E4+E5+E6+F4+F5+F6),"")</f>
        <v>0</v>
      </c>
      <c r="G24" s="151">
        <f>IF((F4+F5+F6+G4+G5+G6)&gt;0,('[1]Profit &amp; Loss'!G10+'[1]Profit &amp; Loss'!G9)*2/(F4+F5+F6+G4+G5+G6),"")</f>
        <v>0</v>
      </c>
      <c r="H24" s="151">
        <f>IF((G4+G5+G6+H4+H5+H6)&gt;0,('[1]Profit &amp; Loss'!H10+'[1]Profit &amp; Loss'!H9)*2/(G4+G5+G6+H4+H5+H6),"")</f>
        <v>0</v>
      </c>
      <c r="I24" s="151">
        <f>IF((H4+H5+H6+I4+I5+I6)&gt;0,('[1]Profit &amp; Loss'!I10+'[1]Profit &amp; Loss'!I9)*2/(H4+H5+H6+I4+I5+I6),"")</f>
        <v>0</v>
      </c>
      <c r="J24" s="151">
        <f>IF((I4+I5+I6+J4+J5+J6)&gt;0,('[1]Profit &amp; Loss'!J10+'[1]Profit &amp; Loss'!J9)*2/(I4+I5+I6+J4+J5+J6),"")</f>
        <v>0</v>
      </c>
      <c r="K24" s="151">
        <f>IF((J4+J5+J6+K4+K5+K6)&gt;0,('[1]Profit &amp; Loss'!K10+'[1]Profit &amp; Loss'!K9)*2/(J4+J5+J6+K4+K5+K6),"")</f>
        <v>0</v>
      </c>
    </row>
    <row r="27" spans="1:11">
      <c r="I27" s="173">
        <f>AVERAGE(F23:J23)</f>
        <v>0</v>
      </c>
    </row>
  </sheetData>
  <hyperlinks>
    <hyperlink ref="J1" r:id="rId1" xr:uid="{E37E8B2C-3BE0-4446-8C40-ABADB5BC8BDB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341B-0DF6-4274-A032-45AE3F650DD5}">
  <sheetPr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85546875" defaultRowHeight="15"/>
  <cols>
    <col min="1" max="1" width="26.85546875" bestFit="1" customWidth="1"/>
    <col min="2" max="6" width="13.42578125" customWidth="1"/>
    <col min="7" max="11" width="13.42578125" bestFit="1" customWidth="1"/>
  </cols>
  <sheetData>
    <row r="1" spans="1:11" s="1" customFormat="1">
      <c r="A1" s="1">
        <f>'[1]Balance Sheet'!A1</f>
        <v>0</v>
      </c>
      <c r="E1" t="str">
        <f>UPDATE</f>
        <v/>
      </c>
      <c r="F1"/>
      <c r="J1" s="1" t="s">
        <v>215</v>
      </c>
    </row>
    <row r="3" spans="1:11" s="1" customFormat="1">
      <c r="A3" s="158" t="s">
        <v>216</v>
      </c>
      <c r="B3" s="159">
        <f>'[1]Data Sheet'!B81</f>
        <v>42460</v>
      </c>
      <c r="C3" s="159">
        <f>'[1]Data Sheet'!C81</f>
        <v>42825</v>
      </c>
      <c r="D3" s="159">
        <f>'[1]Data Sheet'!D81</f>
        <v>43190</v>
      </c>
      <c r="E3" s="159">
        <f>'[1]Data Sheet'!E81</f>
        <v>43555</v>
      </c>
      <c r="F3" s="159">
        <f>'[1]Data Sheet'!F81</f>
        <v>43921</v>
      </c>
      <c r="G3" s="159">
        <f>'[1]Data Sheet'!G81</f>
        <v>44286</v>
      </c>
      <c r="H3" s="159">
        <f>'[1]Data Sheet'!H81</f>
        <v>44651</v>
      </c>
      <c r="I3" s="159">
        <f>'[1]Data Sheet'!I81</f>
        <v>45016</v>
      </c>
      <c r="J3" s="159">
        <f>'[1]Data Sheet'!J81</f>
        <v>45382</v>
      </c>
      <c r="K3" s="159">
        <f>'[1]Data Sheet'!K81</f>
        <v>45747</v>
      </c>
    </row>
    <row r="4" spans="1:11" s="1" customFormat="1">
      <c r="A4" s="1" t="s">
        <v>261</v>
      </c>
      <c r="B4" s="161">
        <f>'[1]Data Sheet'!B82</f>
        <v>37899.54</v>
      </c>
      <c r="C4" s="161">
        <f>'[1]Data Sheet'!C82</f>
        <v>30199.25</v>
      </c>
      <c r="D4" s="161">
        <f>'[1]Data Sheet'!D82</f>
        <v>23857.42</v>
      </c>
      <c r="E4" s="161">
        <f>'[1]Data Sheet'!E82</f>
        <v>18890.75</v>
      </c>
      <c r="F4" s="161">
        <f>'[1]Data Sheet'!F82</f>
        <v>26632.94</v>
      </c>
      <c r="G4" s="161">
        <f>'[1]Data Sheet'!G82</f>
        <v>29000.51</v>
      </c>
      <c r="H4" s="161">
        <f>'[1]Data Sheet'!H82</f>
        <v>14282.83</v>
      </c>
      <c r="I4" s="161">
        <f>'[1]Data Sheet'!I82</f>
        <v>35388.01</v>
      </c>
      <c r="J4" s="161">
        <f>'[1]Data Sheet'!J82</f>
        <v>67915</v>
      </c>
      <c r="K4" s="161">
        <f>'[1]Data Sheet'!K82</f>
        <v>63102</v>
      </c>
    </row>
    <row r="5" spans="1:11">
      <c r="A5" t="s">
        <v>262</v>
      </c>
      <c r="B5" s="162">
        <f>'[1]Data Sheet'!B83</f>
        <v>-36693.9</v>
      </c>
      <c r="C5" s="162">
        <f>'[1]Data Sheet'!C83</f>
        <v>-39571.4</v>
      </c>
      <c r="D5" s="162">
        <f>'[1]Data Sheet'!D83</f>
        <v>-25139.14</v>
      </c>
      <c r="E5" s="162">
        <f>'[1]Data Sheet'!E83</f>
        <v>-20878.07</v>
      </c>
      <c r="F5" s="162">
        <f>'[1]Data Sheet'!F83</f>
        <v>-33114.550000000003</v>
      </c>
      <c r="G5" s="162">
        <f>'[1]Data Sheet'!G83</f>
        <v>-25672.5</v>
      </c>
      <c r="H5" s="162">
        <f>'[1]Data Sheet'!H83</f>
        <v>-4443.66</v>
      </c>
      <c r="I5" s="162">
        <f>'[1]Data Sheet'!I83</f>
        <v>-15417.17</v>
      </c>
      <c r="J5" s="162">
        <f>'[1]Data Sheet'!J83</f>
        <v>-22781</v>
      </c>
      <c r="K5" s="162">
        <f>'[1]Data Sheet'!K83</f>
        <v>-49982</v>
      </c>
    </row>
    <row r="6" spans="1:11">
      <c r="A6" t="s">
        <v>263</v>
      </c>
      <c r="B6" s="162">
        <f>'[1]Data Sheet'!B84</f>
        <v>-3795.12</v>
      </c>
      <c r="C6" s="162">
        <f>'[1]Data Sheet'!C84</f>
        <v>6205.3</v>
      </c>
      <c r="D6" s="162">
        <f>'[1]Data Sheet'!D84</f>
        <v>2011.71</v>
      </c>
      <c r="E6" s="162">
        <f>'[1]Data Sheet'!E84</f>
        <v>8830.3700000000008</v>
      </c>
      <c r="F6" s="162">
        <f>'[1]Data Sheet'!F84</f>
        <v>3389.61</v>
      </c>
      <c r="G6" s="162">
        <f>'[1]Data Sheet'!G84</f>
        <v>9904.2000000000007</v>
      </c>
      <c r="H6" s="162">
        <f>'[1]Data Sheet'!H84</f>
        <v>-3380.17</v>
      </c>
      <c r="I6" s="162">
        <f>'[1]Data Sheet'!I84</f>
        <v>-26242.9</v>
      </c>
      <c r="J6" s="162">
        <f>'[1]Data Sheet'!J84</f>
        <v>-37006</v>
      </c>
      <c r="K6" s="162">
        <f>'[1]Data Sheet'!K84</f>
        <v>-18786</v>
      </c>
    </row>
    <row r="7" spans="1:11" s="1" customFormat="1">
      <c r="A7" s="1" t="s">
        <v>264</v>
      </c>
      <c r="B7" s="161">
        <f>'[1]Data Sheet'!B85</f>
        <v>-2589.48</v>
      </c>
      <c r="C7" s="161">
        <f>'[1]Data Sheet'!C85</f>
        <v>-3166.85</v>
      </c>
      <c r="D7" s="161">
        <f>'[1]Data Sheet'!D85</f>
        <v>729.99</v>
      </c>
      <c r="E7" s="161">
        <f>'[1]Data Sheet'!E85</f>
        <v>6843.05</v>
      </c>
      <c r="F7" s="161">
        <f>'[1]Data Sheet'!F85</f>
        <v>-3092</v>
      </c>
      <c r="G7" s="161">
        <f>'[1]Data Sheet'!G85</f>
        <v>13232.21</v>
      </c>
      <c r="H7" s="161">
        <f>'[1]Data Sheet'!H85</f>
        <v>6459</v>
      </c>
      <c r="I7" s="161">
        <f>'[1]Data Sheet'!I85</f>
        <v>-6272.06</v>
      </c>
      <c r="J7" s="161">
        <f>'[1]Data Sheet'!J85</f>
        <v>8128</v>
      </c>
      <c r="K7" s="161">
        <f>'[1]Data Sheet'!K85</f>
        <v>-5666</v>
      </c>
    </row>
    <row r="8" spans="1:11">
      <c r="B8" s="162"/>
      <c r="C8" s="162"/>
      <c r="D8" s="162"/>
      <c r="E8" s="162"/>
      <c r="F8" s="162"/>
      <c r="G8" s="162"/>
      <c r="H8" s="162"/>
      <c r="I8" s="162"/>
      <c r="J8" s="162"/>
      <c r="K8" s="162"/>
    </row>
  </sheetData>
  <hyperlinks>
    <hyperlink ref="J1" r:id="rId1" xr:uid="{94DE6C7E-48C9-4FC6-B686-88803CE72975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9A6D-7288-400B-AD54-A692B18E61CD}">
  <dimension ref="A1:K93"/>
  <sheetViews>
    <sheetView zoomScale="120" zoomScaleNormal="120" zoomScalePageLayoutView="120" workbookViewId="0">
      <pane xSplit="1" ySplit="1" topLeftCell="B56" activePane="bottomRight" state="frozen"/>
      <selection activeCell="C4" sqref="C4"/>
      <selection pane="topRight" activeCell="C4" sqref="C4"/>
      <selection pane="bottomLeft" activeCell="C4" sqref="C4"/>
      <selection pane="bottomRight" activeCell="E10" sqref="E10"/>
    </sheetView>
  </sheetViews>
  <sheetFormatPr defaultColWidth="8.85546875" defaultRowHeight="15"/>
  <cols>
    <col min="1" max="1" width="27.7109375" style="172" bestFit="1" customWidth="1"/>
    <col min="2" max="11" width="13.42578125" style="172" bestFit="1" customWidth="1"/>
    <col min="12" max="16384" width="8.85546875" style="172"/>
  </cols>
  <sheetData>
    <row r="1" spans="1:11" s="161" customFormat="1">
      <c r="A1" s="161" t="s">
        <v>265</v>
      </c>
      <c r="B1" s="161" t="s">
        <v>266</v>
      </c>
      <c r="E1" s="199" t="str">
        <f>IF(B2&lt;&gt;B3, "A NEW VERSION OF THE WORKSHEET IS AVAILABLE", "")</f>
        <v/>
      </c>
      <c r="F1" s="199"/>
      <c r="G1" s="199"/>
      <c r="H1" s="199"/>
      <c r="I1" s="199"/>
      <c r="J1" s="199"/>
      <c r="K1" s="199"/>
    </row>
    <row r="2" spans="1:11">
      <c r="A2" s="161" t="s">
        <v>267</v>
      </c>
      <c r="B2" s="172">
        <v>2.1</v>
      </c>
      <c r="E2" s="200" t="s">
        <v>268</v>
      </c>
      <c r="F2" s="200"/>
      <c r="G2" s="200"/>
      <c r="H2" s="200"/>
      <c r="I2" s="200"/>
      <c r="J2" s="200"/>
      <c r="K2" s="200"/>
    </row>
    <row r="3" spans="1:11">
      <c r="A3" s="161" t="s">
        <v>269</v>
      </c>
      <c r="B3" s="172">
        <v>2.1</v>
      </c>
    </row>
    <row r="4" spans="1:11">
      <c r="A4" s="161"/>
    </row>
    <row r="5" spans="1:11">
      <c r="A5" s="161" t="s">
        <v>270</v>
      </c>
    </row>
    <row r="6" spans="1:11">
      <c r="A6" s="172" t="s">
        <v>271</v>
      </c>
      <c r="B6" s="172">
        <f>IF(B9&gt;0, B9/B8, 0)</f>
        <v>368.25345930232561</v>
      </c>
    </row>
    <row r="7" spans="1:11">
      <c r="A7" s="172" t="s">
        <v>272</v>
      </c>
      <c r="B7">
        <v>2</v>
      </c>
    </row>
    <row r="8" spans="1:11">
      <c r="A8" s="172" t="s">
        <v>273</v>
      </c>
      <c r="B8">
        <v>688</v>
      </c>
      <c r="F8" s="174">
        <f>B9/(B9+F75)</f>
        <v>0.80478399752896446</v>
      </c>
    </row>
    <row r="9" spans="1:11">
      <c r="A9" s="172" t="s">
        <v>274</v>
      </c>
      <c r="B9">
        <v>253358.38</v>
      </c>
      <c r="E9" s="172">
        <f>F75/(B9+F75)</f>
        <v>0.19521600247103557</v>
      </c>
    </row>
    <row r="10" spans="1:11">
      <c r="E10" s="174">
        <f>1-F8</f>
        <v>0.19521600247103554</v>
      </c>
    </row>
    <row r="15" spans="1:11">
      <c r="A15" s="161" t="s">
        <v>275</v>
      </c>
    </row>
    <row r="16" spans="1:11" s="176" customFormat="1">
      <c r="A16" s="175" t="s">
        <v>276</v>
      </c>
      <c r="B16" s="159">
        <v>42460</v>
      </c>
      <c r="C16" s="159">
        <v>42825</v>
      </c>
      <c r="D16" s="159">
        <v>43190</v>
      </c>
      <c r="E16" s="159">
        <v>43555</v>
      </c>
      <c r="F16" s="159">
        <v>43921</v>
      </c>
      <c r="G16" s="159">
        <v>44286</v>
      </c>
      <c r="H16" s="159">
        <v>44651</v>
      </c>
      <c r="I16" s="159">
        <v>45016</v>
      </c>
      <c r="J16" s="159">
        <v>45382</v>
      </c>
      <c r="K16" s="159">
        <v>45747</v>
      </c>
    </row>
    <row r="17" spans="1:11" s="162" customFormat="1">
      <c r="A17" s="162" t="s">
        <v>220</v>
      </c>
      <c r="B17">
        <v>273045.59999999998</v>
      </c>
      <c r="C17">
        <v>269692.51</v>
      </c>
      <c r="D17">
        <v>291550.48</v>
      </c>
      <c r="E17">
        <v>301938.40000000002</v>
      </c>
      <c r="F17">
        <v>261067.97</v>
      </c>
      <c r="G17">
        <v>249794.75</v>
      </c>
      <c r="H17">
        <v>278453.62</v>
      </c>
      <c r="I17">
        <v>345966.97</v>
      </c>
      <c r="J17">
        <v>434016</v>
      </c>
      <c r="K17">
        <v>439695</v>
      </c>
    </row>
    <row r="18" spans="1:11" s="162" customFormat="1">
      <c r="A18" s="172" t="s">
        <v>277</v>
      </c>
      <c r="B18">
        <v>166134.01</v>
      </c>
      <c r="C18">
        <v>173294.07999999999</v>
      </c>
      <c r="D18">
        <v>187896.58</v>
      </c>
      <c r="E18">
        <v>194267.91</v>
      </c>
      <c r="F18">
        <v>164899.82</v>
      </c>
      <c r="G18">
        <v>153607.35999999999</v>
      </c>
      <c r="H18">
        <v>179295.33</v>
      </c>
      <c r="I18">
        <v>231251.26</v>
      </c>
      <c r="J18">
        <v>274321</v>
      </c>
      <c r="K18">
        <v>268950</v>
      </c>
    </row>
    <row r="19" spans="1:11" s="162" customFormat="1">
      <c r="A19" s="172" t="s">
        <v>278</v>
      </c>
      <c r="B19">
        <v>2750.99</v>
      </c>
      <c r="C19">
        <v>7399.92</v>
      </c>
      <c r="D19">
        <v>2046.58</v>
      </c>
      <c r="E19">
        <v>-2053.2800000000002</v>
      </c>
      <c r="F19">
        <v>-2231.19</v>
      </c>
      <c r="G19">
        <v>-4684.16</v>
      </c>
      <c r="H19">
        <v>-1590.49</v>
      </c>
      <c r="I19">
        <v>4781.62</v>
      </c>
      <c r="J19">
        <v>1566</v>
      </c>
      <c r="K19">
        <v>-2836</v>
      </c>
    </row>
    <row r="20" spans="1:11" s="162" customFormat="1">
      <c r="A20" s="172" t="s">
        <v>279</v>
      </c>
      <c r="B20">
        <v>1143.6300000000001</v>
      </c>
      <c r="C20">
        <v>1159.82</v>
      </c>
      <c r="D20">
        <v>1308.08</v>
      </c>
      <c r="E20">
        <v>1585.93</v>
      </c>
      <c r="F20">
        <v>1264.95</v>
      </c>
      <c r="G20">
        <v>1112.8699999999999</v>
      </c>
      <c r="H20">
        <v>2178.29</v>
      </c>
      <c r="I20">
        <v>2513.33</v>
      </c>
      <c r="J20">
        <v>2189</v>
      </c>
      <c r="K20">
        <v>2443</v>
      </c>
    </row>
    <row r="21" spans="1:11" s="162" customFormat="1">
      <c r="A21" s="172" t="s">
        <v>280</v>
      </c>
      <c r="B21">
        <v>12101.53</v>
      </c>
      <c r="C21">
        <v>10067.370000000001</v>
      </c>
      <c r="D21">
        <v>10971.66</v>
      </c>
      <c r="E21">
        <v>11694.54</v>
      </c>
      <c r="F21">
        <v>11541.51</v>
      </c>
      <c r="G21">
        <v>8273.17</v>
      </c>
      <c r="H21">
        <v>9427.3799999999992</v>
      </c>
      <c r="I21">
        <v>11765.97</v>
      </c>
      <c r="J21">
        <v>17446</v>
      </c>
      <c r="K21">
        <v>18813</v>
      </c>
    </row>
    <row r="22" spans="1:11" s="162" customFormat="1">
      <c r="A22" s="172" t="s">
        <v>281</v>
      </c>
      <c r="B22">
        <v>28880.89</v>
      </c>
      <c r="C22">
        <v>28332.89</v>
      </c>
      <c r="D22">
        <v>30300.09</v>
      </c>
      <c r="E22">
        <v>33243.870000000003</v>
      </c>
      <c r="F22">
        <v>30438.6</v>
      </c>
      <c r="G22">
        <v>27648.48</v>
      </c>
      <c r="H22">
        <v>30808.52</v>
      </c>
      <c r="I22">
        <v>33654.699999999997</v>
      </c>
      <c r="J22">
        <v>41990</v>
      </c>
      <c r="K22">
        <v>47767</v>
      </c>
    </row>
    <row r="23" spans="1:11" s="162" customFormat="1">
      <c r="A23" s="172" t="s">
        <v>282</v>
      </c>
      <c r="B23">
        <v>21991.9</v>
      </c>
      <c r="C23">
        <v>30039.38</v>
      </c>
      <c r="D23">
        <v>31004.58</v>
      </c>
      <c r="E23">
        <v>32719.8</v>
      </c>
      <c r="F23">
        <v>29248.32</v>
      </c>
      <c r="G23">
        <v>23015.79</v>
      </c>
      <c r="H23">
        <v>29205.4</v>
      </c>
      <c r="I23">
        <v>34839.19</v>
      </c>
      <c r="J23">
        <v>42765</v>
      </c>
      <c r="K23">
        <v>47099</v>
      </c>
    </row>
    <row r="24" spans="1:11" s="162" customFormat="1">
      <c r="A24" s="172" t="s">
        <v>283</v>
      </c>
      <c r="B24">
        <v>7149.38</v>
      </c>
      <c r="C24">
        <v>4610.2</v>
      </c>
      <c r="D24">
        <v>658.39</v>
      </c>
      <c r="E24">
        <v>1708.74</v>
      </c>
      <c r="F24">
        <v>3456.51</v>
      </c>
      <c r="G24">
        <v>-834.51</v>
      </c>
      <c r="H24">
        <v>1228.1199999999999</v>
      </c>
      <c r="I24">
        <v>4908.34</v>
      </c>
      <c r="J24">
        <v>-953</v>
      </c>
      <c r="K24">
        <v>-3429</v>
      </c>
    </row>
    <row r="25" spans="1:11" s="162" customFormat="1">
      <c r="A25" s="162" t="s">
        <v>223</v>
      </c>
      <c r="B25">
        <v>-2669.62</v>
      </c>
      <c r="C25">
        <v>1869.1</v>
      </c>
      <c r="D25">
        <v>5932.73</v>
      </c>
      <c r="E25">
        <v>-26686.25</v>
      </c>
      <c r="F25">
        <v>101.71</v>
      </c>
      <c r="G25">
        <v>-11117.83</v>
      </c>
      <c r="H25">
        <v>2424.0500000000002</v>
      </c>
      <c r="I25">
        <v>6663.97</v>
      </c>
      <c r="J25">
        <v>4792</v>
      </c>
      <c r="K25">
        <v>11774</v>
      </c>
    </row>
    <row r="26" spans="1:11" s="162" customFormat="1">
      <c r="A26" s="162" t="s">
        <v>224</v>
      </c>
      <c r="B26">
        <v>16710.78</v>
      </c>
      <c r="C26">
        <v>17904.990000000002</v>
      </c>
      <c r="D26">
        <v>21553.59</v>
      </c>
      <c r="E26">
        <v>23590.63</v>
      </c>
      <c r="F26">
        <v>21425.43</v>
      </c>
      <c r="G26">
        <v>23546.71</v>
      </c>
      <c r="H26">
        <v>24835.69</v>
      </c>
      <c r="I26">
        <v>24860.36</v>
      </c>
      <c r="J26">
        <v>27239</v>
      </c>
      <c r="K26">
        <v>23256</v>
      </c>
    </row>
    <row r="27" spans="1:11" s="162" customFormat="1">
      <c r="A27" s="162" t="s">
        <v>225</v>
      </c>
      <c r="B27">
        <v>4889.08</v>
      </c>
      <c r="C27">
        <v>4238.01</v>
      </c>
      <c r="D27">
        <v>4681.79</v>
      </c>
      <c r="E27">
        <v>5758.6</v>
      </c>
      <c r="F27">
        <v>7243.33</v>
      </c>
      <c r="G27">
        <v>8097.17</v>
      </c>
      <c r="H27">
        <v>9311.86</v>
      </c>
      <c r="I27">
        <v>10225.48</v>
      </c>
      <c r="J27">
        <v>7594</v>
      </c>
      <c r="K27">
        <v>5083</v>
      </c>
    </row>
    <row r="28" spans="1:11" s="162" customFormat="1">
      <c r="A28" s="162" t="s">
        <v>226</v>
      </c>
      <c r="B28">
        <v>14125.77</v>
      </c>
      <c r="C28">
        <v>9314.7900000000009</v>
      </c>
      <c r="D28">
        <v>11155.03</v>
      </c>
      <c r="E28">
        <v>-31371.15</v>
      </c>
      <c r="F28">
        <v>-10579.98</v>
      </c>
      <c r="G28">
        <v>-10474.280000000001</v>
      </c>
      <c r="H28">
        <v>-7003.41</v>
      </c>
      <c r="I28">
        <v>3393.93</v>
      </c>
      <c r="J28">
        <v>27783</v>
      </c>
      <c r="K28">
        <v>38651</v>
      </c>
    </row>
    <row r="29" spans="1:11" s="162" customFormat="1">
      <c r="A29" s="162" t="s">
        <v>227</v>
      </c>
      <c r="B29">
        <v>3025.05</v>
      </c>
      <c r="C29">
        <v>3251.23</v>
      </c>
      <c r="D29">
        <v>4341.93</v>
      </c>
      <c r="E29">
        <v>-2437.4499999999998</v>
      </c>
      <c r="F29">
        <v>395.25</v>
      </c>
      <c r="G29">
        <v>2541.86</v>
      </c>
      <c r="H29">
        <v>4231.29</v>
      </c>
      <c r="I29">
        <v>704.06</v>
      </c>
      <c r="J29">
        <v>-4024</v>
      </c>
      <c r="K29">
        <v>10502</v>
      </c>
    </row>
    <row r="30" spans="1:11" s="162" customFormat="1">
      <c r="A30" s="162" t="s">
        <v>228</v>
      </c>
      <c r="B30">
        <v>11579.31</v>
      </c>
      <c r="C30">
        <v>7454.36</v>
      </c>
      <c r="D30">
        <v>8988.91</v>
      </c>
      <c r="E30">
        <v>-28826.23</v>
      </c>
      <c r="F30">
        <v>-12070.85</v>
      </c>
      <c r="G30">
        <v>-13451.39</v>
      </c>
      <c r="H30">
        <v>-11441.47</v>
      </c>
      <c r="I30">
        <v>2414.29</v>
      </c>
      <c r="J30">
        <v>31399</v>
      </c>
      <c r="K30">
        <v>27830</v>
      </c>
    </row>
    <row r="31" spans="1:11" s="162" customFormat="1">
      <c r="A31" s="162" t="s">
        <v>284</v>
      </c>
      <c r="B31">
        <v>67.92</v>
      </c>
      <c r="I31">
        <v>766.02</v>
      </c>
      <c r="J31">
        <v>2301</v>
      </c>
      <c r="K31">
        <v>2208</v>
      </c>
    </row>
    <row r="32" spans="1:11" s="162" customFormat="1"/>
    <row r="33" spans="1:11">
      <c r="A33" s="162"/>
    </row>
    <row r="34" spans="1:11">
      <c r="A34" s="162"/>
    </row>
    <row r="35" spans="1:11">
      <c r="A35" s="162"/>
    </row>
    <row r="36" spans="1:11">
      <c r="A36" s="162"/>
    </row>
    <row r="37" spans="1:11">
      <c r="A37" s="162"/>
    </row>
    <row r="38" spans="1:11">
      <c r="A38" s="162"/>
    </row>
    <row r="39" spans="1:11">
      <c r="A39" s="162"/>
    </row>
    <row r="40" spans="1:11">
      <c r="A40" s="161" t="s">
        <v>285</v>
      </c>
    </row>
    <row r="41" spans="1:11" s="176" customFormat="1">
      <c r="A41" s="175" t="s">
        <v>276</v>
      </c>
      <c r="B41" s="159">
        <v>44926</v>
      </c>
      <c r="C41" s="159">
        <v>45016</v>
      </c>
      <c r="D41" s="159">
        <v>45107</v>
      </c>
      <c r="E41" s="159">
        <v>45199</v>
      </c>
      <c r="F41" s="159">
        <v>45291</v>
      </c>
      <c r="G41" s="159">
        <v>45382</v>
      </c>
      <c r="H41" s="159">
        <v>45473</v>
      </c>
      <c r="I41" s="159">
        <v>45565</v>
      </c>
      <c r="J41" s="159">
        <v>45657</v>
      </c>
      <c r="K41" s="159">
        <v>45747</v>
      </c>
    </row>
    <row r="42" spans="1:11" s="162" customFormat="1">
      <c r="A42" s="162" t="s">
        <v>220</v>
      </c>
      <c r="B42">
        <v>88488.59</v>
      </c>
      <c r="C42">
        <v>105932.35</v>
      </c>
      <c r="D42">
        <v>102236</v>
      </c>
      <c r="E42">
        <v>105129</v>
      </c>
      <c r="F42">
        <v>110577</v>
      </c>
      <c r="G42">
        <v>119033</v>
      </c>
      <c r="H42">
        <v>108048</v>
      </c>
      <c r="I42">
        <v>101450</v>
      </c>
      <c r="J42">
        <v>112608</v>
      </c>
      <c r="K42">
        <v>119503</v>
      </c>
    </row>
    <row r="43" spans="1:11" s="162" customFormat="1">
      <c r="A43" s="162" t="s">
        <v>221</v>
      </c>
      <c r="B43">
        <v>77668.350000000006</v>
      </c>
      <c r="C43">
        <v>92817.95</v>
      </c>
      <c r="D43">
        <v>89019</v>
      </c>
      <c r="E43">
        <v>91362</v>
      </c>
      <c r="F43">
        <v>95159</v>
      </c>
      <c r="G43">
        <v>102348</v>
      </c>
      <c r="H43">
        <v>92263</v>
      </c>
      <c r="I43">
        <v>89291</v>
      </c>
      <c r="J43">
        <v>100185</v>
      </c>
      <c r="K43">
        <v>102685</v>
      </c>
    </row>
    <row r="44" spans="1:11" s="162" customFormat="1">
      <c r="A44" s="162" t="s">
        <v>223</v>
      </c>
      <c r="B44">
        <v>1129.98</v>
      </c>
      <c r="C44">
        <v>1452.86</v>
      </c>
      <c r="D44">
        <v>895</v>
      </c>
      <c r="E44">
        <v>1557</v>
      </c>
      <c r="F44">
        <v>1604</v>
      </c>
      <c r="G44">
        <v>1412</v>
      </c>
      <c r="H44">
        <v>1747</v>
      </c>
      <c r="I44">
        <v>1647</v>
      </c>
      <c r="J44">
        <v>1700</v>
      </c>
      <c r="K44">
        <v>1057</v>
      </c>
    </row>
    <row r="45" spans="1:11" s="162" customFormat="1">
      <c r="A45" s="162" t="s">
        <v>224</v>
      </c>
      <c r="B45">
        <v>6071.78</v>
      </c>
      <c r="C45">
        <v>7050.2</v>
      </c>
      <c r="D45">
        <v>6633</v>
      </c>
      <c r="E45">
        <v>6637</v>
      </c>
      <c r="F45">
        <v>6850</v>
      </c>
      <c r="G45">
        <v>7143</v>
      </c>
      <c r="H45">
        <v>6574</v>
      </c>
      <c r="I45">
        <v>6005</v>
      </c>
      <c r="J45">
        <v>5399</v>
      </c>
      <c r="K45">
        <v>5295</v>
      </c>
    </row>
    <row r="46" spans="1:11" s="162" customFormat="1">
      <c r="A46" s="162" t="s">
        <v>225</v>
      </c>
      <c r="B46">
        <v>2675.83</v>
      </c>
      <c r="C46">
        <v>2641.67</v>
      </c>
      <c r="D46">
        <v>2615</v>
      </c>
      <c r="E46">
        <v>2652</v>
      </c>
      <c r="F46">
        <v>2485</v>
      </c>
      <c r="G46">
        <v>1645</v>
      </c>
      <c r="H46">
        <v>2088</v>
      </c>
      <c r="I46">
        <v>2034</v>
      </c>
      <c r="J46">
        <v>1119</v>
      </c>
      <c r="K46">
        <v>1076</v>
      </c>
    </row>
    <row r="47" spans="1:11" s="162" customFormat="1">
      <c r="A47" s="162" t="s">
        <v>226</v>
      </c>
      <c r="B47">
        <v>3202.61</v>
      </c>
      <c r="C47">
        <v>4875.3900000000003</v>
      </c>
      <c r="D47">
        <v>4864</v>
      </c>
      <c r="E47">
        <v>6035</v>
      </c>
      <c r="F47">
        <v>7687</v>
      </c>
      <c r="G47">
        <v>9309</v>
      </c>
      <c r="H47">
        <v>8870</v>
      </c>
      <c r="I47">
        <v>5767</v>
      </c>
      <c r="J47">
        <v>7605</v>
      </c>
      <c r="K47">
        <v>11504</v>
      </c>
    </row>
    <row r="48" spans="1:11" s="162" customFormat="1">
      <c r="A48" s="162" t="s">
        <v>227</v>
      </c>
      <c r="B48">
        <v>262.83</v>
      </c>
      <c r="C48">
        <v>-620.65</v>
      </c>
      <c r="D48">
        <v>1563</v>
      </c>
      <c r="E48">
        <v>2203</v>
      </c>
      <c r="F48">
        <v>542</v>
      </c>
      <c r="G48">
        <v>-8219</v>
      </c>
      <c r="H48">
        <v>3178</v>
      </c>
      <c r="I48">
        <v>2317</v>
      </c>
      <c r="J48">
        <v>2120</v>
      </c>
      <c r="K48">
        <v>2948</v>
      </c>
    </row>
    <row r="49" spans="1:11" s="162" customFormat="1">
      <c r="A49" s="162" t="s">
        <v>228</v>
      </c>
      <c r="B49">
        <v>2957.71</v>
      </c>
      <c r="C49">
        <v>5407.79</v>
      </c>
      <c r="D49">
        <v>3203</v>
      </c>
      <c r="E49">
        <v>3764</v>
      </c>
      <c r="F49">
        <v>7025</v>
      </c>
      <c r="G49">
        <v>17407</v>
      </c>
      <c r="H49">
        <v>5566</v>
      </c>
      <c r="I49">
        <v>3343</v>
      </c>
      <c r="J49">
        <v>5406</v>
      </c>
      <c r="K49">
        <v>8470</v>
      </c>
    </row>
    <row r="50" spans="1:11">
      <c r="A50" s="162" t="s">
        <v>222</v>
      </c>
      <c r="B50">
        <v>10820.24</v>
      </c>
      <c r="C50">
        <v>13114.4</v>
      </c>
      <c r="D50">
        <v>13217</v>
      </c>
      <c r="E50">
        <v>13767</v>
      </c>
      <c r="F50">
        <v>15418</v>
      </c>
      <c r="G50">
        <v>16685</v>
      </c>
      <c r="H50">
        <v>15785</v>
      </c>
      <c r="I50">
        <v>12159</v>
      </c>
      <c r="J50">
        <v>12423</v>
      </c>
      <c r="K50">
        <v>16818</v>
      </c>
    </row>
    <row r="51" spans="1:11">
      <c r="A51" s="162"/>
    </row>
    <row r="52" spans="1:11">
      <c r="A52" s="162"/>
    </row>
    <row r="53" spans="1:11">
      <c r="A53" s="162"/>
    </row>
    <row r="54" spans="1:11">
      <c r="A54" s="162"/>
    </row>
    <row r="55" spans="1:11">
      <c r="A55" s="161" t="s">
        <v>286</v>
      </c>
    </row>
    <row r="56" spans="1:11" s="176" customFormat="1">
      <c r="A56" s="175" t="s">
        <v>276</v>
      </c>
      <c r="B56" s="159">
        <v>42460</v>
      </c>
      <c r="C56" s="159">
        <v>42825</v>
      </c>
      <c r="D56" s="159">
        <v>43190</v>
      </c>
      <c r="E56" s="159">
        <v>43555</v>
      </c>
      <c r="F56" s="159">
        <v>43921</v>
      </c>
      <c r="G56" s="159">
        <v>44286</v>
      </c>
      <c r="H56" s="159">
        <v>44651</v>
      </c>
      <c r="I56" s="159">
        <v>45016</v>
      </c>
      <c r="J56" s="159">
        <v>45382</v>
      </c>
      <c r="K56" s="159">
        <v>45747</v>
      </c>
    </row>
    <row r="57" spans="1:11">
      <c r="A57" s="162" t="s">
        <v>245</v>
      </c>
      <c r="B57">
        <v>679.18</v>
      </c>
      <c r="C57">
        <v>679.22</v>
      </c>
      <c r="D57">
        <v>679.22</v>
      </c>
      <c r="E57">
        <v>679.22</v>
      </c>
      <c r="F57">
        <v>719.54</v>
      </c>
      <c r="G57">
        <v>765.81</v>
      </c>
      <c r="H57">
        <v>765.88</v>
      </c>
      <c r="I57">
        <v>766.02</v>
      </c>
      <c r="J57">
        <v>767</v>
      </c>
      <c r="K57">
        <v>736</v>
      </c>
    </row>
    <row r="58" spans="1:11">
      <c r="A58" s="162" t="s">
        <v>246</v>
      </c>
      <c r="B58">
        <v>78273.23</v>
      </c>
      <c r="C58">
        <v>57382.67</v>
      </c>
      <c r="D58">
        <v>94748.69</v>
      </c>
      <c r="E58">
        <v>59500.34</v>
      </c>
      <c r="F58">
        <v>62358.99</v>
      </c>
      <c r="G58">
        <v>54480.91</v>
      </c>
      <c r="H58">
        <v>43795.360000000001</v>
      </c>
      <c r="I58">
        <v>44555.77</v>
      </c>
      <c r="J58">
        <v>84151</v>
      </c>
      <c r="K58">
        <v>115408</v>
      </c>
    </row>
    <row r="59" spans="1:11">
      <c r="A59" s="162" t="s">
        <v>247</v>
      </c>
      <c r="B59">
        <v>69359.960000000006</v>
      </c>
      <c r="C59">
        <v>78603.98</v>
      </c>
      <c r="D59">
        <v>88950.47</v>
      </c>
      <c r="E59">
        <v>106175.34</v>
      </c>
      <c r="F59">
        <v>124787.64</v>
      </c>
      <c r="G59">
        <v>142130.57</v>
      </c>
      <c r="H59">
        <v>146449.03</v>
      </c>
      <c r="I59">
        <v>134113.44</v>
      </c>
      <c r="J59">
        <v>107264</v>
      </c>
      <c r="K59">
        <v>71540</v>
      </c>
    </row>
    <row r="60" spans="1:11">
      <c r="A60" s="162" t="s">
        <v>248</v>
      </c>
      <c r="B60">
        <v>114871.75</v>
      </c>
      <c r="C60">
        <v>135914.49</v>
      </c>
      <c r="D60">
        <v>142813.43</v>
      </c>
      <c r="E60">
        <v>139348.59</v>
      </c>
      <c r="F60">
        <v>132313.22</v>
      </c>
      <c r="G60">
        <v>144192.62</v>
      </c>
      <c r="H60">
        <v>138051.22</v>
      </c>
      <c r="I60">
        <v>155239.20000000001</v>
      </c>
      <c r="J60">
        <v>177339</v>
      </c>
      <c r="K60">
        <v>189289</v>
      </c>
    </row>
    <row r="61" spans="1:11" s="161" customFormat="1">
      <c r="A61" s="161" t="s">
        <v>249</v>
      </c>
      <c r="B61">
        <v>263184.12</v>
      </c>
      <c r="C61">
        <v>272580.36</v>
      </c>
      <c r="D61">
        <v>327191.81</v>
      </c>
      <c r="E61">
        <v>305703.49</v>
      </c>
      <c r="F61">
        <v>320179.39</v>
      </c>
      <c r="G61">
        <v>341569.91</v>
      </c>
      <c r="H61">
        <v>329061.49</v>
      </c>
      <c r="I61">
        <v>334674.43</v>
      </c>
      <c r="J61">
        <v>369521</v>
      </c>
      <c r="K61">
        <v>376973</v>
      </c>
    </row>
    <row r="62" spans="1:11">
      <c r="A62" s="162" t="s">
        <v>250</v>
      </c>
      <c r="B62">
        <v>107231.76</v>
      </c>
      <c r="C62">
        <v>95944.08</v>
      </c>
      <c r="D62">
        <v>121413.86</v>
      </c>
      <c r="E62">
        <v>111234.47</v>
      </c>
      <c r="F62">
        <v>127107.14</v>
      </c>
      <c r="G62">
        <v>138707.60999999999</v>
      </c>
      <c r="H62">
        <v>138855.45000000001</v>
      </c>
      <c r="I62">
        <v>132079.76</v>
      </c>
      <c r="J62">
        <v>121285</v>
      </c>
      <c r="K62">
        <v>115697</v>
      </c>
    </row>
    <row r="63" spans="1:11">
      <c r="A63" s="162" t="s">
        <v>251</v>
      </c>
      <c r="B63">
        <v>25918.94</v>
      </c>
      <c r="C63">
        <v>33698.839999999997</v>
      </c>
      <c r="D63">
        <v>40033.5</v>
      </c>
      <c r="E63">
        <v>31883.84</v>
      </c>
      <c r="F63">
        <v>35622.29</v>
      </c>
      <c r="G63">
        <v>20963.93</v>
      </c>
      <c r="H63">
        <v>10251.09</v>
      </c>
      <c r="I63">
        <v>14274.5</v>
      </c>
      <c r="J63">
        <v>35698</v>
      </c>
      <c r="K63">
        <v>65806</v>
      </c>
    </row>
    <row r="64" spans="1:11">
      <c r="A64" s="162" t="s">
        <v>252</v>
      </c>
      <c r="B64">
        <v>23767.02</v>
      </c>
      <c r="C64">
        <v>20337.919999999998</v>
      </c>
      <c r="D64">
        <v>20812.75</v>
      </c>
      <c r="E64">
        <v>15770.72</v>
      </c>
      <c r="F64">
        <v>16308.48</v>
      </c>
      <c r="G64">
        <v>24620.28</v>
      </c>
      <c r="H64">
        <v>29379.53</v>
      </c>
      <c r="I64">
        <v>26379.16</v>
      </c>
      <c r="J64">
        <v>22971</v>
      </c>
      <c r="K64">
        <v>35656</v>
      </c>
    </row>
    <row r="65" spans="1:11">
      <c r="A65" s="162" t="s">
        <v>253</v>
      </c>
      <c r="B65">
        <v>106266.4</v>
      </c>
      <c r="C65">
        <v>122599.52</v>
      </c>
      <c r="D65">
        <v>144931.70000000001</v>
      </c>
      <c r="E65">
        <v>146814.46</v>
      </c>
      <c r="F65">
        <v>141141.48000000001</v>
      </c>
      <c r="G65">
        <v>157278.09</v>
      </c>
      <c r="H65">
        <v>150575.42000000001</v>
      </c>
      <c r="I65">
        <v>161941.01</v>
      </c>
      <c r="J65">
        <v>189567</v>
      </c>
      <c r="K65">
        <v>159814</v>
      </c>
    </row>
    <row r="66" spans="1:11" s="161" customFormat="1">
      <c r="A66" s="161" t="s">
        <v>249</v>
      </c>
      <c r="B66">
        <v>263184.12</v>
      </c>
      <c r="C66">
        <v>272580.36</v>
      </c>
      <c r="D66">
        <v>327191.81</v>
      </c>
      <c r="E66">
        <v>305703.49</v>
      </c>
      <c r="F66">
        <v>320179.39</v>
      </c>
      <c r="G66">
        <v>341569.91</v>
      </c>
      <c r="H66">
        <v>329061.49</v>
      </c>
      <c r="I66">
        <v>334674.43</v>
      </c>
      <c r="J66">
        <v>369521</v>
      </c>
      <c r="K66">
        <v>376973</v>
      </c>
    </row>
    <row r="67" spans="1:11" s="162" customFormat="1">
      <c r="A67" s="162" t="s">
        <v>287</v>
      </c>
      <c r="B67">
        <v>13570.91</v>
      </c>
      <c r="C67">
        <v>14075.55</v>
      </c>
      <c r="D67">
        <v>19893.3</v>
      </c>
      <c r="E67">
        <v>18996.169999999998</v>
      </c>
      <c r="F67">
        <v>11172.69</v>
      </c>
      <c r="G67">
        <v>12679.08</v>
      </c>
      <c r="H67">
        <v>12442.12</v>
      </c>
      <c r="I67">
        <v>15737.97</v>
      </c>
      <c r="J67">
        <v>16952</v>
      </c>
      <c r="K67">
        <v>13248</v>
      </c>
    </row>
    <row r="68" spans="1:11">
      <c r="A68" s="162" t="s">
        <v>256</v>
      </c>
      <c r="B68">
        <v>32655.73</v>
      </c>
      <c r="C68">
        <v>35085.31</v>
      </c>
      <c r="D68">
        <v>42137.63</v>
      </c>
      <c r="E68">
        <v>39013.730000000003</v>
      </c>
      <c r="F68">
        <v>37456.879999999997</v>
      </c>
      <c r="G68">
        <v>36088.589999999997</v>
      </c>
      <c r="H68">
        <v>35240.339999999997</v>
      </c>
      <c r="I68">
        <v>40755.39</v>
      </c>
      <c r="J68">
        <v>47788</v>
      </c>
      <c r="K68">
        <v>47269</v>
      </c>
    </row>
    <row r="69" spans="1:11">
      <c r="A69" s="172" t="s">
        <v>288</v>
      </c>
      <c r="B69">
        <v>30460.400000000001</v>
      </c>
      <c r="C69">
        <v>36077.879999999997</v>
      </c>
      <c r="D69">
        <v>34613.910000000003</v>
      </c>
      <c r="E69">
        <v>32648.82</v>
      </c>
      <c r="F69">
        <v>33726.97</v>
      </c>
      <c r="G69">
        <v>46792.46</v>
      </c>
      <c r="H69">
        <v>40669.19</v>
      </c>
      <c r="I69">
        <v>37015.56</v>
      </c>
      <c r="J69">
        <v>45807</v>
      </c>
      <c r="K69">
        <v>40834</v>
      </c>
    </row>
    <row r="70" spans="1:11">
      <c r="A70" s="172" t="s">
        <v>289</v>
      </c>
      <c r="B70">
        <v>3395930306</v>
      </c>
      <c r="C70">
        <v>3396100719</v>
      </c>
      <c r="D70">
        <v>3396100719</v>
      </c>
      <c r="E70">
        <v>3396100719</v>
      </c>
      <c r="F70">
        <v>3597726185</v>
      </c>
      <c r="G70">
        <v>3829060661</v>
      </c>
      <c r="H70">
        <v>3829414903</v>
      </c>
      <c r="I70">
        <v>3830097221</v>
      </c>
      <c r="J70">
        <v>3832491897</v>
      </c>
      <c r="K70">
        <v>3681348742</v>
      </c>
    </row>
    <row r="71" spans="1:11">
      <c r="A71" s="172" t="s">
        <v>290</v>
      </c>
    </row>
    <row r="72" spans="1:11">
      <c r="A72" s="172" t="s">
        <v>291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>
      <c r="A74" s="162"/>
    </row>
    <row r="75" spans="1:11">
      <c r="A75" s="162"/>
      <c r="F75" s="172">
        <f>J59-J69</f>
        <v>61457</v>
      </c>
    </row>
    <row r="76" spans="1:11">
      <c r="A76" s="162"/>
      <c r="H76" s="172">
        <f>(J59/J65)*100</f>
        <v>56.583688089171638</v>
      </c>
    </row>
    <row r="77" spans="1:11">
      <c r="A77" s="162"/>
    </row>
    <row r="78" spans="1:11">
      <c r="A78" s="162"/>
    </row>
    <row r="79" spans="1:11">
      <c r="A79" s="162"/>
    </row>
    <row r="80" spans="1:11">
      <c r="A80" s="161" t="s">
        <v>292</v>
      </c>
    </row>
    <row r="81" spans="1:11" s="176" customFormat="1">
      <c r="A81" s="175" t="s">
        <v>276</v>
      </c>
      <c r="B81" s="159">
        <v>42460</v>
      </c>
      <c r="C81" s="159">
        <v>42825</v>
      </c>
      <c r="D81" s="159">
        <v>43190</v>
      </c>
      <c r="E81" s="159">
        <v>43555</v>
      </c>
      <c r="F81" s="159">
        <v>43921</v>
      </c>
      <c r="G81" s="159">
        <v>44286</v>
      </c>
      <c r="H81" s="159">
        <v>44651</v>
      </c>
      <c r="I81" s="159">
        <v>45016</v>
      </c>
      <c r="J81" s="159">
        <v>45382</v>
      </c>
      <c r="K81" s="159">
        <v>45747</v>
      </c>
    </row>
    <row r="82" spans="1:11" s="161" customFormat="1">
      <c r="A82" s="162" t="s">
        <v>261</v>
      </c>
      <c r="B82">
        <v>37899.54</v>
      </c>
      <c r="C82">
        <v>30199.25</v>
      </c>
      <c r="D82">
        <v>23857.42</v>
      </c>
      <c r="E82">
        <v>18890.75</v>
      </c>
      <c r="F82">
        <v>26632.94</v>
      </c>
      <c r="G82">
        <v>29000.51</v>
      </c>
      <c r="H82">
        <v>14282.83</v>
      </c>
      <c r="I82">
        <v>35388.01</v>
      </c>
      <c r="J82">
        <v>67915</v>
      </c>
      <c r="K82">
        <v>63102</v>
      </c>
    </row>
    <row r="83" spans="1:11" s="162" customFormat="1">
      <c r="A83" s="162" t="s">
        <v>262</v>
      </c>
      <c r="B83">
        <v>-36693.9</v>
      </c>
      <c r="C83">
        <v>-39571.4</v>
      </c>
      <c r="D83">
        <v>-25139.14</v>
      </c>
      <c r="E83">
        <v>-20878.07</v>
      </c>
      <c r="F83">
        <v>-33114.550000000003</v>
      </c>
      <c r="G83">
        <v>-25672.5</v>
      </c>
      <c r="H83">
        <v>-4443.66</v>
      </c>
      <c r="I83">
        <v>-15417.17</v>
      </c>
      <c r="J83">
        <v>-22781</v>
      </c>
      <c r="K83">
        <v>-49982</v>
      </c>
    </row>
    <row r="84" spans="1:11" s="162" customFormat="1">
      <c r="A84" s="162" t="s">
        <v>263</v>
      </c>
      <c r="B84">
        <v>-3795.12</v>
      </c>
      <c r="C84">
        <v>6205.3</v>
      </c>
      <c r="D84">
        <v>2011.71</v>
      </c>
      <c r="E84">
        <v>8830.3700000000008</v>
      </c>
      <c r="F84">
        <v>3389.61</v>
      </c>
      <c r="G84">
        <v>9904.2000000000007</v>
      </c>
      <c r="H84">
        <v>-3380.17</v>
      </c>
      <c r="I84">
        <v>-26242.9</v>
      </c>
      <c r="J84">
        <v>-37006</v>
      </c>
      <c r="K84">
        <v>-18786</v>
      </c>
    </row>
    <row r="85" spans="1:11" s="161" customFormat="1">
      <c r="A85" s="162" t="s">
        <v>264</v>
      </c>
      <c r="B85">
        <v>-2589.48</v>
      </c>
      <c r="C85">
        <v>-3166.85</v>
      </c>
      <c r="D85">
        <v>729.99</v>
      </c>
      <c r="E85">
        <v>6843.05</v>
      </c>
      <c r="F85">
        <v>-3092</v>
      </c>
      <c r="G85">
        <v>13232.21</v>
      </c>
      <c r="H85">
        <v>6459</v>
      </c>
      <c r="I85">
        <v>-6272.06</v>
      </c>
      <c r="J85">
        <v>8128</v>
      </c>
      <c r="K85">
        <v>-5666</v>
      </c>
    </row>
    <row r="86" spans="1:11">
      <c r="A86" s="162"/>
    </row>
    <row r="87" spans="1:11">
      <c r="A87" s="162"/>
    </row>
    <row r="88" spans="1:11">
      <c r="A88" s="162"/>
    </row>
    <row r="89" spans="1:11">
      <c r="A89" s="162"/>
    </row>
    <row r="90" spans="1:11" s="161" customFormat="1">
      <c r="A90" s="161" t="s">
        <v>293</v>
      </c>
      <c r="B90">
        <v>386.6</v>
      </c>
      <c r="C90">
        <v>465.85</v>
      </c>
      <c r="D90">
        <v>326.85000000000002</v>
      </c>
      <c r="E90">
        <v>174.25</v>
      </c>
      <c r="F90">
        <v>71.05</v>
      </c>
      <c r="G90">
        <v>301.8</v>
      </c>
      <c r="H90">
        <v>433.75</v>
      </c>
      <c r="I90">
        <v>420.8</v>
      </c>
      <c r="J90">
        <v>992.8</v>
      </c>
      <c r="K90">
        <v>674.45</v>
      </c>
    </row>
    <row r="92" spans="1:11" s="161" customFormat="1">
      <c r="A92" s="161" t="s">
        <v>294</v>
      </c>
    </row>
    <row r="93" spans="1:11">
      <c r="A93" s="172" t="s">
        <v>295</v>
      </c>
      <c r="B93" s="177">
        <v>288.72000000000003</v>
      </c>
      <c r="C93" s="177">
        <v>288.73</v>
      </c>
      <c r="D93" s="177">
        <v>288.73</v>
      </c>
      <c r="E93" s="177">
        <v>288.73</v>
      </c>
      <c r="F93" s="177">
        <v>308.89999999999998</v>
      </c>
      <c r="G93" s="177">
        <v>332.03</v>
      </c>
      <c r="H93" s="177">
        <v>332.07</v>
      </c>
      <c r="I93" s="177">
        <v>332.13</v>
      </c>
      <c r="J93" s="177">
        <v>332.37</v>
      </c>
      <c r="K93" s="177">
        <v>368.13</v>
      </c>
    </row>
  </sheetData>
  <mergeCells count="2">
    <mergeCell ref="E1:K1"/>
    <mergeCell ref="E2:K2"/>
  </mergeCells>
  <conditionalFormatting sqref="E1:K1">
    <cfRule type="cellIs" dxfId="11" priority="1" operator="notEqual">
      <formula>""</formula>
    </cfRule>
  </conditionalFormatting>
  <hyperlinks>
    <hyperlink ref="E1:K1" r:id="rId1" display="https://www.screener.in/excel/" xr:uid="{F7B68B60-E55D-419F-9AC4-E58EC42037B4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2A84EA-BB4C-4534-A976-46E2EE10C8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14</vt:i4>
      </vt:variant>
    </vt:vector>
  </HeadingPairs>
  <TitlesOfParts>
    <vt:vector size="41" baseType="lpstr">
      <vt:lpstr>Summary</vt:lpstr>
      <vt:lpstr>sd</vt:lpstr>
      <vt:lpstr> DCF&gt;</vt:lpstr>
      <vt:lpstr>DCF-Segment</vt:lpstr>
      <vt:lpstr>DCF_Scenario&gt;&gt;</vt:lpstr>
      <vt:lpstr>DCF_Best</vt:lpstr>
      <vt:lpstr>DCF_Base</vt:lpstr>
      <vt:lpstr>DCF_Worst</vt:lpstr>
      <vt:lpstr>DCF_CAGR</vt:lpstr>
      <vt:lpstr> DCF_ LINEAR REGRESSION</vt:lpstr>
      <vt:lpstr>Revenue Forecast &gt;</vt:lpstr>
      <vt:lpstr>Segement</vt:lpstr>
      <vt:lpstr>Senario</vt:lpstr>
      <vt:lpstr>Linear regression</vt:lpstr>
      <vt:lpstr>CAGR </vt:lpstr>
      <vt:lpstr>Assumption&gt;</vt:lpstr>
      <vt:lpstr>WACC</vt:lpstr>
      <vt:lpstr> CapEx &amp; NWC Forecast</vt:lpstr>
      <vt:lpstr>Data&gt;</vt:lpstr>
      <vt:lpstr>IS</vt:lpstr>
      <vt:lpstr>BS</vt:lpstr>
      <vt:lpstr>CFS</vt:lpstr>
      <vt:lpstr>Profit &amp; Loss</vt:lpstr>
      <vt:lpstr>Quarters</vt:lpstr>
      <vt:lpstr>Balance Sheet</vt:lpstr>
      <vt:lpstr>Cash Flow</vt:lpstr>
      <vt:lpstr>Data Sheet</vt:lpstr>
      <vt:lpstr>CAGR_Sensitivity</vt:lpstr>
      <vt:lpstr>CAGR_Valuation</vt:lpstr>
      <vt:lpstr>LinearRegression_Sensitivity</vt:lpstr>
      <vt:lpstr>LinearRegression_Valuation</vt:lpstr>
      <vt:lpstr>ModelList</vt:lpstr>
      <vt:lpstr>ScenarioBase_Sensitivity</vt:lpstr>
      <vt:lpstr>ScenarioBase_Valuation</vt:lpstr>
      <vt:lpstr>ScenarioBest_Sensitivity</vt:lpstr>
      <vt:lpstr>ScenarioBest_Valuation</vt:lpstr>
      <vt:lpstr>ScenarioWorst_Sensitivity</vt:lpstr>
      <vt:lpstr>ScenarioWorst_Valuation</vt:lpstr>
      <vt:lpstr>Segment_Sensitivity</vt:lpstr>
      <vt:lpstr>Segment_Valuation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Singh</dc:creator>
  <cp:lastModifiedBy>Pratyush Singh</cp:lastModifiedBy>
  <dcterms:created xsi:type="dcterms:W3CDTF">2025-02-15T18:58:13Z</dcterms:created>
  <dcterms:modified xsi:type="dcterms:W3CDTF">2025-06-30T20:08:55Z</dcterms:modified>
</cp:coreProperties>
</file>