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lative Model\"/>
    </mc:Choice>
  </mc:AlternateContent>
  <xr:revisionPtr revIDLastSave="0" documentId="13_ncr:1_{E36D26C6-AC4D-497F-8181-B122EE1DAA62}" xr6:coauthVersionLast="47" xr6:coauthVersionMax="47" xr10:uidLastSave="{00000000-0000-0000-0000-000000000000}"/>
  <bookViews>
    <workbookView xWindow="-120" yWindow="-120" windowWidth="20730" windowHeight="11310" xr2:uid="{BE21E419-21A4-4BEB-85FB-14A6CD47A750}"/>
  </bookViews>
  <sheets>
    <sheet name="Summary" sheetId="36" r:id="rId1"/>
    <sheet name="Indian Comps" sheetId="4" r:id="rId2"/>
    <sheet name="Global Comps" sheetId="5" r:id="rId3"/>
    <sheet name="Data Base&gt;" sheetId="6" r:id="rId4"/>
    <sheet name="Indian Peers" sheetId="7" r:id="rId5"/>
    <sheet name="Global Peers" sheetId="8" r:id="rId6"/>
    <sheet name="Data&gt;" sheetId="9" r:id="rId7"/>
    <sheet name="Tata Motors (IS)" sheetId="11" r:id="rId8"/>
    <sheet name="Tata Motors (BS)" sheetId="12" r:id="rId9"/>
    <sheet name="Tata Motors (DS)" sheetId="13" r:id="rId10"/>
    <sheet name="MARUTI SUZUKI (IS)" sheetId="14" r:id="rId11"/>
    <sheet name="MARUTI SUZUKI (BS)" sheetId="15" r:id="rId12"/>
    <sheet name="MARUTI SUZUKI (DS)" sheetId="16" r:id="rId13"/>
    <sheet name="M &amp; M (IS) " sheetId="17" r:id="rId14"/>
    <sheet name="M &amp; M (BS)" sheetId="18" r:id="rId15"/>
    <sheet name="M &amp; M (DS)" sheetId="19" r:id="rId16"/>
    <sheet name="Force Motors (IS)" sheetId="20" r:id="rId17"/>
    <sheet name="Force Motors (BS)" sheetId="21" r:id="rId18"/>
    <sheet name="Force Motors (DS)" sheetId="22" r:id="rId19"/>
    <sheet name="Eicher Motors (IS)" sheetId="23" r:id="rId20"/>
    <sheet name=" Eicher Motors (BS)" sheetId="24" r:id="rId21"/>
    <sheet name="Eicher Motors (DS)" sheetId="25" r:id="rId22"/>
    <sheet name="Bajaj Auto (IS)" sheetId="26" r:id="rId23"/>
    <sheet name="Bajaj Auto (BS)" sheetId="27" r:id="rId24"/>
    <sheet name="Bajaj Auto (DS)" sheetId="28" r:id="rId25"/>
    <sheet name="Ashok Leyland (IS)" sheetId="29" r:id="rId26"/>
    <sheet name="Ashok Leyland (BS)" sheetId="30" r:id="rId27"/>
    <sheet name="Ashok Leyland (DS)" sheetId="31" r:id="rId28"/>
    <sheet name="Hyundai (IS)" sheetId="33" r:id="rId29"/>
    <sheet name="Hyundai (BS)" sheetId="34" r:id="rId30"/>
    <sheet name="Hyundai (DS)" sheetId="35" r:id="rId31"/>
  </sheets>
  <externalReferences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bdm.2ce96c87f19a450da146a0c4aa3f4f37.edm" hidden="1">#REF!</definedName>
    <definedName name="_bdm.fcdcb85f66d84a7aac098aaed3657232.edm" hidden="1">#REF!</definedName>
    <definedName name="_xlnm.Database">#REF!</definedName>
    <definedName name="UPDATE" localSheetId="20">'[1]Data Sheet'!$E$1</definedName>
    <definedName name="UPDATE" localSheetId="26">'[2]Data Sheet'!$E$1</definedName>
    <definedName name="UPDATE" localSheetId="27">'Ashok Leyland (DS)'!$E$1</definedName>
    <definedName name="UPDATE" localSheetId="25">'[2]Data Sheet'!$E$1</definedName>
    <definedName name="UPDATE" localSheetId="23">'[3]Data Sheet'!$E$1</definedName>
    <definedName name="UPDATE" localSheetId="24">'Bajaj Auto (DS)'!$E$1</definedName>
    <definedName name="UPDATE" localSheetId="22">'[3]Data Sheet'!$E$1</definedName>
    <definedName name="UPDATE" localSheetId="21">'Eicher Motors (DS)'!$E$1</definedName>
    <definedName name="UPDATE" localSheetId="19">'[1]Data Sheet'!$E$1</definedName>
    <definedName name="UPDATE" localSheetId="17">'[4]Data Sheet'!$E$1</definedName>
    <definedName name="UPDATE" localSheetId="18">'Force Motors (DS)'!$E$1</definedName>
    <definedName name="UPDATE" localSheetId="16">'[4]Data Sheet'!$E$1</definedName>
    <definedName name="UPDATE" localSheetId="29">'Hyundai (DS)'!$E$1</definedName>
    <definedName name="UPDATE" localSheetId="30">'Hyundai (DS)'!$E$1</definedName>
    <definedName name="UPDATE" localSheetId="28">'Hyundai (DS)'!$E$1</definedName>
    <definedName name="UPDATE" localSheetId="14">'[5]Data Sheet'!$E$1</definedName>
    <definedName name="UPDATE" localSheetId="15">'M &amp; M (DS)'!$E$1</definedName>
    <definedName name="UPDATE" localSheetId="13">'[5]Data Sheet'!$E$1</definedName>
    <definedName name="UPDATE" localSheetId="8">'Tata Motors (DS)'!$E$1</definedName>
    <definedName name="UPDATE" localSheetId="9">'Tata Motors (DS)'!$E$1</definedName>
    <definedName name="UPDATE" localSheetId="7">'Tata Motors (DS)'!$E$1</definedName>
    <definedName name="UPDATE">'MARUTI SUZUKI (DS)'!$E$1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36" l="1"/>
  <c r="E27" i="36"/>
  <c r="I17" i="36"/>
  <c r="C17" i="36"/>
  <c r="B10" i="7"/>
  <c r="B12" i="7"/>
  <c r="B11" i="7"/>
  <c r="B9" i="7"/>
  <c r="B7" i="7"/>
  <c r="B8" i="7"/>
  <c r="C14" i="4"/>
  <c r="C17" i="4"/>
  <c r="G11" i="7"/>
  <c r="G17" i="4" s="1"/>
  <c r="G10" i="7"/>
  <c r="F10" i="7" s="1"/>
  <c r="E1" i="35"/>
  <c r="B6" i="35"/>
  <c r="E11" i="7" s="1"/>
  <c r="E17" i="4" s="1"/>
  <c r="B93" i="35"/>
  <c r="C93" i="35"/>
  <c r="C13" i="33" s="1"/>
  <c r="D93" i="35"/>
  <c r="E93" i="35"/>
  <c r="F93" i="35"/>
  <c r="G93" i="35"/>
  <c r="H93" i="35"/>
  <c r="I93" i="35"/>
  <c r="J93" i="35"/>
  <c r="K18" i="34"/>
  <c r="J18" i="34"/>
  <c r="J21" i="34" s="1"/>
  <c r="I18" i="34"/>
  <c r="I21" i="34" s="1"/>
  <c r="H18" i="34"/>
  <c r="G18" i="34"/>
  <c r="F18" i="34"/>
  <c r="F21" i="34" s="1"/>
  <c r="E18" i="34"/>
  <c r="E21" i="34" s="1"/>
  <c r="D18" i="34"/>
  <c r="D21" i="34" s="1"/>
  <c r="C18" i="34"/>
  <c r="C21" i="34" s="1"/>
  <c r="B18" i="34"/>
  <c r="B21" i="34" s="1"/>
  <c r="K17" i="34"/>
  <c r="J17" i="34"/>
  <c r="I17" i="34"/>
  <c r="I20" i="34" s="1"/>
  <c r="H17" i="34"/>
  <c r="G17" i="34"/>
  <c r="F17" i="34"/>
  <c r="E17" i="34"/>
  <c r="E20" i="34" s="1"/>
  <c r="D17" i="34"/>
  <c r="C17" i="34"/>
  <c r="B17" i="34"/>
  <c r="K14" i="34"/>
  <c r="J14" i="34"/>
  <c r="I14" i="34"/>
  <c r="H14" i="34"/>
  <c r="G14" i="34"/>
  <c r="F14" i="34"/>
  <c r="E14" i="34"/>
  <c r="D14" i="34"/>
  <c r="C14" i="34"/>
  <c r="B14" i="34"/>
  <c r="K13" i="34"/>
  <c r="J13" i="34"/>
  <c r="I13" i="34"/>
  <c r="H13" i="34"/>
  <c r="G13" i="34"/>
  <c r="F13" i="34"/>
  <c r="E13" i="34"/>
  <c r="D13" i="34"/>
  <c r="C13" i="34"/>
  <c r="B13" i="34"/>
  <c r="K12" i="34"/>
  <c r="J12" i="34"/>
  <c r="I12" i="34"/>
  <c r="H12" i="34"/>
  <c r="G12" i="34"/>
  <c r="F12" i="34"/>
  <c r="E12" i="34"/>
  <c r="D12" i="34"/>
  <c r="C12" i="34"/>
  <c r="B12" i="34"/>
  <c r="K11" i="34"/>
  <c r="J11" i="34"/>
  <c r="I11" i="34"/>
  <c r="H11" i="34"/>
  <c r="G11" i="34"/>
  <c r="F11" i="34"/>
  <c r="E11" i="34"/>
  <c r="D11" i="34"/>
  <c r="C11" i="34"/>
  <c r="B11" i="34"/>
  <c r="K10" i="34"/>
  <c r="J10" i="34"/>
  <c r="I10" i="34"/>
  <c r="H10" i="34"/>
  <c r="G10" i="34"/>
  <c r="F10" i="34"/>
  <c r="E10" i="34"/>
  <c r="D10" i="34"/>
  <c r="C10" i="34"/>
  <c r="B10" i="34"/>
  <c r="K8" i="34"/>
  <c r="J8" i="34"/>
  <c r="I8" i="34"/>
  <c r="H8" i="34"/>
  <c r="G8" i="34"/>
  <c r="F8" i="34"/>
  <c r="E8" i="34"/>
  <c r="D8" i="34"/>
  <c r="C8" i="34"/>
  <c r="B8" i="34"/>
  <c r="K7" i="34"/>
  <c r="J7" i="34"/>
  <c r="I7" i="34"/>
  <c r="H7" i="34"/>
  <c r="G7" i="34"/>
  <c r="F7" i="34"/>
  <c r="E7" i="34"/>
  <c r="D7" i="34"/>
  <c r="C7" i="34"/>
  <c r="B7" i="34"/>
  <c r="K6" i="34"/>
  <c r="J6" i="34"/>
  <c r="I6" i="34"/>
  <c r="H6" i="34"/>
  <c r="G6" i="34"/>
  <c r="F6" i="34"/>
  <c r="E6" i="34"/>
  <c r="D6" i="34"/>
  <c r="C6" i="34"/>
  <c r="B6" i="34"/>
  <c r="K5" i="34"/>
  <c r="J5" i="34"/>
  <c r="I5" i="34"/>
  <c r="I23" i="34" s="1"/>
  <c r="H5" i="34"/>
  <c r="G5" i="34"/>
  <c r="F5" i="34"/>
  <c r="E5" i="34"/>
  <c r="E23" i="34" s="1"/>
  <c r="D5" i="34"/>
  <c r="C5" i="34"/>
  <c r="B5" i="34"/>
  <c r="K4" i="34"/>
  <c r="K23" i="34" s="1"/>
  <c r="J4" i="34"/>
  <c r="I4" i="34"/>
  <c r="H4" i="34"/>
  <c r="G4" i="34"/>
  <c r="G23" i="34" s="1"/>
  <c r="F4" i="34"/>
  <c r="E4" i="34"/>
  <c r="D4" i="34"/>
  <c r="C4" i="34"/>
  <c r="C23" i="34" s="1"/>
  <c r="B4" i="34"/>
  <c r="K3" i="34"/>
  <c r="J3" i="34"/>
  <c r="I3" i="34"/>
  <c r="H3" i="34"/>
  <c r="G3" i="34"/>
  <c r="F3" i="34"/>
  <c r="E3" i="34"/>
  <c r="D3" i="34"/>
  <c r="C3" i="34"/>
  <c r="B3" i="34"/>
  <c r="E1" i="34"/>
  <c r="K18" i="33"/>
  <c r="J18" i="33"/>
  <c r="I18" i="33"/>
  <c r="H18" i="33"/>
  <c r="G18" i="33"/>
  <c r="F18" i="33"/>
  <c r="E18" i="33"/>
  <c r="D18" i="33"/>
  <c r="C18" i="33"/>
  <c r="B18" i="33"/>
  <c r="L15" i="33"/>
  <c r="K15" i="33"/>
  <c r="J15" i="33"/>
  <c r="I15" i="33"/>
  <c r="I14" i="33" s="1"/>
  <c r="H15" i="33"/>
  <c r="G15" i="33"/>
  <c r="F15" i="33"/>
  <c r="E15" i="33"/>
  <c r="E14" i="33" s="1"/>
  <c r="D15" i="33"/>
  <c r="D14" i="33" s="1"/>
  <c r="C15" i="33"/>
  <c r="C14" i="33" s="1"/>
  <c r="B15" i="33"/>
  <c r="B14" i="33" s="1"/>
  <c r="J14" i="33"/>
  <c r="H14" i="33"/>
  <c r="G14" i="33"/>
  <c r="F14" i="33"/>
  <c r="D13" i="33"/>
  <c r="B13" i="33"/>
  <c r="K12" i="33"/>
  <c r="K13" i="33" s="1"/>
  <c r="J12" i="33"/>
  <c r="N11" i="7" s="1"/>
  <c r="N17" i="4" s="1"/>
  <c r="I12" i="33"/>
  <c r="I13" i="33" s="1"/>
  <c r="H12" i="33"/>
  <c r="H13" i="33" s="1"/>
  <c r="G12" i="33"/>
  <c r="G13" i="33" s="1"/>
  <c r="F12" i="33"/>
  <c r="E12" i="33"/>
  <c r="E13" i="33" s="1"/>
  <c r="D12" i="33"/>
  <c r="C12" i="33"/>
  <c r="B12" i="33"/>
  <c r="L11" i="33"/>
  <c r="K11" i="33"/>
  <c r="J11" i="33"/>
  <c r="I11" i="33"/>
  <c r="H11" i="33"/>
  <c r="G11" i="33"/>
  <c r="F11" i="33"/>
  <c r="E11" i="33"/>
  <c r="D11" i="33"/>
  <c r="C11" i="33"/>
  <c r="B11" i="33"/>
  <c r="K10" i="33"/>
  <c r="J10" i="33"/>
  <c r="I10" i="33"/>
  <c r="H10" i="33"/>
  <c r="G10" i="33"/>
  <c r="F10" i="33"/>
  <c r="E10" i="33"/>
  <c r="D10" i="33"/>
  <c r="C10" i="33"/>
  <c r="B10" i="33"/>
  <c r="K9" i="33"/>
  <c r="J9" i="33"/>
  <c r="I9" i="33"/>
  <c r="H9" i="33"/>
  <c r="G9" i="33"/>
  <c r="F9" i="33"/>
  <c r="E9" i="33"/>
  <c r="D9" i="33"/>
  <c r="C9" i="33"/>
  <c r="B9" i="33"/>
  <c r="K8" i="33"/>
  <c r="J8" i="33"/>
  <c r="I8" i="33"/>
  <c r="H8" i="33"/>
  <c r="G8" i="33"/>
  <c r="F8" i="33"/>
  <c r="E8" i="33"/>
  <c r="D8" i="33"/>
  <c r="C8" i="33"/>
  <c r="B8" i="33"/>
  <c r="L7" i="33"/>
  <c r="K7" i="33"/>
  <c r="J7" i="33"/>
  <c r="I7" i="33"/>
  <c r="H7" i="33"/>
  <c r="G7" i="33"/>
  <c r="F7" i="33"/>
  <c r="E7" i="33"/>
  <c r="D7" i="33"/>
  <c r="C7" i="33"/>
  <c r="B7" i="33"/>
  <c r="K5" i="33"/>
  <c r="J5" i="33"/>
  <c r="I5" i="33"/>
  <c r="H5" i="33"/>
  <c r="G5" i="33"/>
  <c r="F5" i="33"/>
  <c r="E5" i="33"/>
  <c r="D5" i="33"/>
  <c r="C5" i="33"/>
  <c r="B5" i="33"/>
  <c r="K4" i="33"/>
  <c r="K11" i="7" s="1"/>
  <c r="K17" i="4" s="1"/>
  <c r="J4" i="33"/>
  <c r="J11" i="7" s="1"/>
  <c r="J17" i="4" s="1"/>
  <c r="I4" i="33"/>
  <c r="I11" i="7" s="1"/>
  <c r="I17" i="4" s="1"/>
  <c r="H4" i="33"/>
  <c r="G4" i="33"/>
  <c r="F4" i="33"/>
  <c r="E4" i="33"/>
  <c r="D4" i="33"/>
  <c r="I23" i="33" s="1"/>
  <c r="C4" i="33"/>
  <c r="B4" i="33"/>
  <c r="H23" i="33" s="1"/>
  <c r="K3" i="33"/>
  <c r="J3" i="33"/>
  <c r="I3" i="33"/>
  <c r="H3" i="33"/>
  <c r="G3" i="33"/>
  <c r="F3" i="33"/>
  <c r="E3" i="33"/>
  <c r="D3" i="33"/>
  <c r="C3" i="33"/>
  <c r="B3" i="33"/>
  <c r="A1" i="33"/>
  <c r="L5" i="33"/>
  <c r="L8" i="33"/>
  <c r="M8" i="33" s="1"/>
  <c r="L9" i="33"/>
  <c r="N9" i="33" s="1"/>
  <c r="L10" i="33"/>
  <c r="C20" i="34"/>
  <c r="H6" i="33" l="1"/>
  <c r="H19" i="33" s="1"/>
  <c r="F11" i="7"/>
  <c r="F17" i="4" s="1"/>
  <c r="Y17" i="4" s="1"/>
  <c r="Q17" i="4"/>
  <c r="AB17" i="4"/>
  <c r="U17" i="4"/>
  <c r="X17" i="4"/>
  <c r="R17" i="4"/>
  <c r="C16" i="34"/>
  <c r="G16" i="34"/>
  <c r="K16" i="34"/>
  <c r="D23" i="34"/>
  <c r="H23" i="34"/>
  <c r="B23" i="34"/>
  <c r="D16" i="34"/>
  <c r="H16" i="34"/>
  <c r="D6" i="33"/>
  <c r="D19" i="33" s="1"/>
  <c r="K14" i="33"/>
  <c r="O11" i="7"/>
  <c r="O17" i="4" s="1"/>
  <c r="V17" i="4" s="1"/>
  <c r="N11" i="33"/>
  <c r="M11" i="33"/>
  <c r="D20" i="34"/>
  <c r="L12" i="33"/>
  <c r="L13" i="33" s="1"/>
  <c r="L14" i="33" s="1"/>
  <c r="L25" i="33" s="1"/>
  <c r="L6" i="33"/>
  <c r="L19" i="33" s="1"/>
  <c r="L24" i="33" s="1"/>
  <c r="F6" i="33"/>
  <c r="F19" i="33" s="1"/>
  <c r="F23" i="34"/>
  <c r="J23" i="34"/>
  <c r="H20" i="34"/>
  <c r="H1" i="33"/>
  <c r="C6" i="33"/>
  <c r="C19" i="33" s="1"/>
  <c r="G6" i="33"/>
  <c r="G19" i="33" s="1"/>
  <c r="K6" i="33"/>
  <c r="F24" i="34"/>
  <c r="J24" i="34"/>
  <c r="E16" i="34"/>
  <c r="I16" i="34"/>
  <c r="G21" i="34"/>
  <c r="K21" i="34"/>
  <c r="K23" i="33"/>
  <c r="L4" i="33"/>
  <c r="L23" i="33" s="1"/>
  <c r="E6" i="33"/>
  <c r="E19" i="33" s="1"/>
  <c r="I6" i="33"/>
  <c r="I19" i="33" s="1"/>
  <c r="F13" i="33"/>
  <c r="J13" i="33"/>
  <c r="A1" i="34"/>
  <c r="C24" i="34"/>
  <c r="G24" i="34"/>
  <c r="K24" i="34"/>
  <c r="B16" i="34"/>
  <c r="F16" i="34"/>
  <c r="J16" i="34"/>
  <c r="F20" i="34"/>
  <c r="J20" i="34"/>
  <c r="H21" i="34"/>
  <c r="B20" i="34"/>
  <c r="G20" i="34"/>
  <c r="K20" i="34"/>
  <c r="D24" i="34"/>
  <c r="H24" i="34"/>
  <c r="E24" i="34"/>
  <c r="I24" i="34"/>
  <c r="K25" i="33"/>
  <c r="M25" i="33" s="1"/>
  <c r="M14" i="33" s="1"/>
  <c r="J23" i="33"/>
  <c r="B6" i="33"/>
  <c r="B19" i="33" s="1"/>
  <c r="J6" i="33"/>
  <c r="N8" i="33"/>
  <c r="M9" i="33"/>
  <c r="M23" i="33" l="1"/>
  <c r="M4" i="33" s="1"/>
  <c r="J19" i="33"/>
  <c r="I24" i="33" s="1"/>
  <c r="L11" i="7"/>
  <c r="L17" i="4" s="1"/>
  <c r="K19" i="33"/>
  <c r="M11" i="7"/>
  <c r="M17" i="4" s="1"/>
  <c r="AC17" i="4"/>
  <c r="I25" i="33"/>
  <c r="J25" i="33"/>
  <c r="H25" i="33"/>
  <c r="N23" i="33"/>
  <c r="N4" i="33" s="1"/>
  <c r="H24" i="33"/>
  <c r="S17" i="4" l="1"/>
  <c r="Z17" i="4"/>
  <c r="N25" i="33"/>
  <c r="N14" i="33" s="1"/>
  <c r="K24" i="33"/>
  <c r="M24" i="33" s="1"/>
  <c r="M6" i="33" s="1"/>
  <c r="M10" i="33" s="1"/>
  <c r="M12" i="33" s="1"/>
  <c r="M13" i="33" s="1"/>
  <c r="M15" i="33" s="1"/>
  <c r="J24" i="33"/>
  <c r="T17" i="4"/>
  <c r="AA17" i="4"/>
  <c r="B14" i="5"/>
  <c r="B15" i="5"/>
  <c r="B16" i="5"/>
  <c r="B17" i="5"/>
  <c r="B18" i="5"/>
  <c r="B13" i="5"/>
  <c r="B11" i="5"/>
  <c r="B11" i="4" s="1"/>
  <c r="B6" i="7" s="1"/>
  <c r="J13" i="5"/>
  <c r="K13" i="5"/>
  <c r="R13" i="5" s="1"/>
  <c r="L13" i="5"/>
  <c r="M13" i="5"/>
  <c r="N13" i="5"/>
  <c r="U13" i="5" s="1"/>
  <c r="O13" i="5"/>
  <c r="V13" i="5" s="1"/>
  <c r="J14" i="5"/>
  <c r="K14" i="5"/>
  <c r="R14" i="5" s="1"/>
  <c r="L14" i="5"/>
  <c r="M14" i="5"/>
  <c r="T14" i="5" s="1"/>
  <c r="N14" i="5"/>
  <c r="U14" i="5" s="1"/>
  <c r="O14" i="5"/>
  <c r="V14" i="5" s="1"/>
  <c r="J15" i="5"/>
  <c r="K15" i="5"/>
  <c r="R15" i="5" s="1"/>
  <c r="L15" i="5"/>
  <c r="M15" i="5"/>
  <c r="N15" i="5"/>
  <c r="U15" i="5" s="1"/>
  <c r="O15" i="5"/>
  <c r="V15" i="5" s="1"/>
  <c r="J16" i="5"/>
  <c r="K16" i="5"/>
  <c r="R16" i="5" s="1"/>
  <c r="L16" i="5"/>
  <c r="M16" i="5"/>
  <c r="T16" i="5" s="1"/>
  <c r="N16" i="5"/>
  <c r="U16" i="5" s="1"/>
  <c r="O16" i="5"/>
  <c r="V16" i="5" s="1"/>
  <c r="J17" i="5"/>
  <c r="K17" i="5"/>
  <c r="R17" i="5" s="1"/>
  <c r="L17" i="5"/>
  <c r="M17" i="5"/>
  <c r="N17" i="5"/>
  <c r="U17" i="5" s="1"/>
  <c r="O17" i="5"/>
  <c r="V17" i="5" s="1"/>
  <c r="J18" i="5"/>
  <c r="K18" i="5"/>
  <c r="R18" i="5" s="1"/>
  <c r="L18" i="5"/>
  <c r="M18" i="5"/>
  <c r="T18" i="5" s="1"/>
  <c r="N18" i="5"/>
  <c r="U18" i="5" s="1"/>
  <c r="O18" i="5"/>
  <c r="V18" i="5" s="1"/>
  <c r="I14" i="5"/>
  <c r="I15" i="5"/>
  <c r="Q15" i="5" s="1"/>
  <c r="I16" i="5"/>
  <c r="I17" i="5"/>
  <c r="Q17" i="5" s="1"/>
  <c r="I18" i="5"/>
  <c r="I13" i="5"/>
  <c r="Q13" i="5" s="1"/>
  <c r="E18" i="5"/>
  <c r="F18" i="5"/>
  <c r="X18" i="5" s="1"/>
  <c r="G18" i="5"/>
  <c r="E17" i="5"/>
  <c r="F17" i="5"/>
  <c r="X17" i="5" s="1"/>
  <c r="G17" i="5"/>
  <c r="AB17" i="5" s="1"/>
  <c r="E16" i="5"/>
  <c r="F16" i="5"/>
  <c r="X16" i="5" s="1"/>
  <c r="G16" i="5"/>
  <c r="AC16" i="5" s="1"/>
  <c r="E15" i="5"/>
  <c r="F15" i="5"/>
  <c r="X15" i="5" s="1"/>
  <c r="G15" i="5"/>
  <c r="AB15" i="5" s="1"/>
  <c r="E14" i="5"/>
  <c r="F14" i="5"/>
  <c r="X14" i="5" s="1"/>
  <c r="G14" i="5"/>
  <c r="AC14" i="5" s="1"/>
  <c r="D15" i="5"/>
  <c r="D16" i="5"/>
  <c r="D17" i="5"/>
  <c r="D18" i="5"/>
  <c r="D14" i="5"/>
  <c r="E13" i="5"/>
  <c r="F13" i="5"/>
  <c r="G13" i="5"/>
  <c r="D13" i="5"/>
  <c r="Q18" i="5" l="1"/>
  <c r="S17" i="5"/>
  <c r="N24" i="33"/>
  <c r="N6" i="33" s="1"/>
  <c r="N5" i="33" s="1"/>
  <c r="U21" i="5"/>
  <c r="AC13" i="5"/>
  <c r="AC18" i="5"/>
  <c r="S18" i="5"/>
  <c r="S16" i="5"/>
  <c r="S14" i="5"/>
  <c r="AB18" i="5"/>
  <c r="M5" i="33"/>
  <c r="Y13" i="5"/>
  <c r="AA17" i="5"/>
  <c r="AA15" i="5"/>
  <c r="T13" i="5"/>
  <c r="AB16" i="5"/>
  <c r="Q16" i="5"/>
  <c r="Q21" i="5" s="1"/>
  <c r="S15" i="5"/>
  <c r="Q14" i="5"/>
  <c r="S13" i="5"/>
  <c r="AA16" i="5"/>
  <c r="AB14" i="5"/>
  <c r="V21" i="5"/>
  <c r="V20" i="5"/>
  <c r="R21" i="5"/>
  <c r="R20" i="5"/>
  <c r="T17" i="5"/>
  <c r="X13" i="5"/>
  <c r="AA13" i="5"/>
  <c r="Z18" i="5"/>
  <c r="Z17" i="5"/>
  <c r="Z16" i="5"/>
  <c r="Z15" i="5"/>
  <c r="Z14" i="5"/>
  <c r="AB13" i="5"/>
  <c r="AC17" i="5"/>
  <c r="AC15" i="5"/>
  <c r="AA14" i="5"/>
  <c r="T15" i="5"/>
  <c r="T20" i="5" s="1"/>
  <c r="Z13" i="5"/>
  <c r="Y18" i="5"/>
  <c r="Y17" i="5"/>
  <c r="Y16" i="5"/>
  <c r="Y15" i="5"/>
  <c r="Y14" i="5"/>
  <c r="U20" i="5"/>
  <c r="AA18" i="5"/>
  <c r="G18" i="4"/>
  <c r="C13" i="5"/>
  <c r="C14" i="5"/>
  <c r="C15" i="5"/>
  <c r="C16" i="5"/>
  <c r="C17" i="5"/>
  <c r="C18" i="5"/>
  <c r="V9" i="5"/>
  <c r="U9" i="5"/>
  <c r="O9" i="5"/>
  <c r="N9" i="5"/>
  <c r="S21" i="5" l="1"/>
  <c r="F26" i="5"/>
  <c r="N10" i="33"/>
  <c r="N12" i="33" s="1"/>
  <c r="N13" i="33" s="1"/>
  <c r="N15" i="33" s="1"/>
  <c r="D29" i="5"/>
  <c r="F29" i="5"/>
  <c r="S20" i="5"/>
  <c r="Y20" i="5"/>
  <c r="D27" i="5" s="1"/>
  <c r="P7" i="36" s="1"/>
  <c r="AC21" i="5"/>
  <c r="F28" i="5" s="1"/>
  <c r="E29" i="5"/>
  <c r="Q20" i="5"/>
  <c r="Y21" i="5"/>
  <c r="D28" i="5" s="1"/>
  <c r="AC20" i="5"/>
  <c r="F27" i="5" s="1"/>
  <c r="P9" i="36" s="1"/>
  <c r="T21" i="5"/>
  <c r="E26" i="5"/>
  <c r="AA21" i="5"/>
  <c r="E28" i="5" s="1"/>
  <c r="AA20" i="5"/>
  <c r="E27" i="5" s="1"/>
  <c r="P8" i="36" s="1"/>
  <c r="E25" i="36" s="1"/>
  <c r="D26" i="5"/>
  <c r="AB20" i="5"/>
  <c r="AB21" i="5"/>
  <c r="Z21" i="5"/>
  <c r="Z20" i="5"/>
  <c r="X20" i="5"/>
  <c r="X21" i="5"/>
  <c r="C11" i="4"/>
  <c r="C11" i="5" s="1"/>
  <c r="D11" i="4"/>
  <c r="D11" i="5" s="1"/>
  <c r="E11" i="4"/>
  <c r="E11" i="5" s="1"/>
  <c r="F11" i="4"/>
  <c r="G11" i="4"/>
  <c r="I11" i="4"/>
  <c r="I11" i="5" s="1"/>
  <c r="G6" i="8"/>
  <c r="F6" i="8" s="1"/>
  <c r="O5" i="8"/>
  <c r="N5" i="8"/>
  <c r="C3" i="8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A7" i="8"/>
  <c r="A8" i="8" s="1"/>
  <c r="A9" i="8" s="1"/>
  <c r="A10" i="8" s="1"/>
  <c r="A11" i="8" s="1"/>
  <c r="A12" i="8" s="1"/>
  <c r="E1" i="31"/>
  <c r="B6" i="31"/>
  <c r="A1" i="30"/>
  <c r="E1" i="30"/>
  <c r="B3" i="30"/>
  <c r="C3" i="30"/>
  <c r="D3" i="30"/>
  <c r="E3" i="30"/>
  <c r="F3" i="30"/>
  <c r="G3" i="30"/>
  <c r="H3" i="30"/>
  <c r="I3" i="30"/>
  <c r="J3" i="30"/>
  <c r="K3" i="30"/>
  <c r="B4" i="30"/>
  <c r="C4" i="30"/>
  <c r="D4" i="30"/>
  <c r="E4" i="30"/>
  <c r="F4" i="30"/>
  <c r="G4" i="30"/>
  <c r="H4" i="30"/>
  <c r="I4" i="30"/>
  <c r="J4" i="30"/>
  <c r="K4" i="30"/>
  <c r="B5" i="30"/>
  <c r="C5" i="30"/>
  <c r="D5" i="30"/>
  <c r="E5" i="30"/>
  <c r="F5" i="30"/>
  <c r="G5" i="30"/>
  <c r="H5" i="30"/>
  <c r="I5" i="30"/>
  <c r="J5" i="30"/>
  <c r="K5" i="30"/>
  <c r="B6" i="30"/>
  <c r="C6" i="30"/>
  <c r="D6" i="30"/>
  <c r="E6" i="30"/>
  <c r="F6" i="30"/>
  <c r="G6" i="30"/>
  <c r="H6" i="30"/>
  <c r="I6" i="30"/>
  <c r="J6" i="30"/>
  <c r="K6" i="30"/>
  <c r="B7" i="30"/>
  <c r="C7" i="30"/>
  <c r="D7" i="30"/>
  <c r="E7" i="30"/>
  <c r="F7" i="30"/>
  <c r="G7" i="30"/>
  <c r="H7" i="30"/>
  <c r="I7" i="30"/>
  <c r="J7" i="30"/>
  <c r="K7" i="30"/>
  <c r="B8" i="30"/>
  <c r="C8" i="30"/>
  <c r="D8" i="30"/>
  <c r="E8" i="30"/>
  <c r="F8" i="30"/>
  <c r="G8" i="30"/>
  <c r="H8" i="30"/>
  <c r="I8" i="30"/>
  <c r="J8" i="30"/>
  <c r="K8" i="30"/>
  <c r="B10" i="30"/>
  <c r="C10" i="30"/>
  <c r="D10" i="30"/>
  <c r="E10" i="30"/>
  <c r="F10" i="30"/>
  <c r="G10" i="30"/>
  <c r="H10" i="30"/>
  <c r="I10" i="30"/>
  <c r="J10" i="30"/>
  <c r="K10" i="30"/>
  <c r="B11" i="30"/>
  <c r="C11" i="30"/>
  <c r="D11" i="30"/>
  <c r="E11" i="30"/>
  <c r="F11" i="30"/>
  <c r="G11" i="30"/>
  <c r="H11" i="30"/>
  <c r="I11" i="30"/>
  <c r="J11" i="30"/>
  <c r="K11" i="30"/>
  <c r="B12" i="30"/>
  <c r="C12" i="30"/>
  <c r="D12" i="30"/>
  <c r="E12" i="30"/>
  <c r="F12" i="30"/>
  <c r="G12" i="30"/>
  <c r="H12" i="30"/>
  <c r="I12" i="30"/>
  <c r="J12" i="30"/>
  <c r="K12" i="30"/>
  <c r="B13" i="30"/>
  <c r="C13" i="30"/>
  <c r="D13" i="30"/>
  <c r="E13" i="30"/>
  <c r="F13" i="30"/>
  <c r="G13" i="30"/>
  <c r="H13" i="30"/>
  <c r="I13" i="30"/>
  <c r="J13" i="30"/>
  <c r="K13" i="30"/>
  <c r="B14" i="30"/>
  <c r="C14" i="30"/>
  <c r="D14" i="30"/>
  <c r="E14" i="30"/>
  <c r="F14" i="30"/>
  <c r="G14" i="30"/>
  <c r="H14" i="30"/>
  <c r="I14" i="30"/>
  <c r="J14" i="30"/>
  <c r="K14" i="30"/>
  <c r="B17" i="30"/>
  <c r="C17" i="30"/>
  <c r="D17" i="30"/>
  <c r="E17" i="30"/>
  <c r="F17" i="30"/>
  <c r="G17" i="30"/>
  <c r="H17" i="30"/>
  <c r="I17" i="30"/>
  <c r="J17" i="30"/>
  <c r="K17" i="30"/>
  <c r="B18" i="30"/>
  <c r="C18" i="30"/>
  <c r="D18" i="30"/>
  <c r="E18" i="30"/>
  <c r="F18" i="30"/>
  <c r="G18" i="30"/>
  <c r="H18" i="30"/>
  <c r="I18" i="30"/>
  <c r="J18" i="30"/>
  <c r="K18" i="30"/>
  <c r="B20" i="30"/>
  <c r="C20" i="30"/>
  <c r="D20" i="30"/>
  <c r="E20" i="30"/>
  <c r="F20" i="30"/>
  <c r="G20" i="30"/>
  <c r="H20" i="30"/>
  <c r="I20" i="30"/>
  <c r="J20" i="30"/>
  <c r="K20" i="30"/>
  <c r="B21" i="30"/>
  <c r="C21" i="30"/>
  <c r="D21" i="30"/>
  <c r="E21" i="30"/>
  <c r="F21" i="30"/>
  <c r="G21" i="30"/>
  <c r="H21" i="30"/>
  <c r="I21" i="30"/>
  <c r="J21" i="30"/>
  <c r="K21" i="30"/>
  <c r="A1" i="29"/>
  <c r="H1" i="29"/>
  <c r="B3" i="29"/>
  <c r="C3" i="29"/>
  <c r="D3" i="29"/>
  <c r="E3" i="29"/>
  <c r="F3" i="29"/>
  <c r="G3" i="29"/>
  <c r="H3" i="29"/>
  <c r="I3" i="29"/>
  <c r="J3" i="29"/>
  <c r="K3" i="29"/>
  <c r="B4" i="29"/>
  <c r="C4" i="29"/>
  <c r="D4" i="29"/>
  <c r="E4" i="29"/>
  <c r="F4" i="29"/>
  <c r="G4" i="29"/>
  <c r="H4" i="29"/>
  <c r="I4" i="29"/>
  <c r="J4" i="29"/>
  <c r="J12" i="7" s="1"/>
  <c r="K4" i="29"/>
  <c r="L4" i="29"/>
  <c r="B5" i="29"/>
  <c r="C5" i="29"/>
  <c r="D5" i="29"/>
  <c r="E5" i="29"/>
  <c r="F5" i="29"/>
  <c r="G5" i="29"/>
  <c r="H5" i="29"/>
  <c r="I5" i="29"/>
  <c r="J5" i="29"/>
  <c r="K5" i="29"/>
  <c r="L5" i="29"/>
  <c r="L6" i="29"/>
  <c r="L19" i="29" s="1"/>
  <c r="L24" i="29" s="1"/>
  <c r="B7" i="29"/>
  <c r="C7" i="29"/>
  <c r="D7" i="29"/>
  <c r="E7" i="29"/>
  <c r="F7" i="29"/>
  <c r="G7" i="29"/>
  <c r="H7" i="29"/>
  <c r="I7" i="29"/>
  <c r="J7" i="29"/>
  <c r="K7" i="29"/>
  <c r="L7" i="29"/>
  <c r="B8" i="29"/>
  <c r="C8" i="29"/>
  <c r="D8" i="29"/>
  <c r="E8" i="29"/>
  <c r="F8" i="29"/>
  <c r="G8" i="29"/>
  <c r="H8" i="29"/>
  <c r="I8" i="29"/>
  <c r="J8" i="29"/>
  <c r="K8" i="29"/>
  <c r="L8" i="29"/>
  <c r="N8" i="29" s="1"/>
  <c r="B9" i="29"/>
  <c r="C9" i="29"/>
  <c r="D9" i="29"/>
  <c r="E9" i="29"/>
  <c r="F9" i="29"/>
  <c r="G9" i="29"/>
  <c r="H9" i="29"/>
  <c r="I9" i="29"/>
  <c r="J9" i="29"/>
  <c r="K9" i="29"/>
  <c r="L9" i="29"/>
  <c r="M9" i="29" s="1"/>
  <c r="B10" i="29"/>
  <c r="C10" i="29"/>
  <c r="D10" i="29"/>
  <c r="E10" i="29"/>
  <c r="F10" i="29"/>
  <c r="G10" i="29"/>
  <c r="H10" i="29"/>
  <c r="I10" i="29"/>
  <c r="J10" i="29"/>
  <c r="K10" i="29"/>
  <c r="L10" i="29"/>
  <c r="N11" i="29" s="1"/>
  <c r="B11" i="29"/>
  <c r="C11" i="29"/>
  <c r="D11" i="29"/>
  <c r="E11" i="29"/>
  <c r="F11" i="29"/>
  <c r="G11" i="29"/>
  <c r="H11" i="29"/>
  <c r="I11" i="29"/>
  <c r="J11" i="29"/>
  <c r="K11" i="29"/>
  <c r="L11" i="29"/>
  <c r="M11" i="29"/>
  <c r="B12" i="29"/>
  <c r="B13" i="29" s="1"/>
  <c r="C12" i="29"/>
  <c r="C13" i="29" s="1"/>
  <c r="D12" i="29"/>
  <c r="D13" i="29" s="1"/>
  <c r="E12" i="29"/>
  <c r="E13" i="29" s="1"/>
  <c r="F12" i="29"/>
  <c r="F13" i="29" s="1"/>
  <c r="G12" i="29"/>
  <c r="G13" i="29" s="1"/>
  <c r="H12" i="29"/>
  <c r="H13" i="29" s="1"/>
  <c r="I12" i="29"/>
  <c r="I13" i="29" s="1"/>
  <c r="J12" i="29"/>
  <c r="J13" i="29" s="1"/>
  <c r="K12" i="29"/>
  <c r="K13" i="29" s="1"/>
  <c r="L12" i="29"/>
  <c r="L13" i="29"/>
  <c r="L14" i="29" s="1"/>
  <c r="L25" i="29" s="1"/>
  <c r="M13" i="29"/>
  <c r="N13" i="29"/>
  <c r="B15" i="29"/>
  <c r="C15" i="29"/>
  <c r="D15" i="29"/>
  <c r="E15" i="29"/>
  <c r="F15" i="29"/>
  <c r="G15" i="29"/>
  <c r="H15" i="29"/>
  <c r="I15" i="29"/>
  <c r="J15" i="29"/>
  <c r="K15" i="29"/>
  <c r="L15" i="29"/>
  <c r="B18" i="29"/>
  <c r="C18" i="29"/>
  <c r="D18" i="29"/>
  <c r="E18" i="29"/>
  <c r="F18" i="29"/>
  <c r="G18" i="29"/>
  <c r="H18" i="29"/>
  <c r="I18" i="29"/>
  <c r="J18" i="29"/>
  <c r="K18" i="29"/>
  <c r="E1" i="28"/>
  <c r="B6" i="28"/>
  <c r="E13" i="7" s="1"/>
  <c r="A1" i="27"/>
  <c r="E1" i="27"/>
  <c r="B3" i="27"/>
  <c r="C3" i="27"/>
  <c r="D3" i="27"/>
  <c r="E3" i="27"/>
  <c r="F3" i="27"/>
  <c r="G3" i="27"/>
  <c r="H3" i="27"/>
  <c r="I3" i="27"/>
  <c r="J3" i="27"/>
  <c r="K3" i="27"/>
  <c r="B4" i="27"/>
  <c r="C4" i="27"/>
  <c r="D4" i="27"/>
  <c r="E4" i="27"/>
  <c r="F4" i="27"/>
  <c r="G4" i="27"/>
  <c r="H4" i="27"/>
  <c r="I4" i="27"/>
  <c r="J4" i="27"/>
  <c r="K4" i="27"/>
  <c r="B5" i="27"/>
  <c r="C5" i="27"/>
  <c r="D5" i="27"/>
  <c r="E5" i="27"/>
  <c r="F5" i="27"/>
  <c r="G5" i="27"/>
  <c r="H5" i="27"/>
  <c r="I5" i="27"/>
  <c r="J5" i="27"/>
  <c r="K5" i="27"/>
  <c r="B6" i="27"/>
  <c r="C6" i="27"/>
  <c r="D6" i="27"/>
  <c r="E6" i="27"/>
  <c r="F6" i="27"/>
  <c r="G6" i="27"/>
  <c r="H6" i="27"/>
  <c r="I6" i="27"/>
  <c r="J6" i="27"/>
  <c r="K6" i="27"/>
  <c r="B7" i="27"/>
  <c r="C7" i="27"/>
  <c r="D7" i="27"/>
  <c r="E7" i="27"/>
  <c r="F7" i="27"/>
  <c r="G7" i="27"/>
  <c r="H7" i="27"/>
  <c r="I7" i="27"/>
  <c r="J7" i="27"/>
  <c r="K7" i="27"/>
  <c r="B8" i="27"/>
  <c r="C8" i="27"/>
  <c r="D8" i="27"/>
  <c r="E8" i="27"/>
  <c r="F8" i="27"/>
  <c r="G8" i="27"/>
  <c r="H8" i="27"/>
  <c r="I8" i="27"/>
  <c r="J8" i="27"/>
  <c r="K8" i="27"/>
  <c r="B10" i="27"/>
  <c r="C10" i="27"/>
  <c r="D10" i="27"/>
  <c r="E10" i="27"/>
  <c r="F10" i="27"/>
  <c r="G10" i="27"/>
  <c r="H10" i="27"/>
  <c r="I10" i="27"/>
  <c r="J10" i="27"/>
  <c r="K10" i="27"/>
  <c r="B11" i="27"/>
  <c r="C11" i="27"/>
  <c r="D11" i="27"/>
  <c r="E11" i="27"/>
  <c r="F11" i="27"/>
  <c r="G11" i="27"/>
  <c r="H11" i="27"/>
  <c r="I11" i="27"/>
  <c r="J11" i="27"/>
  <c r="K11" i="27"/>
  <c r="B12" i="27"/>
  <c r="C12" i="27"/>
  <c r="D12" i="27"/>
  <c r="E12" i="27"/>
  <c r="F12" i="27"/>
  <c r="G12" i="27"/>
  <c r="H12" i="27"/>
  <c r="I12" i="27"/>
  <c r="J12" i="27"/>
  <c r="K12" i="27"/>
  <c r="B13" i="27"/>
  <c r="C13" i="27"/>
  <c r="D13" i="27"/>
  <c r="E13" i="27"/>
  <c r="F13" i="27"/>
  <c r="G13" i="27"/>
  <c r="H13" i="27"/>
  <c r="I13" i="27"/>
  <c r="J13" i="27"/>
  <c r="K13" i="27"/>
  <c r="B14" i="27"/>
  <c r="C14" i="27"/>
  <c r="D14" i="27"/>
  <c r="E14" i="27"/>
  <c r="F14" i="27"/>
  <c r="G14" i="27"/>
  <c r="H14" i="27"/>
  <c r="I14" i="27"/>
  <c r="J14" i="27"/>
  <c r="K14" i="27"/>
  <c r="B17" i="27"/>
  <c r="C17" i="27"/>
  <c r="D17" i="27"/>
  <c r="E17" i="27"/>
  <c r="F17" i="27"/>
  <c r="G17" i="27"/>
  <c r="H17" i="27"/>
  <c r="I17" i="27"/>
  <c r="J17" i="27"/>
  <c r="K17" i="27"/>
  <c r="B18" i="27"/>
  <c r="C18" i="27"/>
  <c r="D18" i="27"/>
  <c r="E18" i="27"/>
  <c r="F18" i="27"/>
  <c r="G18" i="27"/>
  <c r="H18" i="27"/>
  <c r="I18" i="27"/>
  <c r="J18" i="27"/>
  <c r="K18" i="27"/>
  <c r="B20" i="27"/>
  <c r="C20" i="27"/>
  <c r="D20" i="27"/>
  <c r="E20" i="27"/>
  <c r="F20" i="27"/>
  <c r="G20" i="27"/>
  <c r="H20" i="27"/>
  <c r="I20" i="27"/>
  <c r="J20" i="27"/>
  <c r="K20" i="27"/>
  <c r="B21" i="27"/>
  <c r="C21" i="27"/>
  <c r="D21" i="27"/>
  <c r="E21" i="27"/>
  <c r="F21" i="27"/>
  <c r="G21" i="27"/>
  <c r="H21" i="27"/>
  <c r="I21" i="27"/>
  <c r="J21" i="27"/>
  <c r="K21" i="27"/>
  <c r="A1" i="26"/>
  <c r="H1" i="26"/>
  <c r="B3" i="26"/>
  <c r="C3" i="26"/>
  <c r="D3" i="26"/>
  <c r="E3" i="26"/>
  <c r="F3" i="26"/>
  <c r="G3" i="26"/>
  <c r="H3" i="26"/>
  <c r="I3" i="26"/>
  <c r="J3" i="26"/>
  <c r="K3" i="26"/>
  <c r="B4" i="26"/>
  <c r="C4" i="26"/>
  <c r="D4" i="26"/>
  <c r="E4" i="26"/>
  <c r="F4" i="26"/>
  <c r="G4" i="26"/>
  <c r="H4" i="26"/>
  <c r="I4" i="26"/>
  <c r="J4" i="26"/>
  <c r="J13" i="7" s="1"/>
  <c r="K4" i="26"/>
  <c r="K13" i="7" s="1"/>
  <c r="L4" i="26"/>
  <c r="B5" i="26"/>
  <c r="C5" i="26"/>
  <c r="D5" i="26"/>
  <c r="E5" i="26"/>
  <c r="F5" i="26"/>
  <c r="G5" i="26"/>
  <c r="H5" i="26"/>
  <c r="I5" i="26"/>
  <c r="J5" i="26"/>
  <c r="K5" i="26"/>
  <c r="L5" i="26"/>
  <c r="L6" i="26"/>
  <c r="L19" i="26" s="1"/>
  <c r="L24" i="26" s="1"/>
  <c r="B7" i="26"/>
  <c r="C7" i="26"/>
  <c r="D7" i="26"/>
  <c r="E7" i="26"/>
  <c r="F7" i="26"/>
  <c r="G7" i="26"/>
  <c r="H7" i="26"/>
  <c r="I7" i="26"/>
  <c r="J7" i="26"/>
  <c r="K7" i="26"/>
  <c r="L7" i="26"/>
  <c r="B8" i="26"/>
  <c r="C8" i="26"/>
  <c r="D8" i="26"/>
  <c r="E8" i="26"/>
  <c r="F8" i="26"/>
  <c r="G8" i="26"/>
  <c r="H8" i="26"/>
  <c r="I8" i="26"/>
  <c r="J8" i="26"/>
  <c r="K8" i="26"/>
  <c r="L8" i="26"/>
  <c r="N8" i="26" s="1"/>
  <c r="B9" i="26"/>
  <c r="C9" i="26"/>
  <c r="D9" i="26"/>
  <c r="E9" i="26"/>
  <c r="F9" i="26"/>
  <c r="G9" i="26"/>
  <c r="H9" i="26"/>
  <c r="I9" i="26"/>
  <c r="J9" i="26"/>
  <c r="K9" i="26"/>
  <c r="L9" i="26"/>
  <c r="M9" i="26" s="1"/>
  <c r="B10" i="26"/>
  <c r="C10" i="26"/>
  <c r="D10" i="26"/>
  <c r="E10" i="26"/>
  <c r="F10" i="26"/>
  <c r="G10" i="26"/>
  <c r="H10" i="26"/>
  <c r="I10" i="26"/>
  <c r="J10" i="26"/>
  <c r="K10" i="26"/>
  <c r="L10" i="26"/>
  <c r="N11" i="26" s="1"/>
  <c r="B11" i="26"/>
  <c r="C11" i="26"/>
  <c r="D11" i="26"/>
  <c r="E11" i="26"/>
  <c r="F11" i="26"/>
  <c r="G11" i="26"/>
  <c r="H11" i="26"/>
  <c r="I11" i="26"/>
  <c r="J11" i="26"/>
  <c r="K11" i="26"/>
  <c r="L11" i="26"/>
  <c r="B12" i="26"/>
  <c r="B13" i="26" s="1"/>
  <c r="C12" i="26"/>
  <c r="C13" i="26" s="1"/>
  <c r="D12" i="26"/>
  <c r="D13" i="26" s="1"/>
  <c r="E12" i="26"/>
  <c r="E13" i="26" s="1"/>
  <c r="F12" i="26"/>
  <c r="F13" i="26" s="1"/>
  <c r="G12" i="26"/>
  <c r="G13" i="26" s="1"/>
  <c r="H12" i="26"/>
  <c r="H13" i="26" s="1"/>
  <c r="I12" i="26"/>
  <c r="I13" i="26" s="1"/>
  <c r="J12" i="26"/>
  <c r="J13" i="26" s="1"/>
  <c r="K12" i="26"/>
  <c r="K13" i="26" s="1"/>
  <c r="O13" i="7" s="1"/>
  <c r="L12" i="26"/>
  <c r="L13" i="26"/>
  <c r="L14" i="26" s="1"/>
  <c r="L25" i="26" s="1"/>
  <c r="M13" i="26"/>
  <c r="N13" i="26"/>
  <c r="B15" i="26"/>
  <c r="C15" i="26"/>
  <c r="D15" i="26"/>
  <c r="E15" i="26"/>
  <c r="F15" i="26"/>
  <c r="G15" i="26"/>
  <c r="H15" i="26"/>
  <c r="I15" i="26"/>
  <c r="J15" i="26"/>
  <c r="K15" i="26"/>
  <c r="L15" i="26"/>
  <c r="B18" i="26"/>
  <c r="C18" i="26"/>
  <c r="D18" i="26"/>
  <c r="E18" i="26"/>
  <c r="F18" i="26"/>
  <c r="G18" i="26"/>
  <c r="H18" i="26"/>
  <c r="I18" i="26"/>
  <c r="J18" i="26"/>
  <c r="K18" i="26"/>
  <c r="E1" i="25"/>
  <c r="B6" i="25"/>
  <c r="A1" i="24"/>
  <c r="E1" i="24"/>
  <c r="B3" i="24"/>
  <c r="C3" i="24"/>
  <c r="D3" i="24"/>
  <c r="E3" i="24"/>
  <c r="F3" i="24"/>
  <c r="G3" i="24"/>
  <c r="H3" i="24"/>
  <c r="I3" i="24"/>
  <c r="J3" i="24"/>
  <c r="K3" i="24"/>
  <c r="B4" i="24"/>
  <c r="C4" i="24"/>
  <c r="D4" i="24"/>
  <c r="E4" i="24"/>
  <c r="F4" i="24"/>
  <c r="G4" i="24"/>
  <c r="H4" i="24"/>
  <c r="I4" i="24"/>
  <c r="J4" i="24"/>
  <c r="K4" i="24"/>
  <c r="B5" i="24"/>
  <c r="C5" i="24"/>
  <c r="D5" i="24"/>
  <c r="E5" i="24"/>
  <c r="F5" i="24"/>
  <c r="G5" i="24"/>
  <c r="H5" i="24"/>
  <c r="I5" i="24"/>
  <c r="J5" i="24"/>
  <c r="K5" i="24"/>
  <c r="B6" i="24"/>
  <c r="C6" i="24"/>
  <c r="D6" i="24"/>
  <c r="E6" i="24"/>
  <c r="F6" i="24"/>
  <c r="G6" i="24"/>
  <c r="H6" i="24"/>
  <c r="I6" i="24"/>
  <c r="J6" i="24"/>
  <c r="K6" i="24"/>
  <c r="B7" i="24"/>
  <c r="C7" i="24"/>
  <c r="D7" i="24"/>
  <c r="E7" i="24"/>
  <c r="F7" i="24"/>
  <c r="G7" i="24"/>
  <c r="H7" i="24"/>
  <c r="I7" i="24"/>
  <c r="J7" i="24"/>
  <c r="K7" i="24"/>
  <c r="B8" i="24"/>
  <c r="C8" i="24"/>
  <c r="D8" i="24"/>
  <c r="E8" i="24"/>
  <c r="F8" i="24"/>
  <c r="G8" i="24"/>
  <c r="H8" i="24"/>
  <c r="I8" i="24"/>
  <c r="J8" i="24"/>
  <c r="K8" i="24"/>
  <c r="B10" i="24"/>
  <c r="C10" i="24"/>
  <c r="D10" i="24"/>
  <c r="E10" i="24"/>
  <c r="F10" i="24"/>
  <c r="G10" i="24"/>
  <c r="H10" i="24"/>
  <c r="I10" i="24"/>
  <c r="J10" i="24"/>
  <c r="K10" i="24"/>
  <c r="B11" i="24"/>
  <c r="C11" i="24"/>
  <c r="D11" i="24"/>
  <c r="E11" i="24"/>
  <c r="F11" i="24"/>
  <c r="G11" i="24"/>
  <c r="H11" i="24"/>
  <c r="I11" i="24"/>
  <c r="J11" i="24"/>
  <c r="K11" i="24"/>
  <c r="B12" i="24"/>
  <c r="C12" i="24"/>
  <c r="D12" i="24"/>
  <c r="E12" i="24"/>
  <c r="F12" i="24"/>
  <c r="G12" i="24"/>
  <c r="H12" i="24"/>
  <c r="I12" i="24"/>
  <c r="J12" i="24"/>
  <c r="K12" i="24"/>
  <c r="B13" i="24"/>
  <c r="C13" i="24"/>
  <c r="D13" i="24"/>
  <c r="E13" i="24"/>
  <c r="F13" i="24"/>
  <c r="G13" i="24"/>
  <c r="H13" i="24"/>
  <c r="I13" i="24"/>
  <c r="J13" i="24"/>
  <c r="K13" i="24"/>
  <c r="B14" i="24"/>
  <c r="C14" i="24"/>
  <c r="D14" i="24"/>
  <c r="E14" i="24"/>
  <c r="F14" i="24"/>
  <c r="G14" i="24"/>
  <c r="H14" i="24"/>
  <c r="I14" i="24"/>
  <c r="J14" i="24"/>
  <c r="K14" i="24"/>
  <c r="B17" i="24"/>
  <c r="C17" i="24"/>
  <c r="D17" i="24"/>
  <c r="E17" i="24"/>
  <c r="F17" i="24"/>
  <c r="G17" i="24"/>
  <c r="H17" i="24"/>
  <c r="I17" i="24"/>
  <c r="J17" i="24"/>
  <c r="K17" i="24"/>
  <c r="B18" i="24"/>
  <c r="C18" i="24"/>
  <c r="D18" i="24"/>
  <c r="E18" i="24"/>
  <c r="F18" i="24"/>
  <c r="G18" i="24"/>
  <c r="H18" i="24"/>
  <c r="I18" i="24"/>
  <c r="J18" i="24"/>
  <c r="K18" i="24"/>
  <c r="B20" i="24"/>
  <c r="C20" i="24"/>
  <c r="D20" i="24"/>
  <c r="E20" i="24"/>
  <c r="F20" i="24"/>
  <c r="G20" i="24"/>
  <c r="H20" i="24"/>
  <c r="I20" i="24"/>
  <c r="J20" i="24"/>
  <c r="K20" i="24"/>
  <c r="B21" i="24"/>
  <c r="C21" i="24"/>
  <c r="D21" i="24"/>
  <c r="E21" i="24"/>
  <c r="F21" i="24"/>
  <c r="G21" i="24"/>
  <c r="H21" i="24"/>
  <c r="I21" i="24"/>
  <c r="J21" i="24"/>
  <c r="K21" i="24"/>
  <c r="A1" i="23"/>
  <c r="H1" i="23"/>
  <c r="B3" i="23"/>
  <c r="C3" i="23"/>
  <c r="D3" i="23"/>
  <c r="E3" i="23"/>
  <c r="F3" i="23"/>
  <c r="G3" i="23"/>
  <c r="H3" i="23"/>
  <c r="I3" i="23"/>
  <c r="J3" i="23"/>
  <c r="K3" i="23"/>
  <c r="B4" i="23"/>
  <c r="C4" i="23"/>
  <c r="D4" i="23"/>
  <c r="E4" i="23"/>
  <c r="F4" i="23"/>
  <c r="G4" i="23"/>
  <c r="H4" i="23"/>
  <c r="I4" i="23"/>
  <c r="J4" i="23"/>
  <c r="K4" i="23"/>
  <c r="K10" i="7" s="1"/>
  <c r="L4" i="23"/>
  <c r="B5" i="23"/>
  <c r="C5" i="23"/>
  <c r="D5" i="23"/>
  <c r="E5" i="23"/>
  <c r="F5" i="23"/>
  <c r="G5" i="23"/>
  <c r="H5" i="23"/>
  <c r="I5" i="23"/>
  <c r="J5" i="23"/>
  <c r="K5" i="23"/>
  <c r="L5" i="23"/>
  <c r="L6" i="23"/>
  <c r="L19" i="23" s="1"/>
  <c r="L24" i="23" s="1"/>
  <c r="B7" i="23"/>
  <c r="C7" i="23"/>
  <c r="D7" i="23"/>
  <c r="E7" i="23"/>
  <c r="F7" i="23"/>
  <c r="G7" i="23"/>
  <c r="H7" i="23"/>
  <c r="I7" i="23"/>
  <c r="J7" i="23"/>
  <c r="K7" i="23"/>
  <c r="L7" i="23"/>
  <c r="B8" i="23"/>
  <c r="C8" i="23"/>
  <c r="D8" i="23"/>
  <c r="E8" i="23"/>
  <c r="F8" i="23"/>
  <c r="G8" i="23"/>
  <c r="H8" i="23"/>
  <c r="I8" i="23"/>
  <c r="J8" i="23"/>
  <c r="K8" i="23"/>
  <c r="L8" i="23"/>
  <c r="M8" i="23" s="1"/>
  <c r="B9" i="23"/>
  <c r="C9" i="23"/>
  <c r="D9" i="23"/>
  <c r="E9" i="23"/>
  <c r="F9" i="23"/>
  <c r="G9" i="23"/>
  <c r="H9" i="23"/>
  <c r="I9" i="23"/>
  <c r="J9" i="23"/>
  <c r="K9" i="23"/>
  <c r="L9" i="23"/>
  <c r="N9" i="23" s="1"/>
  <c r="B10" i="23"/>
  <c r="C10" i="23"/>
  <c r="D10" i="23"/>
  <c r="E10" i="23"/>
  <c r="F10" i="23"/>
  <c r="G10" i="23"/>
  <c r="H10" i="23"/>
  <c r="I10" i="23"/>
  <c r="J10" i="23"/>
  <c r="K10" i="23"/>
  <c r="L10" i="23"/>
  <c r="M11" i="23" s="1"/>
  <c r="B11" i="23"/>
  <c r="C11" i="23"/>
  <c r="D11" i="23"/>
  <c r="E11" i="23"/>
  <c r="F11" i="23"/>
  <c r="G11" i="23"/>
  <c r="H11" i="23"/>
  <c r="I11" i="23"/>
  <c r="J11" i="23"/>
  <c r="K11" i="23"/>
  <c r="L11" i="23"/>
  <c r="B12" i="23"/>
  <c r="B13" i="23" s="1"/>
  <c r="C12" i="23"/>
  <c r="C13" i="23" s="1"/>
  <c r="D12" i="23"/>
  <c r="D13" i="23" s="1"/>
  <c r="E12" i="23"/>
  <c r="E13" i="23" s="1"/>
  <c r="F12" i="23"/>
  <c r="F13" i="23" s="1"/>
  <c r="G12" i="23"/>
  <c r="G13" i="23" s="1"/>
  <c r="H12" i="23"/>
  <c r="H13" i="23" s="1"/>
  <c r="I12" i="23"/>
  <c r="I13" i="23" s="1"/>
  <c r="J12" i="23"/>
  <c r="N10" i="7" s="1"/>
  <c r="K12" i="23"/>
  <c r="K13" i="23" s="1"/>
  <c r="L12" i="23"/>
  <c r="L13" i="23"/>
  <c r="L14" i="23" s="1"/>
  <c r="L25" i="23" s="1"/>
  <c r="M13" i="23"/>
  <c r="N13" i="23"/>
  <c r="B15" i="23"/>
  <c r="C15" i="23"/>
  <c r="D15" i="23"/>
  <c r="E15" i="23"/>
  <c r="F15" i="23"/>
  <c r="G15" i="23"/>
  <c r="H15" i="23"/>
  <c r="I15" i="23"/>
  <c r="J15" i="23"/>
  <c r="K15" i="23"/>
  <c r="L15" i="23"/>
  <c r="B18" i="23"/>
  <c r="C18" i="23"/>
  <c r="D18" i="23"/>
  <c r="E18" i="23"/>
  <c r="F18" i="23"/>
  <c r="G18" i="23"/>
  <c r="H18" i="23"/>
  <c r="I18" i="23"/>
  <c r="J18" i="23"/>
  <c r="K18" i="23"/>
  <c r="E1" i="22"/>
  <c r="B6" i="22"/>
  <c r="E9" i="7" s="1"/>
  <c r="A1" i="21"/>
  <c r="E1" i="21"/>
  <c r="B3" i="21"/>
  <c r="C3" i="21"/>
  <c r="D3" i="21"/>
  <c r="E3" i="21"/>
  <c r="F3" i="21"/>
  <c r="G3" i="21"/>
  <c r="H3" i="21"/>
  <c r="I3" i="21"/>
  <c r="J3" i="21"/>
  <c r="K3" i="21"/>
  <c r="B4" i="21"/>
  <c r="C4" i="21"/>
  <c r="D4" i="21"/>
  <c r="E4" i="21"/>
  <c r="F4" i="21"/>
  <c r="G4" i="21"/>
  <c r="H4" i="21"/>
  <c r="I4" i="21"/>
  <c r="J4" i="21"/>
  <c r="K4" i="21"/>
  <c r="B5" i="21"/>
  <c r="C5" i="21"/>
  <c r="D5" i="21"/>
  <c r="E5" i="21"/>
  <c r="F5" i="21"/>
  <c r="G5" i="21"/>
  <c r="H5" i="21"/>
  <c r="I5" i="21"/>
  <c r="J5" i="21"/>
  <c r="K5" i="21"/>
  <c r="B6" i="21"/>
  <c r="C6" i="21"/>
  <c r="D6" i="21"/>
  <c r="E6" i="21"/>
  <c r="F6" i="21"/>
  <c r="G6" i="21"/>
  <c r="H6" i="21"/>
  <c r="I6" i="21"/>
  <c r="J6" i="21"/>
  <c r="K6" i="21"/>
  <c r="B7" i="21"/>
  <c r="C7" i="21"/>
  <c r="D7" i="21"/>
  <c r="E7" i="21"/>
  <c r="F7" i="21"/>
  <c r="G7" i="21"/>
  <c r="H7" i="21"/>
  <c r="I7" i="21"/>
  <c r="J7" i="21"/>
  <c r="K7" i="21"/>
  <c r="B8" i="21"/>
  <c r="C8" i="21"/>
  <c r="D8" i="21"/>
  <c r="E8" i="21"/>
  <c r="F8" i="21"/>
  <c r="G8" i="21"/>
  <c r="H8" i="21"/>
  <c r="I8" i="21"/>
  <c r="J8" i="21"/>
  <c r="K8" i="21"/>
  <c r="B10" i="21"/>
  <c r="C10" i="21"/>
  <c r="D10" i="21"/>
  <c r="E10" i="21"/>
  <c r="F10" i="21"/>
  <c r="G10" i="21"/>
  <c r="H10" i="21"/>
  <c r="I10" i="21"/>
  <c r="J10" i="21"/>
  <c r="K10" i="21"/>
  <c r="B11" i="21"/>
  <c r="C11" i="21"/>
  <c r="D11" i="21"/>
  <c r="E11" i="21"/>
  <c r="F11" i="21"/>
  <c r="G11" i="21"/>
  <c r="H11" i="21"/>
  <c r="I11" i="21"/>
  <c r="J11" i="21"/>
  <c r="K11" i="21"/>
  <c r="B12" i="21"/>
  <c r="C12" i="21"/>
  <c r="D12" i="21"/>
  <c r="E12" i="21"/>
  <c r="F12" i="21"/>
  <c r="G12" i="21"/>
  <c r="H12" i="21"/>
  <c r="I12" i="21"/>
  <c r="J12" i="21"/>
  <c r="K12" i="21"/>
  <c r="B13" i="21"/>
  <c r="C13" i="21"/>
  <c r="D13" i="21"/>
  <c r="E13" i="21"/>
  <c r="F13" i="21"/>
  <c r="G13" i="21"/>
  <c r="H13" i="21"/>
  <c r="I13" i="21"/>
  <c r="J13" i="21"/>
  <c r="K13" i="21"/>
  <c r="B14" i="21"/>
  <c r="C14" i="21"/>
  <c r="D14" i="21"/>
  <c r="E14" i="21"/>
  <c r="F14" i="21"/>
  <c r="G14" i="21"/>
  <c r="H14" i="21"/>
  <c r="I14" i="21"/>
  <c r="J14" i="21"/>
  <c r="K14" i="21"/>
  <c r="B17" i="21"/>
  <c r="C17" i="21"/>
  <c r="D17" i="21"/>
  <c r="E17" i="21"/>
  <c r="F17" i="21"/>
  <c r="G17" i="21"/>
  <c r="H17" i="21"/>
  <c r="I17" i="21"/>
  <c r="J17" i="21"/>
  <c r="K17" i="21"/>
  <c r="B18" i="21"/>
  <c r="C18" i="21"/>
  <c r="D18" i="21"/>
  <c r="E18" i="21"/>
  <c r="F18" i="21"/>
  <c r="G18" i="21"/>
  <c r="H18" i="21"/>
  <c r="I18" i="21"/>
  <c r="J18" i="21"/>
  <c r="K18" i="21"/>
  <c r="B20" i="21"/>
  <c r="C20" i="21"/>
  <c r="D20" i="21"/>
  <c r="E20" i="21"/>
  <c r="F20" i="21"/>
  <c r="G20" i="21"/>
  <c r="H20" i="21"/>
  <c r="I20" i="21"/>
  <c r="J20" i="21"/>
  <c r="K20" i="21"/>
  <c r="B21" i="21"/>
  <c r="C21" i="21"/>
  <c r="D21" i="21"/>
  <c r="E21" i="21"/>
  <c r="F21" i="21"/>
  <c r="G21" i="21"/>
  <c r="H21" i="21"/>
  <c r="I21" i="21"/>
  <c r="J21" i="21"/>
  <c r="K21" i="21"/>
  <c r="A1" i="20"/>
  <c r="H1" i="20"/>
  <c r="B3" i="20"/>
  <c r="C3" i="20"/>
  <c r="D3" i="20"/>
  <c r="E3" i="20"/>
  <c r="F3" i="20"/>
  <c r="G3" i="20"/>
  <c r="H3" i="20"/>
  <c r="I3" i="20"/>
  <c r="J3" i="20"/>
  <c r="K3" i="20"/>
  <c r="B4" i="20"/>
  <c r="C4" i="20"/>
  <c r="D4" i="20"/>
  <c r="E4" i="20"/>
  <c r="F4" i="20"/>
  <c r="G4" i="20"/>
  <c r="H4" i="20"/>
  <c r="I4" i="20"/>
  <c r="J4" i="20"/>
  <c r="K4" i="20"/>
  <c r="L4" i="20"/>
  <c r="B5" i="20"/>
  <c r="C5" i="20"/>
  <c r="D5" i="20"/>
  <c r="E5" i="20"/>
  <c r="F5" i="20"/>
  <c r="G5" i="20"/>
  <c r="H5" i="20"/>
  <c r="I5" i="20"/>
  <c r="J5" i="20"/>
  <c r="J6" i="20" s="1"/>
  <c r="J19" i="20" s="1"/>
  <c r="K5" i="20"/>
  <c r="L5" i="20"/>
  <c r="L6" i="20"/>
  <c r="L19" i="20" s="1"/>
  <c r="L24" i="20" s="1"/>
  <c r="B7" i="20"/>
  <c r="C7" i="20"/>
  <c r="D7" i="20"/>
  <c r="E7" i="20"/>
  <c r="F7" i="20"/>
  <c r="G7" i="20"/>
  <c r="H7" i="20"/>
  <c r="I7" i="20"/>
  <c r="J7" i="20"/>
  <c r="K7" i="20"/>
  <c r="L7" i="20"/>
  <c r="B8" i="20"/>
  <c r="C8" i="20"/>
  <c r="D8" i="20"/>
  <c r="E8" i="20"/>
  <c r="F8" i="20"/>
  <c r="G8" i="20"/>
  <c r="H8" i="20"/>
  <c r="I8" i="20"/>
  <c r="J8" i="20"/>
  <c r="K8" i="20"/>
  <c r="L8" i="20"/>
  <c r="M8" i="20" s="1"/>
  <c r="B9" i="20"/>
  <c r="C9" i="20"/>
  <c r="D9" i="20"/>
  <c r="E9" i="20"/>
  <c r="F9" i="20"/>
  <c r="G9" i="20"/>
  <c r="H9" i="20"/>
  <c r="I9" i="20"/>
  <c r="J9" i="20"/>
  <c r="K9" i="20"/>
  <c r="L9" i="20"/>
  <c r="M9" i="20" s="1"/>
  <c r="B10" i="20"/>
  <c r="C10" i="20"/>
  <c r="D10" i="20"/>
  <c r="E10" i="20"/>
  <c r="F10" i="20"/>
  <c r="G10" i="20"/>
  <c r="H10" i="20"/>
  <c r="I10" i="20"/>
  <c r="J10" i="20"/>
  <c r="K10" i="20"/>
  <c r="L10" i="20"/>
  <c r="N11" i="20" s="1"/>
  <c r="B11" i="20"/>
  <c r="C11" i="20"/>
  <c r="D11" i="20"/>
  <c r="E11" i="20"/>
  <c r="F11" i="20"/>
  <c r="G11" i="20"/>
  <c r="H11" i="20"/>
  <c r="I11" i="20"/>
  <c r="J11" i="20"/>
  <c r="K11" i="20"/>
  <c r="L11" i="20"/>
  <c r="B12" i="20"/>
  <c r="B13" i="20" s="1"/>
  <c r="C12" i="20"/>
  <c r="C13" i="20" s="1"/>
  <c r="D12" i="20"/>
  <c r="D13" i="20" s="1"/>
  <c r="E12" i="20"/>
  <c r="E13" i="20" s="1"/>
  <c r="F12" i="20"/>
  <c r="G12" i="20"/>
  <c r="G13" i="20" s="1"/>
  <c r="H12" i="20"/>
  <c r="H13" i="20" s="1"/>
  <c r="I12" i="20"/>
  <c r="I13" i="20" s="1"/>
  <c r="J12" i="20"/>
  <c r="J13" i="20" s="1"/>
  <c r="K12" i="20"/>
  <c r="K13" i="20" s="1"/>
  <c r="L12" i="20"/>
  <c r="F13" i="20"/>
  <c r="L13" i="20"/>
  <c r="L14" i="20" s="1"/>
  <c r="L25" i="20" s="1"/>
  <c r="M13" i="20"/>
  <c r="N13" i="20"/>
  <c r="B15" i="20"/>
  <c r="C15" i="20"/>
  <c r="D15" i="20"/>
  <c r="E15" i="20"/>
  <c r="F15" i="20"/>
  <c r="G15" i="20"/>
  <c r="H15" i="20"/>
  <c r="I15" i="20"/>
  <c r="J15" i="20"/>
  <c r="K15" i="20"/>
  <c r="L15" i="20"/>
  <c r="B18" i="20"/>
  <c r="C18" i="20"/>
  <c r="D18" i="20"/>
  <c r="E18" i="20"/>
  <c r="F18" i="20"/>
  <c r="G18" i="20"/>
  <c r="H18" i="20"/>
  <c r="I18" i="20"/>
  <c r="J18" i="20"/>
  <c r="K18" i="20"/>
  <c r="E1" i="19"/>
  <c r="B6" i="19"/>
  <c r="E8" i="7" s="1"/>
  <c r="A1" i="18"/>
  <c r="E1" i="18"/>
  <c r="B3" i="18"/>
  <c r="C3" i="18"/>
  <c r="D3" i="18"/>
  <c r="E3" i="18"/>
  <c r="F3" i="18"/>
  <c r="G3" i="18"/>
  <c r="H3" i="18"/>
  <c r="I3" i="18"/>
  <c r="J3" i="18"/>
  <c r="K3" i="18"/>
  <c r="B4" i="18"/>
  <c r="C4" i="18"/>
  <c r="D4" i="18"/>
  <c r="E4" i="18"/>
  <c r="F4" i="18"/>
  <c r="G4" i="18"/>
  <c r="H4" i="18"/>
  <c r="I4" i="18"/>
  <c r="J4" i="18"/>
  <c r="K4" i="18"/>
  <c r="B5" i="18"/>
  <c r="C5" i="18"/>
  <c r="D5" i="18"/>
  <c r="E5" i="18"/>
  <c r="F5" i="18"/>
  <c r="G5" i="18"/>
  <c r="H5" i="18"/>
  <c r="I5" i="18"/>
  <c r="J5" i="18"/>
  <c r="K5" i="18"/>
  <c r="B6" i="18"/>
  <c r="C6" i="18"/>
  <c r="D6" i="18"/>
  <c r="E6" i="18"/>
  <c r="F6" i="18"/>
  <c r="G6" i="18"/>
  <c r="H6" i="18"/>
  <c r="I6" i="18"/>
  <c r="J6" i="18"/>
  <c r="K6" i="18"/>
  <c r="B7" i="18"/>
  <c r="C7" i="18"/>
  <c r="D7" i="18"/>
  <c r="E7" i="18"/>
  <c r="F7" i="18"/>
  <c r="G7" i="18"/>
  <c r="H7" i="18"/>
  <c r="I7" i="18"/>
  <c r="J7" i="18"/>
  <c r="K7" i="18"/>
  <c r="B8" i="18"/>
  <c r="C8" i="18"/>
  <c r="D8" i="18"/>
  <c r="E8" i="18"/>
  <c r="F8" i="18"/>
  <c r="G8" i="18"/>
  <c r="H8" i="18"/>
  <c r="I8" i="18"/>
  <c r="J8" i="18"/>
  <c r="K8" i="18"/>
  <c r="B10" i="18"/>
  <c r="C10" i="18"/>
  <c r="D10" i="18"/>
  <c r="E10" i="18"/>
  <c r="F10" i="18"/>
  <c r="G10" i="18"/>
  <c r="H10" i="18"/>
  <c r="I10" i="18"/>
  <c r="J10" i="18"/>
  <c r="K10" i="18"/>
  <c r="B11" i="18"/>
  <c r="C11" i="18"/>
  <c r="D11" i="18"/>
  <c r="E11" i="18"/>
  <c r="F11" i="18"/>
  <c r="G11" i="18"/>
  <c r="H11" i="18"/>
  <c r="I11" i="18"/>
  <c r="J11" i="18"/>
  <c r="K11" i="18"/>
  <c r="B12" i="18"/>
  <c r="C12" i="18"/>
  <c r="D12" i="18"/>
  <c r="E12" i="18"/>
  <c r="F12" i="18"/>
  <c r="G12" i="18"/>
  <c r="H12" i="18"/>
  <c r="I12" i="18"/>
  <c r="J12" i="18"/>
  <c r="K12" i="18"/>
  <c r="B13" i="18"/>
  <c r="C13" i="18"/>
  <c r="D13" i="18"/>
  <c r="E13" i="18"/>
  <c r="F13" i="18"/>
  <c r="G13" i="18"/>
  <c r="H13" i="18"/>
  <c r="I13" i="18"/>
  <c r="J13" i="18"/>
  <c r="K13" i="18"/>
  <c r="B14" i="18"/>
  <c r="C14" i="18"/>
  <c r="D14" i="18"/>
  <c r="E14" i="18"/>
  <c r="F14" i="18"/>
  <c r="G14" i="18"/>
  <c r="H14" i="18"/>
  <c r="I14" i="18"/>
  <c r="J14" i="18"/>
  <c r="K14" i="18"/>
  <c r="B17" i="18"/>
  <c r="C17" i="18"/>
  <c r="D17" i="18"/>
  <c r="E17" i="18"/>
  <c r="F17" i="18"/>
  <c r="G17" i="18"/>
  <c r="H17" i="18"/>
  <c r="I17" i="18"/>
  <c r="J17" i="18"/>
  <c r="K17" i="18"/>
  <c r="B18" i="18"/>
  <c r="C18" i="18"/>
  <c r="D18" i="18"/>
  <c r="E18" i="18"/>
  <c r="F18" i="18"/>
  <c r="G18" i="18"/>
  <c r="H18" i="18"/>
  <c r="I18" i="18"/>
  <c r="J18" i="18"/>
  <c r="K18" i="18"/>
  <c r="B20" i="18"/>
  <c r="C20" i="18"/>
  <c r="D20" i="18"/>
  <c r="E20" i="18"/>
  <c r="F20" i="18"/>
  <c r="G20" i="18"/>
  <c r="H20" i="18"/>
  <c r="I20" i="18"/>
  <c r="J20" i="18"/>
  <c r="K20" i="18"/>
  <c r="B21" i="18"/>
  <c r="C21" i="18"/>
  <c r="D21" i="18"/>
  <c r="E21" i="18"/>
  <c r="F21" i="18"/>
  <c r="G21" i="18"/>
  <c r="H21" i="18"/>
  <c r="I21" i="18"/>
  <c r="J21" i="18"/>
  <c r="K21" i="18"/>
  <c r="A1" i="17"/>
  <c r="H1" i="17"/>
  <c r="B3" i="17"/>
  <c r="C3" i="17"/>
  <c r="D3" i="17"/>
  <c r="E3" i="17"/>
  <c r="F3" i="17"/>
  <c r="G3" i="17"/>
  <c r="H3" i="17"/>
  <c r="I3" i="17"/>
  <c r="J3" i="17"/>
  <c r="K3" i="17"/>
  <c r="B4" i="17"/>
  <c r="C4" i="17"/>
  <c r="D4" i="17"/>
  <c r="E4" i="17"/>
  <c r="F4" i="17"/>
  <c r="G4" i="17"/>
  <c r="H4" i="17"/>
  <c r="I4" i="17"/>
  <c r="J4" i="17"/>
  <c r="J8" i="7" s="1"/>
  <c r="K4" i="17"/>
  <c r="L4" i="17"/>
  <c r="B5" i="17"/>
  <c r="C5" i="17"/>
  <c r="D5" i="17"/>
  <c r="E5" i="17"/>
  <c r="F5" i="17"/>
  <c r="G5" i="17"/>
  <c r="H5" i="17"/>
  <c r="I5" i="17"/>
  <c r="J5" i="17"/>
  <c r="K5" i="17"/>
  <c r="L5" i="17"/>
  <c r="L6" i="17"/>
  <c r="L19" i="17" s="1"/>
  <c r="L24" i="17" s="1"/>
  <c r="B7" i="17"/>
  <c r="C7" i="17"/>
  <c r="D7" i="17"/>
  <c r="E7" i="17"/>
  <c r="F7" i="17"/>
  <c r="G7" i="17"/>
  <c r="H7" i="17"/>
  <c r="I7" i="17"/>
  <c r="J7" i="17"/>
  <c r="K7" i="17"/>
  <c r="L7" i="17"/>
  <c r="B8" i="17"/>
  <c r="C8" i="17"/>
  <c r="D8" i="17"/>
  <c r="E8" i="17"/>
  <c r="F8" i="17"/>
  <c r="G8" i="17"/>
  <c r="H8" i="17"/>
  <c r="I8" i="17"/>
  <c r="J8" i="17"/>
  <c r="K8" i="17"/>
  <c r="L8" i="17"/>
  <c r="N8" i="17" s="1"/>
  <c r="B9" i="17"/>
  <c r="C9" i="17"/>
  <c r="D9" i="17"/>
  <c r="E9" i="17"/>
  <c r="F9" i="17"/>
  <c r="G9" i="17"/>
  <c r="H9" i="17"/>
  <c r="I9" i="17"/>
  <c r="J9" i="17"/>
  <c r="K9" i="17"/>
  <c r="L9" i="17"/>
  <c r="M9" i="17" s="1"/>
  <c r="B10" i="17"/>
  <c r="C10" i="17"/>
  <c r="D10" i="17"/>
  <c r="E10" i="17"/>
  <c r="F10" i="17"/>
  <c r="G10" i="17"/>
  <c r="H10" i="17"/>
  <c r="I10" i="17"/>
  <c r="J10" i="17"/>
  <c r="K10" i="17"/>
  <c r="L10" i="17"/>
  <c r="N11" i="17" s="1"/>
  <c r="B11" i="17"/>
  <c r="C11" i="17"/>
  <c r="D11" i="17"/>
  <c r="E11" i="17"/>
  <c r="F11" i="17"/>
  <c r="G11" i="17"/>
  <c r="H11" i="17"/>
  <c r="I11" i="17"/>
  <c r="J11" i="17"/>
  <c r="K11" i="17"/>
  <c r="L11" i="17"/>
  <c r="B12" i="17"/>
  <c r="B13" i="17" s="1"/>
  <c r="C12" i="17"/>
  <c r="C13" i="17" s="1"/>
  <c r="D12" i="17"/>
  <c r="D13" i="17" s="1"/>
  <c r="E12" i="17"/>
  <c r="E13" i="17" s="1"/>
  <c r="F12" i="17"/>
  <c r="F13" i="17" s="1"/>
  <c r="G12" i="17"/>
  <c r="G13" i="17" s="1"/>
  <c r="H12" i="17"/>
  <c r="H13" i="17" s="1"/>
  <c r="I12" i="17"/>
  <c r="I13" i="17" s="1"/>
  <c r="J12" i="17"/>
  <c r="J13" i="17" s="1"/>
  <c r="K12" i="17"/>
  <c r="K13" i="17" s="1"/>
  <c r="L12" i="17"/>
  <c r="L13" i="17"/>
  <c r="L14" i="17" s="1"/>
  <c r="L25" i="17" s="1"/>
  <c r="M13" i="17"/>
  <c r="N13" i="17"/>
  <c r="B15" i="17"/>
  <c r="C15" i="17"/>
  <c r="D15" i="17"/>
  <c r="E15" i="17"/>
  <c r="F15" i="17"/>
  <c r="G15" i="17"/>
  <c r="H15" i="17"/>
  <c r="I15" i="17"/>
  <c r="J15" i="17"/>
  <c r="K15" i="17"/>
  <c r="L15" i="17"/>
  <c r="B18" i="17"/>
  <c r="C18" i="17"/>
  <c r="D18" i="17"/>
  <c r="E18" i="17"/>
  <c r="F18" i="17"/>
  <c r="G18" i="17"/>
  <c r="H18" i="17"/>
  <c r="I18" i="17"/>
  <c r="J18" i="17"/>
  <c r="K18" i="17"/>
  <c r="E1" i="16"/>
  <c r="E1" i="15" s="1"/>
  <c r="B6" i="16"/>
  <c r="E7" i="7" s="1"/>
  <c r="A1" i="15"/>
  <c r="B3" i="15"/>
  <c r="C3" i="15"/>
  <c r="D3" i="15"/>
  <c r="E3" i="15"/>
  <c r="F3" i="15"/>
  <c r="G3" i="15"/>
  <c r="H3" i="15"/>
  <c r="I3" i="15"/>
  <c r="J3" i="15"/>
  <c r="K3" i="15"/>
  <c r="B4" i="15"/>
  <c r="C4" i="15"/>
  <c r="D4" i="15"/>
  <c r="E4" i="15"/>
  <c r="F4" i="15"/>
  <c r="G4" i="15"/>
  <c r="H4" i="15"/>
  <c r="I4" i="15"/>
  <c r="J4" i="15"/>
  <c r="K4" i="15"/>
  <c r="B5" i="15"/>
  <c r="C5" i="15"/>
  <c r="D5" i="15"/>
  <c r="E5" i="15"/>
  <c r="F5" i="15"/>
  <c r="G5" i="15"/>
  <c r="H5" i="15"/>
  <c r="I5" i="15"/>
  <c r="J5" i="15"/>
  <c r="K5" i="15"/>
  <c r="B6" i="15"/>
  <c r="C6" i="15"/>
  <c r="D6" i="15"/>
  <c r="E6" i="15"/>
  <c r="F6" i="15"/>
  <c r="G6" i="15"/>
  <c r="H6" i="15"/>
  <c r="I6" i="15"/>
  <c r="J6" i="15"/>
  <c r="K6" i="15"/>
  <c r="B7" i="15"/>
  <c r="C7" i="15"/>
  <c r="D7" i="15"/>
  <c r="E7" i="15"/>
  <c r="F7" i="15"/>
  <c r="G7" i="15"/>
  <c r="H7" i="15"/>
  <c r="I7" i="15"/>
  <c r="J7" i="15"/>
  <c r="K7" i="15"/>
  <c r="B8" i="15"/>
  <c r="C8" i="15"/>
  <c r="D8" i="15"/>
  <c r="E8" i="15"/>
  <c r="F8" i="15"/>
  <c r="G8" i="15"/>
  <c r="H8" i="15"/>
  <c r="I8" i="15"/>
  <c r="J8" i="15"/>
  <c r="K8" i="15"/>
  <c r="B10" i="15"/>
  <c r="C10" i="15"/>
  <c r="D10" i="15"/>
  <c r="E10" i="15"/>
  <c r="F10" i="15"/>
  <c r="G10" i="15"/>
  <c r="H10" i="15"/>
  <c r="I10" i="15"/>
  <c r="J10" i="15"/>
  <c r="K10" i="15"/>
  <c r="B11" i="15"/>
  <c r="C11" i="15"/>
  <c r="D11" i="15"/>
  <c r="E11" i="15"/>
  <c r="F11" i="15"/>
  <c r="G11" i="15"/>
  <c r="H11" i="15"/>
  <c r="I11" i="15"/>
  <c r="J11" i="15"/>
  <c r="K11" i="15"/>
  <c r="B12" i="15"/>
  <c r="C12" i="15"/>
  <c r="D12" i="15"/>
  <c r="E12" i="15"/>
  <c r="F12" i="15"/>
  <c r="G12" i="15"/>
  <c r="H12" i="15"/>
  <c r="I12" i="15"/>
  <c r="J12" i="15"/>
  <c r="K12" i="15"/>
  <c r="B13" i="15"/>
  <c r="C13" i="15"/>
  <c r="D13" i="15"/>
  <c r="E13" i="15"/>
  <c r="F13" i="15"/>
  <c r="G13" i="15"/>
  <c r="H13" i="15"/>
  <c r="I13" i="15"/>
  <c r="J13" i="15"/>
  <c r="K13" i="15"/>
  <c r="B14" i="15"/>
  <c r="C14" i="15"/>
  <c r="D14" i="15"/>
  <c r="E14" i="15"/>
  <c r="F14" i="15"/>
  <c r="G14" i="15"/>
  <c r="H14" i="15"/>
  <c r="I14" i="15"/>
  <c r="J14" i="15"/>
  <c r="K14" i="15"/>
  <c r="B17" i="15"/>
  <c r="C17" i="15"/>
  <c r="D17" i="15"/>
  <c r="E17" i="15"/>
  <c r="F17" i="15"/>
  <c r="G17" i="15"/>
  <c r="H17" i="15"/>
  <c r="I17" i="15"/>
  <c r="J17" i="15"/>
  <c r="K17" i="15"/>
  <c r="B18" i="15"/>
  <c r="C18" i="15"/>
  <c r="D18" i="15"/>
  <c r="E18" i="15"/>
  <c r="F18" i="15"/>
  <c r="G18" i="15"/>
  <c r="H18" i="15"/>
  <c r="I18" i="15"/>
  <c r="J18" i="15"/>
  <c r="K18" i="15"/>
  <c r="B20" i="15"/>
  <c r="C20" i="15"/>
  <c r="D20" i="15"/>
  <c r="E20" i="15"/>
  <c r="F20" i="15"/>
  <c r="G20" i="15"/>
  <c r="H20" i="15"/>
  <c r="I20" i="15"/>
  <c r="J20" i="15"/>
  <c r="K20" i="15"/>
  <c r="B21" i="15"/>
  <c r="C21" i="15"/>
  <c r="D21" i="15"/>
  <c r="E21" i="15"/>
  <c r="F21" i="15"/>
  <c r="G21" i="15"/>
  <c r="H21" i="15"/>
  <c r="I21" i="15"/>
  <c r="J21" i="15"/>
  <c r="K21" i="15"/>
  <c r="A1" i="14"/>
  <c r="B3" i="14"/>
  <c r="C3" i="14"/>
  <c r="D3" i="14"/>
  <c r="E3" i="14"/>
  <c r="F3" i="14"/>
  <c r="G3" i="14"/>
  <c r="H3" i="14"/>
  <c r="I3" i="14"/>
  <c r="J3" i="14"/>
  <c r="K3" i="14"/>
  <c r="B4" i="14"/>
  <c r="C4" i="14"/>
  <c r="D4" i="14"/>
  <c r="E4" i="14"/>
  <c r="F4" i="14"/>
  <c r="G4" i="14"/>
  <c r="H4" i="14"/>
  <c r="I4" i="14"/>
  <c r="J4" i="14"/>
  <c r="J7" i="7" s="1"/>
  <c r="K4" i="14"/>
  <c r="K7" i="7" s="1"/>
  <c r="L4" i="14"/>
  <c r="B5" i="14"/>
  <c r="C5" i="14"/>
  <c r="D5" i="14"/>
  <c r="E5" i="14"/>
  <c r="F5" i="14"/>
  <c r="G5" i="14"/>
  <c r="H5" i="14"/>
  <c r="I5" i="14"/>
  <c r="J5" i="14"/>
  <c r="K5" i="14"/>
  <c r="L5" i="14"/>
  <c r="L6" i="14"/>
  <c r="L19" i="14" s="1"/>
  <c r="B7" i="14"/>
  <c r="C7" i="14"/>
  <c r="D7" i="14"/>
  <c r="E7" i="14"/>
  <c r="F7" i="14"/>
  <c r="G7" i="14"/>
  <c r="H7" i="14"/>
  <c r="I7" i="14"/>
  <c r="J7" i="14"/>
  <c r="K7" i="14"/>
  <c r="L7" i="14"/>
  <c r="B8" i="14"/>
  <c r="C8" i="14"/>
  <c r="D8" i="14"/>
  <c r="E8" i="14"/>
  <c r="F8" i="14"/>
  <c r="G8" i="14"/>
  <c r="H8" i="14"/>
  <c r="I8" i="14"/>
  <c r="J8" i="14"/>
  <c r="K8" i="14"/>
  <c r="L8" i="14"/>
  <c r="N8" i="14" s="1"/>
  <c r="B9" i="14"/>
  <c r="C9" i="14"/>
  <c r="D9" i="14"/>
  <c r="E9" i="14"/>
  <c r="F9" i="14"/>
  <c r="G9" i="14"/>
  <c r="H9" i="14"/>
  <c r="I9" i="14"/>
  <c r="J9" i="14"/>
  <c r="K9" i="14"/>
  <c r="L9" i="14"/>
  <c r="M9" i="14" s="1"/>
  <c r="B10" i="14"/>
  <c r="C10" i="14"/>
  <c r="D10" i="14"/>
  <c r="E10" i="14"/>
  <c r="F10" i="14"/>
  <c r="G10" i="14"/>
  <c r="H10" i="14"/>
  <c r="I10" i="14"/>
  <c r="J10" i="14"/>
  <c r="K10" i="14"/>
  <c r="L10" i="14"/>
  <c r="N11" i="14" s="1"/>
  <c r="B11" i="14"/>
  <c r="C11" i="14"/>
  <c r="D11" i="14"/>
  <c r="E11" i="14"/>
  <c r="F11" i="14"/>
  <c r="G11" i="14"/>
  <c r="H11" i="14"/>
  <c r="I11" i="14"/>
  <c r="J11" i="14"/>
  <c r="K11" i="14"/>
  <c r="L11" i="14"/>
  <c r="M11" i="14"/>
  <c r="B12" i="14"/>
  <c r="B13" i="14" s="1"/>
  <c r="C12" i="14"/>
  <c r="C13" i="14" s="1"/>
  <c r="D12" i="14"/>
  <c r="D13" i="14" s="1"/>
  <c r="E12" i="14"/>
  <c r="E13" i="14" s="1"/>
  <c r="F12" i="14"/>
  <c r="F13" i="14" s="1"/>
  <c r="G12" i="14"/>
  <c r="G13" i="14" s="1"/>
  <c r="H12" i="14"/>
  <c r="H13" i="14" s="1"/>
  <c r="I12" i="14"/>
  <c r="I13" i="14" s="1"/>
  <c r="J12" i="14"/>
  <c r="J13" i="14" s="1"/>
  <c r="K12" i="14"/>
  <c r="K13" i="14" s="1"/>
  <c r="L12" i="14"/>
  <c r="L13" i="14"/>
  <c r="L14" i="14" s="1"/>
  <c r="M13" i="14"/>
  <c r="N13" i="14"/>
  <c r="M14" i="14"/>
  <c r="N14" i="14"/>
  <c r="B15" i="14"/>
  <c r="C15" i="14"/>
  <c r="D15" i="14"/>
  <c r="E15" i="14"/>
  <c r="F15" i="14"/>
  <c r="G15" i="14"/>
  <c r="H15" i="14"/>
  <c r="I15" i="14"/>
  <c r="J15" i="14"/>
  <c r="K15" i="14"/>
  <c r="L15" i="14"/>
  <c r="B18" i="14"/>
  <c r="C18" i="14"/>
  <c r="D18" i="14"/>
  <c r="E18" i="14"/>
  <c r="F18" i="14"/>
  <c r="G18" i="14"/>
  <c r="H18" i="14"/>
  <c r="I18" i="14"/>
  <c r="J18" i="14"/>
  <c r="K18" i="14"/>
  <c r="E1" i="13"/>
  <c r="E1" i="12" s="1"/>
  <c r="B6" i="13"/>
  <c r="E6" i="7" s="1"/>
  <c r="A1" i="12"/>
  <c r="B3" i="12"/>
  <c r="C3" i="12"/>
  <c r="D3" i="12"/>
  <c r="E3" i="12"/>
  <c r="F3" i="12"/>
  <c r="G3" i="12"/>
  <c r="H3" i="12"/>
  <c r="I3" i="12"/>
  <c r="J3" i="12"/>
  <c r="K3" i="12"/>
  <c r="B4" i="12"/>
  <c r="C4" i="12"/>
  <c r="D4" i="12"/>
  <c r="E4" i="12"/>
  <c r="F4" i="12"/>
  <c r="G4" i="12"/>
  <c r="H4" i="12"/>
  <c r="I4" i="12"/>
  <c r="J4" i="12"/>
  <c r="K4" i="12"/>
  <c r="B5" i="12"/>
  <c r="C5" i="12"/>
  <c r="D5" i="12"/>
  <c r="E5" i="12"/>
  <c r="F5" i="12"/>
  <c r="G5" i="12"/>
  <c r="H5" i="12"/>
  <c r="H23" i="12" s="1"/>
  <c r="I5" i="12"/>
  <c r="J5" i="12"/>
  <c r="K5" i="12"/>
  <c r="B6" i="12"/>
  <c r="C6" i="12"/>
  <c r="D6" i="12"/>
  <c r="E6" i="12"/>
  <c r="F6" i="12"/>
  <c r="G6" i="12"/>
  <c r="H6" i="12"/>
  <c r="I6" i="12"/>
  <c r="J6" i="12"/>
  <c r="K6" i="12"/>
  <c r="Q26" i="4" s="1"/>
  <c r="B7" i="12"/>
  <c r="C7" i="12"/>
  <c r="D7" i="12"/>
  <c r="E7" i="12"/>
  <c r="F7" i="12"/>
  <c r="G7" i="12"/>
  <c r="H7" i="12"/>
  <c r="I7" i="12"/>
  <c r="J7" i="12"/>
  <c r="K7" i="12"/>
  <c r="B8" i="12"/>
  <c r="C8" i="12"/>
  <c r="D8" i="12"/>
  <c r="E8" i="12"/>
  <c r="F8" i="12"/>
  <c r="G8" i="12"/>
  <c r="H8" i="12"/>
  <c r="I8" i="12"/>
  <c r="J8" i="12"/>
  <c r="K8" i="12"/>
  <c r="B10" i="12"/>
  <c r="C10" i="12"/>
  <c r="D10" i="12"/>
  <c r="E10" i="12"/>
  <c r="F10" i="12"/>
  <c r="G10" i="12"/>
  <c r="H10" i="12"/>
  <c r="I10" i="12"/>
  <c r="J10" i="12"/>
  <c r="K10" i="12"/>
  <c r="B11" i="12"/>
  <c r="C11" i="12"/>
  <c r="D11" i="12"/>
  <c r="E11" i="12"/>
  <c r="F11" i="12"/>
  <c r="G11" i="12"/>
  <c r="H11" i="12"/>
  <c r="I11" i="12"/>
  <c r="J11" i="12"/>
  <c r="K11" i="12"/>
  <c r="B12" i="12"/>
  <c r="C12" i="12"/>
  <c r="D12" i="12"/>
  <c r="E12" i="12"/>
  <c r="F12" i="12"/>
  <c r="G12" i="12"/>
  <c r="H12" i="12"/>
  <c r="I12" i="12"/>
  <c r="J12" i="12"/>
  <c r="K12" i="12"/>
  <c r="B13" i="12"/>
  <c r="C13" i="12"/>
  <c r="D13" i="12"/>
  <c r="E13" i="12"/>
  <c r="F13" i="12"/>
  <c r="G13" i="12"/>
  <c r="H13" i="12"/>
  <c r="I13" i="12"/>
  <c r="J13" i="12"/>
  <c r="K13" i="12"/>
  <c r="B14" i="12"/>
  <c r="C14" i="12"/>
  <c r="D14" i="12"/>
  <c r="E14" i="12"/>
  <c r="F14" i="12"/>
  <c r="G14" i="12"/>
  <c r="H14" i="12"/>
  <c r="I14" i="12"/>
  <c r="J14" i="12"/>
  <c r="K14" i="12"/>
  <c r="B17" i="12"/>
  <c r="C17" i="12"/>
  <c r="D17" i="12"/>
  <c r="E17" i="12"/>
  <c r="F17" i="12"/>
  <c r="G17" i="12"/>
  <c r="H17" i="12"/>
  <c r="I17" i="12"/>
  <c r="J17" i="12"/>
  <c r="K17" i="12"/>
  <c r="B18" i="12"/>
  <c r="C18" i="12"/>
  <c r="D18" i="12"/>
  <c r="E18" i="12"/>
  <c r="F18" i="12"/>
  <c r="G18" i="12"/>
  <c r="H18" i="12"/>
  <c r="I18" i="12"/>
  <c r="J18" i="12"/>
  <c r="K18" i="12"/>
  <c r="B20" i="12"/>
  <c r="C20" i="12"/>
  <c r="D20" i="12"/>
  <c r="E20" i="12"/>
  <c r="F20" i="12"/>
  <c r="G20" i="12"/>
  <c r="H20" i="12"/>
  <c r="I20" i="12"/>
  <c r="J20" i="12"/>
  <c r="K20" i="12"/>
  <c r="B21" i="12"/>
  <c r="C21" i="12"/>
  <c r="D21" i="12"/>
  <c r="E21" i="12"/>
  <c r="F21" i="12"/>
  <c r="G21" i="12"/>
  <c r="H21" i="12"/>
  <c r="I21" i="12"/>
  <c r="J21" i="12"/>
  <c r="K21" i="12"/>
  <c r="D23" i="12"/>
  <c r="A1" i="11"/>
  <c r="B3" i="11"/>
  <c r="C3" i="11"/>
  <c r="D3" i="11"/>
  <c r="E3" i="11"/>
  <c r="F3" i="11"/>
  <c r="G3" i="11"/>
  <c r="H3" i="11"/>
  <c r="I3" i="11"/>
  <c r="J3" i="11"/>
  <c r="K3" i="11"/>
  <c r="B4" i="11"/>
  <c r="C4" i="11"/>
  <c r="D4" i="11"/>
  <c r="E4" i="11"/>
  <c r="F4" i="11"/>
  <c r="G4" i="11"/>
  <c r="H4" i="11"/>
  <c r="I4" i="11"/>
  <c r="I6" i="8" s="1"/>
  <c r="J4" i="11"/>
  <c r="J6" i="8" s="1"/>
  <c r="K4" i="11"/>
  <c r="K6" i="8" s="1"/>
  <c r="L4" i="11"/>
  <c r="B5" i="11"/>
  <c r="C5" i="11"/>
  <c r="D5" i="11"/>
  <c r="E5" i="11"/>
  <c r="F5" i="11"/>
  <c r="F6" i="11" s="1"/>
  <c r="F19" i="11" s="1"/>
  <c r="G5" i="11"/>
  <c r="H5" i="11"/>
  <c r="I5" i="11"/>
  <c r="J5" i="11"/>
  <c r="K5" i="11"/>
  <c r="L5" i="11"/>
  <c r="L6" i="11"/>
  <c r="L19" i="11" s="1"/>
  <c r="L24" i="11" s="1"/>
  <c r="B7" i="11"/>
  <c r="C7" i="11"/>
  <c r="D7" i="11"/>
  <c r="E7" i="11"/>
  <c r="F7" i="11"/>
  <c r="G7" i="11"/>
  <c r="H7" i="11"/>
  <c r="I7" i="11"/>
  <c r="J7" i="11"/>
  <c r="K7" i="11"/>
  <c r="L7" i="11"/>
  <c r="B8" i="11"/>
  <c r="C8" i="11"/>
  <c r="D8" i="11"/>
  <c r="E8" i="11"/>
  <c r="F8" i="11"/>
  <c r="G8" i="11"/>
  <c r="H8" i="11"/>
  <c r="I8" i="11"/>
  <c r="J8" i="11"/>
  <c r="K8" i="11"/>
  <c r="L8" i="11"/>
  <c r="M8" i="11" s="1"/>
  <c r="B9" i="11"/>
  <c r="C9" i="11"/>
  <c r="D9" i="11"/>
  <c r="E9" i="11"/>
  <c r="F9" i="11"/>
  <c r="G9" i="11"/>
  <c r="H9" i="11"/>
  <c r="I9" i="11"/>
  <c r="J9" i="11"/>
  <c r="K9" i="11"/>
  <c r="L9" i="11"/>
  <c r="M9" i="11" s="1"/>
  <c r="B10" i="11"/>
  <c r="C10" i="11"/>
  <c r="D10" i="11"/>
  <c r="E10" i="11"/>
  <c r="F10" i="11"/>
  <c r="G10" i="11"/>
  <c r="H10" i="11"/>
  <c r="I10" i="11"/>
  <c r="J10" i="11"/>
  <c r="K10" i="11"/>
  <c r="L10" i="11"/>
  <c r="M11" i="11" s="1"/>
  <c r="B11" i="11"/>
  <c r="C11" i="11"/>
  <c r="D11" i="11"/>
  <c r="E11" i="11"/>
  <c r="F11" i="11"/>
  <c r="G11" i="11"/>
  <c r="H11" i="11"/>
  <c r="I11" i="11"/>
  <c r="J11" i="11"/>
  <c r="K11" i="11"/>
  <c r="L11" i="11"/>
  <c r="B12" i="11"/>
  <c r="B13" i="11" s="1"/>
  <c r="C12" i="11"/>
  <c r="C13" i="11" s="1"/>
  <c r="D12" i="11"/>
  <c r="D13" i="11" s="1"/>
  <c r="E12" i="11"/>
  <c r="F12" i="11"/>
  <c r="F13" i="11" s="1"/>
  <c r="G12" i="11"/>
  <c r="G13" i="11" s="1"/>
  <c r="H12" i="11"/>
  <c r="H13" i="11" s="1"/>
  <c r="I12" i="11"/>
  <c r="I13" i="11" s="1"/>
  <c r="J12" i="11"/>
  <c r="N6" i="7" s="1"/>
  <c r="K12" i="11"/>
  <c r="K13" i="11" s="1"/>
  <c r="J26" i="4" s="1"/>
  <c r="L12" i="11"/>
  <c r="E13" i="11"/>
  <c r="B15" i="11"/>
  <c r="C15" i="11"/>
  <c r="D15" i="11"/>
  <c r="E15" i="11"/>
  <c r="F15" i="11"/>
  <c r="G15" i="11"/>
  <c r="H15" i="11"/>
  <c r="I15" i="11"/>
  <c r="J15" i="11"/>
  <c r="K15" i="11"/>
  <c r="L15" i="11"/>
  <c r="B18" i="11"/>
  <c r="C18" i="11"/>
  <c r="D18" i="11"/>
  <c r="E18" i="11"/>
  <c r="F18" i="11"/>
  <c r="G18" i="11"/>
  <c r="H18" i="11"/>
  <c r="I18" i="11"/>
  <c r="J18" i="11"/>
  <c r="K18" i="11"/>
  <c r="G12" i="7"/>
  <c r="F12" i="7" s="1"/>
  <c r="E12" i="7"/>
  <c r="G13" i="7"/>
  <c r="F13" i="7" s="1"/>
  <c r="E10" i="7"/>
  <c r="N9" i="7"/>
  <c r="J9" i="7"/>
  <c r="G9" i="7"/>
  <c r="F9" i="7" s="1"/>
  <c r="G8" i="7"/>
  <c r="F8" i="7" s="1"/>
  <c r="G7" i="7"/>
  <c r="F7" i="7" s="1"/>
  <c r="A7" i="7"/>
  <c r="A8" i="7" s="1"/>
  <c r="A9" i="7" s="1"/>
  <c r="A10" i="7" s="1"/>
  <c r="A11" i="7" s="1"/>
  <c r="A12" i="7" s="1"/>
  <c r="A13" i="7" s="1"/>
  <c r="K6" i="7"/>
  <c r="G6" i="7"/>
  <c r="F6" i="7" s="1"/>
  <c r="O5" i="7"/>
  <c r="N5" i="7"/>
  <c r="C3" i="7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A14" i="5"/>
  <c r="A15" i="5" s="1"/>
  <c r="A16" i="5" s="1"/>
  <c r="A17" i="5" s="1"/>
  <c r="A18" i="5" s="1"/>
  <c r="P26" i="4"/>
  <c r="D16" i="4"/>
  <c r="C16" i="4"/>
  <c r="D18" i="4"/>
  <c r="C18" i="4"/>
  <c r="D15" i="4"/>
  <c r="C15" i="4"/>
  <c r="D14" i="4"/>
  <c r="A14" i="4"/>
  <c r="A15" i="4" s="1"/>
  <c r="A16" i="4" s="1"/>
  <c r="A17" i="4" s="1"/>
  <c r="A18" i="4" s="1"/>
  <c r="D13" i="4"/>
  <c r="C13" i="4"/>
  <c r="V9" i="4"/>
  <c r="U9" i="4"/>
  <c r="O9" i="4"/>
  <c r="N9" i="4"/>
  <c r="K23" i="11" l="1"/>
  <c r="E16" i="18"/>
  <c r="K23" i="18"/>
  <c r="C23" i="18"/>
  <c r="F16" i="21"/>
  <c r="N13" i="7"/>
  <c r="D23" i="21"/>
  <c r="H16" i="27"/>
  <c r="D16" i="27"/>
  <c r="H23" i="27"/>
  <c r="H16" i="30"/>
  <c r="J27" i="4"/>
  <c r="J28" i="4" s="1"/>
  <c r="J29" i="4" s="1"/>
  <c r="J26" i="5"/>
  <c r="J27" i="5" s="1"/>
  <c r="J28" i="5" s="1"/>
  <c r="J29" i="5" s="1"/>
  <c r="Q27" i="4"/>
  <c r="Q26" i="5"/>
  <c r="P27" i="4"/>
  <c r="P26" i="5"/>
  <c r="H23" i="20"/>
  <c r="J23" i="30"/>
  <c r="F23" i="30"/>
  <c r="B23" i="30"/>
  <c r="H1" i="11"/>
  <c r="J23" i="21"/>
  <c r="N6" i="8"/>
  <c r="N7" i="7"/>
  <c r="F14" i="14"/>
  <c r="H16" i="18"/>
  <c r="D16" i="18"/>
  <c r="J16" i="18"/>
  <c r="F16" i="18"/>
  <c r="B16" i="18"/>
  <c r="F23" i="18"/>
  <c r="B23" i="18"/>
  <c r="H23" i="18"/>
  <c r="D23" i="18"/>
  <c r="I16" i="30"/>
  <c r="K23" i="30"/>
  <c r="G23" i="30"/>
  <c r="C23" i="30"/>
  <c r="H6" i="14"/>
  <c r="H19" i="14" s="1"/>
  <c r="D6" i="14"/>
  <c r="D19" i="14" s="1"/>
  <c r="M15" i="14"/>
  <c r="G23" i="21"/>
  <c r="G23" i="24"/>
  <c r="F23" i="21"/>
  <c r="B23" i="21"/>
  <c r="B6" i="23"/>
  <c r="B19" i="23" s="1"/>
  <c r="J24" i="30"/>
  <c r="F24" i="30"/>
  <c r="E6" i="8"/>
  <c r="O6" i="8"/>
  <c r="F11" i="5"/>
  <c r="H16" i="12"/>
  <c r="D16" i="12"/>
  <c r="B16" i="12"/>
  <c r="J23" i="12"/>
  <c r="H16" i="15"/>
  <c r="D16" i="15"/>
  <c r="J16" i="15"/>
  <c r="F16" i="15"/>
  <c r="B16" i="15"/>
  <c r="F23" i="15"/>
  <c r="H23" i="15"/>
  <c r="D23" i="15"/>
  <c r="H6" i="17"/>
  <c r="H19" i="17" s="1"/>
  <c r="D6" i="17"/>
  <c r="D19" i="17" s="1"/>
  <c r="J23" i="17"/>
  <c r="J14" i="20"/>
  <c r="J23" i="24"/>
  <c r="J16" i="27"/>
  <c r="O8" i="7"/>
  <c r="N9" i="14"/>
  <c r="M8" i="14"/>
  <c r="G6" i="14"/>
  <c r="G19" i="14" s="1"/>
  <c r="C6" i="14"/>
  <c r="C19" i="14" s="1"/>
  <c r="H1" i="14"/>
  <c r="I16" i="24"/>
  <c r="E16" i="24"/>
  <c r="K23" i="24"/>
  <c r="C23" i="24"/>
  <c r="G11" i="5"/>
  <c r="I16" i="15"/>
  <c r="E16" i="15"/>
  <c r="K16" i="15"/>
  <c r="G16" i="15"/>
  <c r="K23" i="15"/>
  <c r="G23" i="15"/>
  <c r="C23" i="15"/>
  <c r="I23" i="15"/>
  <c r="E23" i="15"/>
  <c r="B16" i="27"/>
  <c r="E14" i="14"/>
  <c r="I14" i="14"/>
  <c r="L13" i="11"/>
  <c r="L14" i="11" s="1"/>
  <c r="L25" i="11" s="1"/>
  <c r="H14" i="14"/>
  <c r="K6" i="26"/>
  <c r="M13" i="7" s="1"/>
  <c r="G6" i="26"/>
  <c r="G19" i="26" s="1"/>
  <c r="C6" i="26"/>
  <c r="C19" i="26" s="1"/>
  <c r="J6" i="26"/>
  <c r="J19" i="26" s="1"/>
  <c r="J23" i="26"/>
  <c r="B6" i="26"/>
  <c r="B19" i="26" s="1"/>
  <c r="I14" i="29"/>
  <c r="G6" i="29"/>
  <c r="G19" i="29" s="1"/>
  <c r="K6" i="11"/>
  <c r="G6" i="11"/>
  <c r="G19" i="11" s="1"/>
  <c r="C6" i="11"/>
  <c r="C19" i="11" s="1"/>
  <c r="J6" i="11"/>
  <c r="J23" i="11"/>
  <c r="H23" i="11"/>
  <c r="I16" i="12"/>
  <c r="J24" i="12"/>
  <c r="F24" i="12"/>
  <c r="K23" i="12"/>
  <c r="G23" i="12"/>
  <c r="C23" i="12"/>
  <c r="J6" i="14"/>
  <c r="J19" i="14" s="1"/>
  <c r="J6" i="17"/>
  <c r="J19" i="17" s="1"/>
  <c r="F6" i="17"/>
  <c r="F19" i="17" s="1"/>
  <c r="B6" i="17"/>
  <c r="B19" i="17" s="1"/>
  <c r="F6" i="20"/>
  <c r="F19" i="20" s="1"/>
  <c r="B6" i="20"/>
  <c r="B19" i="20" s="1"/>
  <c r="D16" i="24"/>
  <c r="I16" i="27"/>
  <c r="E16" i="27"/>
  <c r="K16" i="27"/>
  <c r="G16" i="27"/>
  <c r="C16" i="27"/>
  <c r="G23" i="27"/>
  <c r="I23" i="27"/>
  <c r="E23" i="27"/>
  <c r="J6" i="29"/>
  <c r="L12" i="7" s="1"/>
  <c r="F6" i="29"/>
  <c r="F19" i="29" s="1"/>
  <c r="D14" i="14"/>
  <c r="M11" i="20"/>
  <c r="K6" i="14"/>
  <c r="K19" i="14" s="1"/>
  <c r="K24" i="15"/>
  <c r="G24" i="15"/>
  <c r="C24" i="15"/>
  <c r="K6" i="20"/>
  <c r="M9" i="7" s="1"/>
  <c r="G6" i="20"/>
  <c r="G19" i="20" s="1"/>
  <c r="C6" i="20"/>
  <c r="C19" i="20" s="1"/>
  <c r="K6" i="23"/>
  <c r="K19" i="23" s="1"/>
  <c r="G6" i="23"/>
  <c r="G19" i="23" s="1"/>
  <c r="C6" i="23"/>
  <c r="C19" i="23" s="1"/>
  <c r="J23" i="23"/>
  <c r="E14" i="29"/>
  <c r="H23" i="29"/>
  <c r="K14" i="14"/>
  <c r="G14" i="14"/>
  <c r="C14" i="14"/>
  <c r="F6" i="14"/>
  <c r="F19" i="14" s="1"/>
  <c r="G6" i="17"/>
  <c r="G19" i="17" s="1"/>
  <c r="C6" i="17"/>
  <c r="C19" i="17" s="1"/>
  <c r="G23" i="18"/>
  <c r="J23" i="20"/>
  <c r="K14" i="20"/>
  <c r="G14" i="20"/>
  <c r="C14" i="20"/>
  <c r="I16" i="21"/>
  <c r="E16" i="21"/>
  <c r="K16" i="21"/>
  <c r="I23" i="21"/>
  <c r="H14" i="23"/>
  <c r="H23" i="26"/>
  <c r="E14" i="26"/>
  <c r="F6" i="26"/>
  <c r="F19" i="26" s="1"/>
  <c r="K23" i="26"/>
  <c r="I23" i="26"/>
  <c r="L23" i="29"/>
  <c r="E16" i="30"/>
  <c r="M11" i="17"/>
  <c r="K9" i="7"/>
  <c r="N12" i="7"/>
  <c r="J23" i="18"/>
  <c r="L23" i="20"/>
  <c r="K23" i="20"/>
  <c r="I23" i="20"/>
  <c r="H16" i="21"/>
  <c r="D16" i="21"/>
  <c r="J16" i="21"/>
  <c r="B16" i="21"/>
  <c r="H23" i="21"/>
  <c r="M9" i="23"/>
  <c r="N8" i="23"/>
  <c r="F6" i="23"/>
  <c r="F19" i="23" s="1"/>
  <c r="K23" i="23"/>
  <c r="B23" i="24"/>
  <c r="J14" i="26"/>
  <c r="F14" i="26"/>
  <c r="B14" i="26"/>
  <c r="F16" i="27"/>
  <c r="D23" i="27"/>
  <c r="J23" i="27"/>
  <c r="F23" i="27"/>
  <c r="B23" i="27"/>
  <c r="B6" i="29"/>
  <c r="B19" i="29" s="1"/>
  <c r="D16" i="30"/>
  <c r="J16" i="30"/>
  <c r="F16" i="30"/>
  <c r="B16" i="30"/>
  <c r="H23" i="30"/>
  <c r="D23" i="30"/>
  <c r="J19" i="29"/>
  <c r="M11" i="26"/>
  <c r="N8" i="7"/>
  <c r="B6" i="14"/>
  <c r="B19" i="14" s="1"/>
  <c r="I23" i="17"/>
  <c r="I16" i="18"/>
  <c r="J24" i="18"/>
  <c r="F24" i="18"/>
  <c r="H14" i="20"/>
  <c r="K14" i="23"/>
  <c r="G14" i="23"/>
  <c r="C14" i="23"/>
  <c r="I14" i="26"/>
  <c r="F24" i="27"/>
  <c r="K24" i="27"/>
  <c r="G24" i="27"/>
  <c r="C24" i="27"/>
  <c r="K14" i="29"/>
  <c r="G14" i="29"/>
  <c r="C14" i="29"/>
  <c r="H6" i="29"/>
  <c r="H19" i="29" s="1"/>
  <c r="D6" i="29"/>
  <c r="D19" i="29" s="1"/>
  <c r="I23" i="29"/>
  <c r="C6" i="29"/>
  <c r="C19" i="29" s="1"/>
  <c r="N9" i="11"/>
  <c r="M4" i="14"/>
  <c r="M6" i="14" s="1"/>
  <c r="F24" i="15"/>
  <c r="J24" i="15"/>
  <c r="J14" i="17"/>
  <c r="B14" i="17"/>
  <c r="L23" i="23"/>
  <c r="M23" i="23" s="1"/>
  <c r="M4" i="23" s="1"/>
  <c r="H16" i="24"/>
  <c r="J24" i="24"/>
  <c r="F23" i="24"/>
  <c r="L23" i="26"/>
  <c r="B14" i="29"/>
  <c r="H14" i="17"/>
  <c r="O10" i="7"/>
  <c r="N8" i="11"/>
  <c r="C16" i="15"/>
  <c r="K14" i="17"/>
  <c r="G14" i="17"/>
  <c r="C14" i="17"/>
  <c r="B14" i="20"/>
  <c r="F24" i="21"/>
  <c r="G16" i="21"/>
  <c r="C16" i="21"/>
  <c r="K24" i="21"/>
  <c r="G24" i="21"/>
  <c r="C24" i="21"/>
  <c r="E23" i="21"/>
  <c r="I14" i="23"/>
  <c r="E14" i="23"/>
  <c r="F14" i="23"/>
  <c r="D14" i="11"/>
  <c r="D14" i="20"/>
  <c r="B14" i="23"/>
  <c r="O7" i="7"/>
  <c r="K8" i="7"/>
  <c r="L9" i="7"/>
  <c r="J10" i="7"/>
  <c r="J13" i="11"/>
  <c r="J14" i="11" s="1"/>
  <c r="J16" i="12"/>
  <c r="F16" i="12"/>
  <c r="F23" i="12"/>
  <c r="B23" i="12"/>
  <c r="N15" i="14"/>
  <c r="N4" i="14"/>
  <c r="N6" i="14" s="1"/>
  <c r="L23" i="17"/>
  <c r="H23" i="17"/>
  <c r="H6" i="20"/>
  <c r="H19" i="20" s="1"/>
  <c r="D6" i="20"/>
  <c r="D19" i="20" s="1"/>
  <c r="K23" i="21"/>
  <c r="I6" i="23"/>
  <c r="I19" i="23" s="1"/>
  <c r="E6" i="23"/>
  <c r="E19" i="23" s="1"/>
  <c r="K16" i="24"/>
  <c r="G16" i="24"/>
  <c r="C16" i="24"/>
  <c r="H24" i="24"/>
  <c r="D24" i="24"/>
  <c r="I24" i="24"/>
  <c r="E23" i="24"/>
  <c r="K14" i="26"/>
  <c r="G14" i="26"/>
  <c r="C14" i="26"/>
  <c r="H6" i="26"/>
  <c r="H19" i="26" s="1"/>
  <c r="D6" i="26"/>
  <c r="D19" i="26" s="1"/>
  <c r="K23" i="27"/>
  <c r="K23" i="29"/>
  <c r="J14" i="29"/>
  <c r="F14" i="29"/>
  <c r="H14" i="11"/>
  <c r="D14" i="17"/>
  <c r="E16" i="12"/>
  <c r="J14" i="14"/>
  <c r="B14" i="14"/>
  <c r="J23" i="15"/>
  <c r="B23" i="15"/>
  <c r="K23" i="17"/>
  <c r="F14" i="17"/>
  <c r="I14" i="17"/>
  <c r="E14" i="17"/>
  <c r="N9" i="17"/>
  <c r="M8" i="17"/>
  <c r="K6" i="17"/>
  <c r="K19" i="17" s="1"/>
  <c r="E6" i="17"/>
  <c r="E19" i="17" s="1"/>
  <c r="K16" i="18"/>
  <c r="G16" i="18"/>
  <c r="C16" i="18"/>
  <c r="H24" i="18"/>
  <c r="D24" i="18"/>
  <c r="I24" i="18"/>
  <c r="E23" i="18"/>
  <c r="F14" i="20"/>
  <c r="I14" i="20"/>
  <c r="E14" i="20"/>
  <c r="N9" i="20"/>
  <c r="N8" i="20"/>
  <c r="H23" i="23"/>
  <c r="D14" i="23"/>
  <c r="J6" i="23"/>
  <c r="H6" i="23"/>
  <c r="H19" i="23" s="1"/>
  <c r="D6" i="23"/>
  <c r="D19" i="23" s="1"/>
  <c r="F24" i="24"/>
  <c r="J16" i="24"/>
  <c r="F16" i="24"/>
  <c r="B16" i="24"/>
  <c r="K24" i="24"/>
  <c r="G24" i="24"/>
  <c r="C24" i="24"/>
  <c r="H23" i="24"/>
  <c r="D23" i="24"/>
  <c r="J23" i="29"/>
  <c r="N9" i="29"/>
  <c r="M8" i="29"/>
  <c r="K6" i="29"/>
  <c r="K19" i="29" s="1"/>
  <c r="E6" i="29"/>
  <c r="E19" i="29" s="1"/>
  <c r="K16" i="30"/>
  <c r="G16" i="30"/>
  <c r="C16" i="30"/>
  <c r="H24" i="30"/>
  <c r="D24" i="30"/>
  <c r="I23" i="30"/>
  <c r="E23" i="30"/>
  <c r="K12" i="7"/>
  <c r="I14" i="11"/>
  <c r="E14" i="11"/>
  <c r="I6" i="11"/>
  <c r="I19" i="11" s="1"/>
  <c r="I6" i="14"/>
  <c r="I19" i="14" s="1"/>
  <c r="E6" i="14"/>
  <c r="E19" i="14" s="1"/>
  <c r="H24" i="15"/>
  <c r="D24" i="15"/>
  <c r="K24" i="18"/>
  <c r="G24" i="18"/>
  <c r="C24" i="18"/>
  <c r="E6" i="20"/>
  <c r="E19" i="20" s="1"/>
  <c r="J24" i="21"/>
  <c r="C23" i="21"/>
  <c r="J13" i="23"/>
  <c r="J14" i="23" s="1"/>
  <c r="H14" i="26"/>
  <c r="D14" i="26"/>
  <c r="N9" i="26"/>
  <c r="M8" i="26"/>
  <c r="E6" i="26"/>
  <c r="E19" i="26" s="1"/>
  <c r="J24" i="27"/>
  <c r="C23" i="27"/>
  <c r="H14" i="29"/>
  <c r="D14" i="29"/>
  <c r="K24" i="30"/>
  <c r="G24" i="30"/>
  <c r="C24" i="30"/>
  <c r="I24" i="30"/>
  <c r="E24" i="30"/>
  <c r="I12" i="7"/>
  <c r="I6" i="29"/>
  <c r="I19" i="29" s="1"/>
  <c r="O12" i="7"/>
  <c r="I24" i="27"/>
  <c r="E24" i="27"/>
  <c r="H24" i="27"/>
  <c r="D24" i="27"/>
  <c r="I6" i="26"/>
  <c r="I19" i="26" s="1"/>
  <c r="I13" i="7"/>
  <c r="E24" i="24"/>
  <c r="I23" i="24"/>
  <c r="I10" i="7"/>
  <c r="M10" i="7"/>
  <c r="N11" i="23"/>
  <c r="I23" i="23"/>
  <c r="I24" i="21"/>
  <c r="E24" i="21"/>
  <c r="H24" i="21"/>
  <c r="D24" i="21"/>
  <c r="O9" i="7"/>
  <c r="I6" i="20"/>
  <c r="I19" i="20" s="1"/>
  <c r="I9" i="7"/>
  <c r="E24" i="18"/>
  <c r="I23" i="18"/>
  <c r="I8" i="7"/>
  <c r="I6" i="17"/>
  <c r="I19" i="17" s="1"/>
  <c r="I24" i="15"/>
  <c r="E24" i="15"/>
  <c r="I7" i="7"/>
  <c r="J19" i="11"/>
  <c r="J6" i="7"/>
  <c r="L23" i="11"/>
  <c r="M23" i="11" s="1"/>
  <c r="M4" i="11" s="1"/>
  <c r="K14" i="11"/>
  <c r="G14" i="11"/>
  <c r="C14" i="11"/>
  <c r="B6" i="11"/>
  <c r="B19" i="11" s="1"/>
  <c r="H6" i="11"/>
  <c r="H19" i="11" s="1"/>
  <c r="D6" i="11"/>
  <c r="D19" i="11" s="1"/>
  <c r="K16" i="12"/>
  <c r="G16" i="12"/>
  <c r="C16" i="12"/>
  <c r="K24" i="12"/>
  <c r="G24" i="12"/>
  <c r="C24" i="12"/>
  <c r="I23" i="12"/>
  <c r="E23" i="12"/>
  <c r="O6" i="7"/>
  <c r="F14" i="11"/>
  <c r="B14" i="11"/>
  <c r="I24" i="12"/>
  <c r="E24" i="12"/>
  <c r="H24" i="12"/>
  <c r="D24" i="12"/>
  <c r="I6" i="7"/>
  <c r="N11" i="11"/>
  <c r="E6" i="11"/>
  <c r="E19" i="11" s="1"/>
  <c r="I23" i="11"/>
  <c r="K19" i="26" l="1"/>
  <c r="L7" i="7"/>
  <c r="M10" i="14"/>
  <c r="M12" i="14" s="1"/>
  <c r="Q28" i="4"/>
  <c r="G30" i="36" s="1"/>
  <c r="Q27" i="5"/>
  <c r="M23" i="26"/>
  <c r="M4" i="26" s="1"/>
  <c r="P28" i="4"/>
  <c r="P27" i="5"/>
  <c r="L6" i="7"/>
  <c r="M8" i="7"/>
  <c r="N10" i="14"/>
  <c r="N12" i="14" s="1"/>
  <c r="L13" i="7"/>
  <c r="K19" i="20"/>
  <c r="K19" i="11"/>
  <c r="H24" i="11" s="1"/>
  <c r="M6" i="8"/>
  <c r="K25" i="29"/>
  <c r="M25" i="29" s="1"/>
  <c r="M14" i="29" s="1"/>
  <c r="M15" i="29" s="1"/>
  <c r="L6" i="8"/>
  <c r="N23" i="26"/>
  <c r="N4" i="26" s="1"/>
  <c r="M23" i="29"/>
  <c r="M4" i="29" s="1"/>
  <c r="L8" i="7"/>
  <c r="H25" i="20"/>
  <c r="I25" i="17"/>
  <c r="I25" i="26"/>
  <c r="N23" i="20"/>
  <c r="N4" i="20" s="1"/>
  <c r="I25" i="29"/>
  <c r="K25" i="20"/>
  <c r="M25" i="20" s="1"/>
  <c r="M14" i="20" s="1"/>
  <c r="M15" i="20" s="1"/>
  <c r="J24" i="17"/>
  <c r="J25" i="26"/>
  <c r="J25" i="17"/>
  <c r="K25" i="26"/>
  <c r="M25" i="26" s="1"/>
  <c r="M14" i="26" s="1"/>
  <c r="M15" i="26" s="1"/>
  <c r="M12" i="7"/>
  <c r="M23" i="20"/>
  <c r="M4" i="20" s="1"/>
  <c r="M6" i="7"/>
  <c r="M7" i="7"/>
  <c r="J25" i="29"/>
  <c r="N23" i="29"/>
  <c r="N4" i="29" s="1"/>
  <c r="N23" i="23"/>
  <c r="N4" i="23" s="1"/>
  <c r="K24" i="17"/>
  <c r="M24" i="17" s="1"/>
  <c r="H25" i="29"/>
  <c r="K24" i="29"/>
  <c r="M24" i="29" s="1"/>
  <c r="I24" i="29"/>
  <c r="K25" i="17"/>
  <c r="M25" i="17" s="1"/>
  <c r="M14" i="17" s="1"/>
  <c r="M15" i="17" s="1"/>
  <c r="H25" i="17"/>
  <c r="H25" i="26"/>
  <c r="N23" i="17"/>
  <c r="N4" i="17" s="1"/>
  <c r="K25" i="23"/>
  <c r="M25" i="23" s="1"/>
  <c r="M14" i="23" s="1"/>
  <c r="M15" i="23" s="1"/>
  <c r="I25" i="23"/>
  <c r="J25" i="23"/>
  <c r="H25" i="23"/>
  <c r="K25" i="11"/>
  <c r="M25" i="11" s="1"/>
  <c r="M14" i="11" s="1"/>
  <c r="I25" i="11"/>
  <c r="N23" i="11"/>
  <c r="N4" i="11" s="1"/>
  <c r="K24" i="11"/>
  <c r="M24" i="11" s="1"/>
  <c r="M6" i="11" s="1"/>
  <c r="M10" i="11" s="1"/>
  <c r="M12" i="11" s="1"/>
  <c r="M13" i="11" s="1"/>
  <c r="H25" i="11"/>
  <c r="M23" i="17"/>
  <c r="M4" i="17" s="1"/>
  <c r="J25" i="11"/>
  <c r="J25" i="20"/>
  <c r="J19" i="23"/>
  <c r="L10" i="7"/>
  <c r="I25" i="20"/>
  <c r="I24" i="11"/>
  <c r="I24" i="20"/>
  <c r="H24" i="26"/>
  <c r="H24" i="29"/>
  <c r="J24" i="29"/>
  <c r="K24" i="26"/>
  <c r="M24" i="26" s="1"/>
  <c r="I24" i="26"/>
  <c r="J24" i="26"/>
  <c r="J24" i="20"/>
  <c r="H24" i="20"/>
  <c r="K24" i="20"/>
  <c r="M24" i="20" s="1"/>
  <c r="H24" i="17"/>
  <c r="I24" i="17"/>
  <c r="N5" i="14"/>
  <c r="M5" i="14"/>
  <c r="R26" i="4"/>
  <c r="M5" i="11"/>
  <c r="J11" i="4"/>
  <c r="R27" i="4" l="1"/>
  <c r="R27" i="5" s="1"/>
  <c r="V27" i="5" s="1"/>
  <c r="Z27" i="5" s="1"/>
  <c r="G16" i="36" s="1"/>
  <c r="R26" i="5"/>
  <c r="V26" i="5" s="1"/>
  <c r="Z26" i="5" s="1"/>
  <c r="J24" i="11"/>
  <c r="Q29" i="4"/>
  <c r="Q29" i="5" s="1"/>
  <c r="Q28" i="5"/>
  <c r="M6" i="26"/>
  <c r="P29" i="4"/>
  <c r="P29" i="5" s="1"/>
  <c r="P28" i="5"/>
  <c r="N25" i="26"/>
  <c r="N14" i="26" s="1"/>
  <c r="N15" i="26" s="1"/>
  <c r="M6" i="29"/>
  <c r="M5" i="29" s="1"/>
  <c r="M6" i="17"/>
  <c r="M10" i="17" s="1"/>
  <c r="M12" i="17" s="1"/>
  <c r="N25" i="17"/>
  <c r="N14" i="17" s="1"/>
  <c r="N15" i="17" s="1"/>
  <c r="J11" i="5"/>
  <c r="X11" i="4"/>
  <c r="X11" i="5" s="1"/>
  <c r="N25" i="29"/>
  <c r="N14" i="29" s="1"/>
  <c r="N15" i="29" s="1"/>
  <c r="M6" i="20"/>
  <c r="M10" i="20" s="1"/>
  <c r="M12" i="20" s="1"/>
  <c r="N25" i="20"/>
  <c r="N14" i="20" s="1"/>
  <c r="N15" i="20" s="1"/>
  <c r="N24" i="20"/>
  <c r="N6" i="20" s="1"/>
  <c r="N5" i="20" s="1"/>
  <c r="M15" i="11"/>
  <c r="N25" i="23"/>
  <c r="N14" i="23" s="1"/>
  <c r="N15" i="23" s="1"/>
  <c r="K24" i="23"/>
  <c r="M24" i="23" s="1"/>
  <c r="M6" i="23" s="1"/>
  <c r="J24" i="23"/>
  <c r="H24" i="23"/>
  <c r="N24" i="26"/>
  <c r="N6" i="26" s="1"/>
  <c r="N10" i="26" s="1"/>
  <c r="N12" i="26" s="1"/>
  <c r="N24" i="29"/>
  <c r="N6" i="29" s="1"/>
  <c r="N5" i="29" s="1"/>
  <c r="N24" i="11"/>
  <c r="N6" i="11" s="1"/>
  <c r="N5" i="11" s="1"/>
  <c r="I24" i="23"/>
  <c r="N25" i="11"/>
  <c r="N14" i="11" s="1"/>
  <c r="M10" i="26"/>
  <c r="M12" i="26" s="1"/>
  <c r="M5" i="26"/>
  <c r="N24" i="17"/>
  <c r="N6" i="17" s="1"/>
  <c r="R28" i="4"/>
  <c r="R28" i="5" s="1"/>
  <c r="V28" i="5" s="1"/>
  <c r="Z28" i="5" s="1"/>
  <c r="O11" i="4"/>
  <c r="N11" i="4"/>
  <c r="Q11" i="4"/>
  <c r="Q11" i="5" s="1"/>
  <c r="K11" i="4"/>
  <c r="H26" i="4" s="1"/>
  <c r="M5" i="17" l="1"/>
  <c r="N10" i="11"/>
  <c r="N12" i="11" s="1"/>
  <c r="N13" i="11" s="1"/>
  <c r="N15" i="11" s="1"/>
  <c r="N10" i="20"/>
  <c r="N12" i="20" s="1"/>
  <c r="M10" i="29"/>
  <c r="M12" i="29" s="1"/>
  <c r="M5" i="20"/>
  <c r="K11" i="5"/>
  <c r="H26" i="5" s="1"/>
  <c r="Y11" i="4"/>
  <c r="Y11" i="5" s="1"/>
  <c r="U11" i="4"/>
  <c r="U11" i="5" s="1"/>
  <c r="N11" i="5"/>
  <c r="AB11" i="4"/>
  <c r="AB11" i="5" s="1"/>
  <c r="O11" i="5"/>
  <c r="AC11" i="4"/>
  <c r="AC11" i="5" s="1"/>
  <c r="N5" i="26"/>
  <c r="N10" i="29"/>
  <c r="N12" i="29" s="1"/>
  <c r="N24" i="23"/>
  <c r="N6" i="23" s="1"/>
  <c r="M10" i="23"/>
  <c r="M12" i="23" s="1"/>
  <c r="M5" i="23"/>
  <c r="N10" i="17"/>
  <c r="N12" i="17" s="1"/>
  <c r="N5" i="17"/>
  <c r="R29" i="4"/>
  <c r="R29" i="5" s="1"/>
  <c r="V29" i="5" s="1"/>
  <c r="Z29" i="5" s="1"/>
  <c r="V11" i="4"/>
  <c r="V11" i="5" s="1"/>
  <c r="R11" i="4"/>
  <c r="R11" i="5" s="1"/>
  <c r="L26" i="5" l="1"/>
  <c r="T26" i="5" s="1"/>
  <c r="X26" i="5" s="1"/>
  <c r="H27" i="5"/>
  <c r="N10" i="23"/>
  <c r="N12" i="23" s="1"/>
  <c r="N5" i="23"/>
  <c r="H27" i="4"/>
  <c r="G16" i="4"/>
  <c r="G15" i="4"/>
  <c r="G14" i="4"/>
  <c r="G13" i="4"/>
  <c r="L27" i="5" l="1"/>
  <c r="T27" i="5" s="1"/>
  <c r="X27" i="5" s="1"/>
  <c r="C16" i="36" s="1"/>
  <c r="H28" i="5"/>
  <c r="E13" i="4"/>
  <c r="H28" i="4"/>
  <c r="H29" i="5" l="1"/>
  <c r="L29" i="5" s="1"/>
  <c r="T29" i="5" s="1"/>
  <c r="X29" i="5" s="1"/>
  <c r="L28" i="5"/>
  <c r="T28" i="5" s="1"/>
  <c r="X28" i="5" s="1"/>
  <c r="E16" i="4"/>
  <c r="F16" i="4"/>
  <c r="O16" i="4"/>
  <c r="I16" i="4"/>
  <c r="F18" i="4"/>
  <c r="F15" i="4"/>
  <c r="F14" i="4"/>
  <c r="F13" i="4"/>
  <c r="H29" i="4"/>
  <c r="N16" i="4" l="1"/>
  <c r="K16" i="4"/>
  <c r="J16" i="4"/>
  <c r="AC16" i="4"/>
  <c r="R16" i="4" l="1"/>
  <c r="U16" i="4"/>
  <c r="V16" i="4"/>
  <c r="X16" i="4"/>
  <c r="Q16" i="4"/>
  <c r="Y16" i="4"/>
  <c r="AB16" i="4"/>
  <c r="L16" i="4"/>
  <c r="S16" i="4" s="1"/>
  <c r="M16" i="4"/>
  <c r="T16" i="4" s="1"/>
  <c r="AA16" i="4" l="1"/>
  <c r="Z16" i="4"/>
  <c r="E18" i="4" l="1"/>
  <c r="O18" i="4"/>
  <c r="I18" i="4"/>
  <c r="K18" i="4" l="1"/>
  <c r="J18" i="4"/>
  <c r="Q18" i="4" s="1"/>
  <c r="N18" i="4"/>
  <c r="U18" i="4" l="1"/>
  <c r="R18" i="4"/>
  <c r="V18" i="4"/>
  <c r="M18" i="4"/>
  <c r="T18" i="4" s="1"/>
  <c r="L18" i="4"/>
  <c r="S18" i="4" s="1"/>
  <c r="E15" i="4" l="1"/>
  <c r="O15" i="4"/>
  <c r="I15" i="4"/>
  <c r="J15" i="4" l="1"/>
  <c r="Q15" i="4" s="1"/>
  <c r="N15" i="4"/>
  <c r="AC15" i="4"/>
  <c r="K15" i="4"/>
  <c r="U15" i="4" l="1"/>
  <c r="R15" i="4"/>
  <c r="V15" i="4"/>
  <c r="L15" i="4"/>
  <c r="S15" i="4" s="1"/>
  <c r="AB15" i="4"/>
  <c r="M15" i="4"/>
  <c r="X15" i="4"/>
  <c r="Y15" i="4"/>
  <c r="AA15" i="4" l="1"/>
  <c r="T15" i="4"/>
  <c r="Z15" i="4"/>
  <c r="E14" i="4"/>
  <c r="I14" i="4"/>
  <c r="O14" i="4"/>
  <c r="AC14" i="4" l="1"/>
  <c r="N14" i="4"/>
  <c r="K14" i="4"/>
  <c r="V14" i="4" s="1"/>
  <c r="J14" i="4"/>
  <c r="Q14" i="4" s="1"/>
  <c r="R14" i="4" l="1"/>
  <c r="U14" i="4"/>
  <c r="AB14" i="4"/>
  <c r="Y14" i="4"/>
  <c r="X14" i="4"/>
  <c r="M14" i="4"/>
  <c r="T14" i="4" s="1"/>
  <c r="L14" i="4"/>
  <c r="S14" i="4" s="1"/>
  <c r="AA14" i="4" l="1"/>
  <c r="Z14" i="4"/>
  <c r="K13" i="4"/>
  <c r="N13" i="4"/>
  <c r="AB13" i="4" l="1"/>
  <c r="AB20" i="4"/>
  <c r="O13" i="4"/>
  <c r="V13" i="4" s="1"/>
  <c r="Y13" i="4"/>
  <c r="M13" i="4"/>
  <c r="J13" i="4"/>
  <c r="I13" i="4"/>
  <c r="M11" i="4"/>
  <c r="L11" i="4"/>
  <c r="L11" i="5" s="1"/>
  <c r="S11" i="5" s="1"/>
  <c r="M11" i="5" l="1"/>
  <c r="I26" i="5" s="1"/>
  <c r="C26" i="36"/>
  <c r="C25" i="36"/>
  <c r="C28" i="36"/>
  <c r="C27" i="36"/>
  <c r="Q13" i="4"/>
  <c r="X13" i="4"/>
  <c r="U13" i="4"/>
  <c r="I27" i="5"/>
  <c r="M26" i="5"/>
  <c r="U26" i="5" s="1"/>
  <c r="Y26" i="5" s="1"/>
  <c r="D29" i="4"/>
  <c r="D26" i="4"/>
  <c r="L26" i="4" s="1"/>
  <c r="T26" i="4" s="1"/>
  <c r="X26" i="4" s="1"/>
  <c r="Y20" i="4"/>
  <c r="D27" i="4" s="1"/>
  <c r="Y21" i="4"/>
  <c r="D28" i="4" s="1"/>
  <c r="R13" i="4"/>
  <c r="R20" i="4" s="1"/>
  <c r="AB21" i="4"/>
  <c r="L13" i="4"/>
  <c r="AA13" i="4"/>
  <c r="T13" i="4"/>
  <c r="AC13" i="4"/>
  <c r="AC20" i="4" s="1"/>
  <c r="Z11" i="4"/>
  <c r="Z11" i="5" s="1"/>
  <c r="S11" i="4"/>
  <c r="I26" i="4"/>
  <c r="AA11" i="4"/>
  <c r="AA11" i="5" s="1"/>
  <c r="T11" i="4"/>
  <c r="T11" i="5" s="1"/>
  <c r="C29" i="36" l="1"/>
  <c r="G25" i="36"/>
  <c r="I25" i="36" s="1"/>
  <c r="AA20" i="4"/>
  <c r="E27" i="4" s="1"/>
  <c r="M27" i="4" s="1"/>
  <c r="U27" i="4" s="1"/>
  <c r="E26" i="4"/>
  <c r="L27" i="4"/>
  <c r="T27" i="4" s="1"/>
  <c r="X27" i="4" s="1"/>
  <c r="C15" i="36" s="1"/>
  <c r="N7" i="36"/>
  <c r="R7" i="36" s="1"/>
  <c r="N8" i="36"/>
  <c r="Q20" i="4"/>
  <c r="Q21" i="4"/>
  <c r="M27" i="5"/>
  <c r="U27" i="5" s="1"/>
  <c r="Y27" i="5" s="1"/>
  <c r="E16" i="36" s="1"/>
  <c r="I28" i="5"/>
  <c r="L29" i="4"/>
  <c r="T29" i="4" s="1"/>
  <c r="X29" i="4" s="1"/>
  <c r="L28" i="4"/>
  <c r="T28" i="4" s="1"/>
  <c r="X28" i="4" s="1"/>
  <c r="V21" i="4"/>
  <c r="V20" i="4"/>
  <c r="U20" i="4"/>
  <c r="U21" i="4"/>
  <c r="T20" i="4"/>
  <c r="T21" i="4"/>
  <c r="E29" i="4"/>
  <c r="M26" i="4"/>
  <c r="U26" i="4" s="1"/>
  <c r="AA21" i="4"/>
  <c r="E28" i="4" s="1"/>
  <c r="F29" i="4"/>
  <c r="AC21" i="4"/>
  <c r="F28" i="4" s="1"/>
  <c r="V28" i="4" s="1"/>
  <c r="Z28" i="4" s="1"/>
  <c r="F27" i="4"/>
  <c r="F26" i="4"/>
  <c r="Z13" i="4"/>
  <c r="Z20" i="4" s="1"/>
  <c r="S13" i="4"/>
  <c r="R21" i="4"/>
  <c r="I27" i="4"/>
  <c r="J16" i="36" l="1"/>
  <c r="M43" i="36" s="1"/>
  <c r="I16" i="36"/>
  <c r="E26" i="36"/>
  <c r="G26" i="36" s="1"/>
  <c r="R8" i="36"/>
  <c r="V27" i="4"/>
  <c r="N9" i="36"/>
  <c r="V26" i="4"/>
  <c r="Z26" i="4" s="1"/>
  <c r="M28" i="5"/>
  <c r="U28" i="5" s="1"/>
  <c r="Y28" i="5" s="1"/>
  <c r="I29" i="5"/>
  <c r="M29" i="5" s="1"/>
  <c r="U29" i="5" s="1"/>
  <c r="Y29" i="5" s="1"/>
  <c r="V29" i="4"/>
  <c r="Z29" i="4" s="1"/>
  <c r="Y26" i="4"/>
  <c r="S21" i="4"/>
  <c r="S20" i="4"/>
  <c r="Z21" i="4"/>
  <c r="I28" i="4"/>
  <c r="Y27" i="4"/>
  <c r="E15" i="36" s="1"/>
  <c r="E28" i="36" l="1"/>
  <c r="G28" i="36" s="1"/>
  <c r="I28" i="36" s="1"/>
  <c r="E17" i="36"/>
  <c r="R9" i="36"/>
  <c r="G17" i="36" s="1"/>
  <c r="G27" i="36"/>
  <c r="I27" i="36" s="1"/>
  <c r="I26" i="36"/>
  <c r="Z27" i="4"/>
  <c r="G15" i="36" s="1"/>
  <c r="I15" i="36" s="1"/>
  <c r="L42" i="36" s="1"/>
  <c r="I29" i="4"/>
  <c r="M29" i="4" s="1"/>
  <c r="U29" i="4" s="1"/>
  <c r="Y29" i="4" s="1"/>
  <c r="M28" i="4"/>
  <c r="U28" i="4" s="1"/>
  <c r="Y28" i="4" s="1"/>
  <c r="G29" i="36" l="1"/>
  <c r="G31" i="36" s="1"/>
  <c r="J17" i="36"/>
  <c r="M44" i="36" s="1"/>
  <c r="I32" i="36"/>
  <c r="D39" i="36" s="1"/>
  <c r="F39" i="36" s="1"/>
  <c r="J15" i="36"/>
  <c r="M42" i="36" s="1"/>
  <c r="D38" i="36" l="1"/>
  <c r="F38" i="36" s="1"/>
  <c r="L44" i="36"/>
  <c r="X21" i="4"/>
  <c r="X20" i="4"/>
</calcChain>
</file>

<file path=xl/sharedStrings.xml><?xml version="1.0" encoding="utf-8"?>
<sst xmlns="http://schemas.openxmlformats.org/spreadsheetml/2006/main" count="1177" uniqueCount="208">
  <si>
    <t>Median</t>
  </si>
  <si>
    <t>Mean</t>
  </si>
  <si>
    <t>EV/Revenue</t>
  </si>
  <si>
    <r>
      <t>Multiples Used</t>
    </r>
    <r>
      <rPr>
        <sz val="11"/>
        <color theme="1"/>
        <rFont val="Calibri"/>
        <family val="2"/>
        <scheme val="minor"/>
      </rPr>
      <t>: EV/Revenue, EV/EBITDA, P/E</t>
    </r>
  </si>
  <si>
    <t>EV/EBITDA</t>
  </si>
  <si>
    <t>P/E</t>
  </si>
  <si>
    <t>Method</t>
  </si>
  <si>
    <t>Equity Value</t>
  </si>
  <si>
    <t>Implied Share Price</t>
  </si>
  <si>
    <t xml:space="preserve">  Comps Tables</t>
  </si>
  <si>
    <t>Date</t>
  </si>
  <si>
    <t>Currency</t>
  </si>
  <si>
    <t>INR</t>
  </si>
  <si>
    <t>*All Values in Cr.</t>
  </si>
  <si>
    <t>Trading Multiples</t>
  </si>
  <si>
    <t>Current</t>
  </si>
  <si>
    <t>Share</t>
  </si>
  <si>
    <t>Enterprise</t>
  </si>
  <si>
    <t>Market</t>
  </si>
  <si>
    <t>Revenue</t>
  </si>
  <si>
    <t>EBITDA</t>
  </si>
  <si>
    <t>Net Income</t>
  </si>
  <si>
    <t>Revenue Growth</t>
  </si>
  <si>
    <t>EBITDA Margin</t>
  </si>
  <si>
    <t>Profit Margin</t>
  </si>
  <si>
    <t>EV / Revenue</t>
  </si>
  <si>
    <t>EV / EBITDA</t>
  </si>
  <si>
    <t>P / E</t>
  </si>
  <si>
    <t>Ticker</t>
  </si>
  <si>
    <t>Company Name</t>
  </si>
  <si>
    <t>Price</t>
  </si>
  <si>
    <t>Count</t>
  </si>
  <si>
    <t>Value</t>
  </si>
  <si>
    <t>Cap</t>
  </si>
  <si>
    <t>23</t>
  </si>
  <si>
    <t>'24</t>
  </si>
  <si>
    <t>'25</t>
  </si>
  <si>
    <t>'23-'24</t>
  </si>
  <si>
    <t>'24-'25</t>
  </si>
  <si>
    <t>2025 Trading Multiple</t>
  </si>
  <si>
    <t>2025 Financial Metric</t>
  </si>
  <si>
    <t>Enterprise Value</t>
  </si>
  <si>
    <t>Calculating Implied Share Price</t>
  </si>
  <si>
    <t>EPS</t>
  </si>
  <si>
    <t>Cash</t>
  </si>
  <si>
    <t>Debt</t>
  </si>
  <si>
    <t>Shares</t>
  </si>
  <si>
    <t>Minimum</t>
  </si>
  <si>
    <t>--</t>
  </si>
  <si>
    <t>Maximum</t>
  </si>
  <si>
    <t>DATABASE</t>
  </si>
  <si>
    <t>Tata Motors</t>
  </si>
  <si>
    <t>Maruti Suzuki</t>
  </si>
  <si>
    <t>M&amp;M</t>
  </si>
  <si>
    <t>Force Motors</t>
  </si>
  <si>
    <t>Eicher Motors</t>
  </si>
  <si>
    <t xml:space="preserve">Bajaj Auto </t>
  </si>
  <si>
    <t xml:space="preserve">Ashok Leyland </t>
  </si>
  <si>
    <t>Price to Earning</t>
  </si>
  <si>
    <t>OPM</t>
  </si>
  <si>
    <t>Sales Growth</t>
  </si>
  <si>
    <t>WORST</t>
  </si>
  <si>
    <t>BEST</t>
  </si>
  <si>
    <t>RECENT</t>
  </si>
  <si>
    <t>3 YEARS</t>
  </si>
  <si>
    <t>5 YEARS</t>
  </si>
  <si>
    <t>7 YEARS</t>
  </si>
  <si>
    <t>10 YEARS</t>
  </si>
  <si>
    <t>TRENDS:</t>
  </si>
  <si>
    <t>Dividend Payout</t>
  </si>
  <si>
    <t>RATIOS:</t>
  </si>
  <si>
    <t>Price to earning</t>
  </si>
  <si>
    <t>Net profit</t>
  </si>
  <si>
    <t>Tax</t>
  </si>
  <si>
    <t>Profit before tax</t>
  </si>
  <si>
    <t>Interest</t>
  </si>
  <si>
    <t>Depreciation</t>
  </si>
  <si>
    <t>Other Income</t>
  </si>
  <si>
    <t>Operating Profit</t>
  </si>
  <si>
    <t>Expenses</t>
  </si>
  <si>
    <t>Sales</t>
  </si>
  <si>
    <t>Worst Case</t>
  </si>
  <si>
    <t>Best Case</t>
  </si>
  <si>
    <t>Trailing</t>
  </si>
  <si>
    <t>Narration</t>
  </si>
  <si>
    <t>SCREENER.IN</t>
  </si>
  <si>
    <t>Return on Capital Emp</t>
  </si>
  <si>
    <t>Return on Equity</t>
  </si>
  <si>
    <t>Inventory Turnover</t>
  </si>
  <si>
    <t>Debtor Days</t>
  </si>
  <si>
    <t>Inventory</t>
  </si>
  <si>
    <t>Debtors</t>
  </si>
  <si>
    <t>Working Capital</t>
  </si>
  <si>
    <t>Total</t>
  </si>
  <si>
    <t>Other Assets</t>
  </si>
  <si>
    <t>Investments</t>
  </si>
  <si>
    <t>Capital Work in Progress</t>
  </si>
  <si>
    <t>Net Block</t>
  </si>
  <si>
    <t>Other Liabilities</t>
  </si>
  <si>
    <t>Borrowings</t>
  </si>
  <si>
    <t>Reserves</t>
  </si>
  <si>
    <t>Equity Share Capital</t>
  </si>
  <si>
    <t>Adjusted Equity Shares in Cr</t>
  </si>
  <si>
    <t>DERIVED:</t>
  </si>
  <si>
    <t>PRICE:</t>
  </si>
  <si>
    <t>Net Cash Flow</t>
  </si>
  <si>
    <t>Cash from Financing Activity</t>
  </si>
  <si>
    <t>Cash from Investing Activity</t>
  </si>
  <si>
    <t>Cash from Operating Activity</t>
  </si>
  <si>
    <t>Report Date</t>
  </si>
  <si>
    <t>CASH FLOW:</t>
  </si>
  <si>
    <t>Face value</t>
  </si>
  <si>
    <t>New Bonus Shares</t>
  </si>
  <si>
    <t>No. of Equity Shares</t>
  </si>
  <si>
    <t>Cash &amp; Bank</t>
  </si>
  <si>
    <t>Receivables</t>
  </si>
  <si>
    <t>BALANCE SHEET</t>
  </si>
  <si>
    <t>Quarters</t>
  </si>
  <si>
    <t>Dividend Amount</t>
  </si>
  <si>
    <t>Other Expenses</t>
  </si>
  <si>
    <t>Selling and admin</t>
  </si>
  <si>
    <t>Employee Cost</t>
  </si>
  <si>
    <t>Other Mfr. Exp</t>
  </si>
  <si>
    <t>Power and Fuel</t>
  </si>
  <si>
    <t>Change in Inventory</t>
  </si>
  <si>
    <t>Raw Material Cost</t>
  </si>
  <si>
    <t>PROFIT &amp; LOSS</t>
  </si>
  <si>
    <t>Market Capitalization</t>
  </si>
  <si>
    <t>Current Price</t>
  </si>
  <si>
    <t>Face Value</t>
  </si>
  <si>
    <t>Number of shares</t>
  </si>
  <si>
    <t>META</t>
  </si>
  <si>
    <t>CURRENT VERSION</t>
  </si>
  <si>
    <t>PLEASE DO NOT MAKE ANY CHANGES TO THIS SHEET</t>
  </si>
  <si>
    <t>LATEST VERSION</t>
  </si>
  <si>
    <t>TATA MOTORS LTD</t>
  </si>
  <si>
    <t>COMPANY NAME</t>
  </si>
  <si>
    <t>MARUTI SUZUKI INDIA LTD</t>
  </si>
  <si>
    <t>MAHINDRA &amp; MAHINDRA LTD</t>
  </si>
  <si>
    <t>FORCE MOTORS LTD</t>
  </si>
  <si>
    <t>EICHER MOTORS LTD</t>
  </si>
  <si>
    <t>BAJAJ AUTO LTD</t>
  </si>
  <si>
    <t>ASHOK LEYLAND LTD</t>
  </si>
  <si>
    <t>Mercedes</t>
  </si>
  <si>
    <t>Volkswagon</t>
  </si>
  <si>
    <t>Toyota</t>
  </si>
  <si>
    <t>BMW</t>
  </si>
  <si>
    <t>Volvo</t>
  </si>
  <si>
    <t>Hyundai</t>
  </si>
  <si>
    <t>Ford</t>
  </si>
  <si>
    <t>MBG.DE</t>
  </si>
  <si>
    <t>TATAMOTORS</t>
  </si>
  <si>
    <t>7203.T</t>
  </si>
  <si>
    <t>VOW.DE</t>
  </si>
  <si>
    <t>BMW.DE</t>
  </si>
  <si>
    <t>VOLCBS.XC</t>
  </si>
  <si>
    <t>F</t>
  </si>
  <si>
    <t>-</t>
  </si>
  <si>
    <t>HYUNDAI MOTOR INDIA LTD</t>
  </si>
  <si>
    <t>Multiple</t>
  </si>
  <si>
    <t>Indian Mean</t>
  </si>
  <si>
    <t>Global Mean</t>
  </si>
  <si>
    <t>Blended (Weighted)</t>
  </si>
  <si>
    <t>(Blended = e.g., 60% Indian, 40% global for Tata’s business mix; weights are customizable)</t>
  </si>
  <si>
    <t>SOTP (“Sum of the Parts”) Integration</t>
  </si>
  <si>
    <t>Segment</t>
  </si>
  <si>
    <t>Per Share (₹)</t>
  </si>
  <si>
    <t>Segment EV  (₹ Cr)</t>
  </si>
  <si>
    <t>Multiple (from peers)</t>
  </si>
  <si>
    <t>EBITDA (₹ Cr)</t>
  </si>
  <si>
    <t>JLR</t>
  </si>
  <si>
    <t>CV</t>
  </si>
  <si>
    <t>PV</t>
  </si>
  <si>
    <t>Others</t>
  </si>
  <si>
    <t>Total EV</t>
  </si>
  <si>
    <t>—</t>
  </si>
  <si>
    <t>Net Debt</t>
  </si>
  <si>
    <t>SOTP Implied Price</t>
  </si>
  <si>
    <t>Based On</t>
  </si>
  <si>
    <t>Indian Only</t>
  </si>
  <si>
    <t>Global Only</t>
  </si>
  <si>
    <t>Blended</t>
  </si>
  <si>
    <t xml:space="preserve">Mean </t>
  </si>
  <si>
    <t>Fair Value &amp; Upside Recap</t>
  </si>
  <si>
    <t>Comps (Blended Mean)</t>
  </si>
  <si>
    <t>SOTP</t>
  </si>
  <si>
    <t>Implied Price (₹)</t>
  </si>
  <si>
    <t>Upside from CMP (%)</t>
  </si>
  <si>
    <t>Share Price (CMP):</t>
  </si>
  <si>
    <t>(as of July 30, 2025)</t>
  </si>
  <si>
    <t> Key Notes </t>
  </si>
  <si>
    <t xml:space="preserve">📈 Chart </t>
  </si>
  <si>
    <t>– Global peers: Mercedes, Volkswagen, Toyota, BMW, Volvo, GM, Hyundai (NSE/BSE listed), Ford (all FY24 data)</t>
  </si>
  <si>
    <t>– Weights/blends chosen to reflect Tata’s PV/CV (India) and JLR (global luxury) revenue split</t>
  </si>
  <si>
    <t>– SOTP multiples sourced from peer averages above; all segment allocations from FY25E estimates.</t>
  </si>
  <si>
    <t>– Indian peers: Maruti Suzuki, M&amp;M, Ashok Leyland, Force Motors (Bajaj &amp; Eicher excluded for   comparability)</t>
  </si>
  <si>
    <t xml:space="preserve"> Peer Multiples Snapshot Table</t>
  </si>
  <si>
    <t xml:space="preserve"> Peer Group Used</t>
  </si>
  <si>
    <r>
      <t>Peer Set</t>
    </r>
    <r>
      <rPr>
        <sz val="11"/>
        <color theme="1"/>
        <rFont val="Calibri"/>
        <family val="2"/>
        <scheme val="minor"/>
      </rPr>
      <t>: Indian OEMs and Global OEMs</t>
    </r>
  </si>
  <si>
    <r>
      <t>Source</t>
    </r>
    <r>
      <rPr>
        <sz val="11"/>
        <color theme="1"/>
        <rFont val="Calibri"/>
        <family val="2"/>
        <scheme val="minor"/>
      </rPr>
      <t>: Trading Comps Sheet → “Indian Comps” and "Global Comps" tab</t>
    </r>
  </si>
  <si>
    <t>📘 Tata Motors Relative Valuation – (FY25)</t>
  </si>
  <si>
    <t>MARUTI</t>
  </si>
  <si>
    <t>FORCEMOT</t>
  </si>
  <si>
    <t>ASHOKLEY</t>
  </si>
  <si>
    <t>HYUNDAI</t>
  </si>
  <si>
    <t>EICHERMOT</t>
  </si>
  <si>
    <t>Mahindra &amp; Mahindra</t>
  </si>
  <si>
    <t> Implied Share Price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</si>
</sst>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%;\(0%\)"/>
    <numFmt numFmtId="165" formatCode="0.0%"/>
    <numFmt numFmtId="166" formatCode="0.0\x"/>
    <numFmt numFmtId="167" formatCode="_ [$₹-439]* #,##0.00_ ;_ [$₹-439]* \-#,##0.00_ ;_ [$₹-439]* &quot;-&quot;??_ ;_ @_ "/>
    <numFmt numFmtId="168" formatCode="_ * #,##0.00_ ;_ * \-#,##0.00_ ;_ * &quot;-&quot;??_ ;_ @_ "/>
    <numFmt numFmtId="169" formatCode="[$-409]mmm\-yy;@"/>
    <numFmt numFmtId="170" formatCode="[$₹-439]#,##0.00"/>
    <numFmt numFmtId="171" formatCode="0.0%;\(0.0%\)"/>
    <numFmt numFmtId="172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8"/>
      <color theme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4"/>
      <name val="Calibri"/>
      <family val="2"/>
      <scheme val="minor"/>
    </font>
    <font>
      <sz val="11"/>
      <color theme="8"/>
      <name val="Calibri"/>
      <family val="2"/>
      <scheme val="minor"/>
    </font>
    <font>
      <sz val="12"/>
      <color theme="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theme="0"/>
      <name val="Calibri Light"/>
      <family val="2"/>
      <scheme val="major"/>
    </font>
    <font>
      <b/>
      <sz val="16"/>
      <color theme="0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275D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theme="0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indexed="64"/>
      </top>
      <bottom style="thin">
        <color rgb="FF3F3F3F"/>
      </bottom>
      <diagonal/>
    </border>
    <border>
      <left/>
      <right/>
      <top style="thin">
        <color indexed="64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6">
    <xf numFmtId="0" fontId="0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0" borderId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3" fillId="0" borderId="1" applyNumberFormat="0" applyFill="0" applyProtection="0"/>
    <xf numFmtId="0" fontId="2" fillId="2" borderId="5" applyAlignment="0" applyProtection="0"/>
    <xf numFmtId="0" fontId="4" fillId="2" borderId="15" applyNumberFormat="0" applyAlignment="0" applyProtection="0"/>
    <xf numFmtId="0" fontId="2" fillId="2" borderId="7" applyAlignment="0" applyProtection="0"/>
    <xf numFmtId="9" fontId="6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4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2" borderId="11" applyNumberFormat="0" applyAlignment="0" applyProtection="0"/>
    <xf numFmtId="0" fontId="28" fillId="2" borderId="12" applyAlignment="0" applyProtection="0"/>
  </cellStyleXfs>
  <cellXfs count="212">
    <xf numFmtId="0" fontId="0" fillId="0" borderId="0" xfId="0"/>
    <xf numFmtId="0" fontId="6" fillId="0" borderId="0" xfId="4"/>
    <xf numFmtId="0" fontId="8" fillId="3" borderId="0" xfId="5" applyFont="1" applyAlignment="1">
      <alignment vertical="center"/>
    </xf>
    <xf numFmtId="0" fontId="8" fillId="3" borderId="0" xfId="5" applyFont="1"/>
    <xf numFmtId="0" fontId="9" fillId="0" borderId="0" xfId="4" applyFont="1" applyAlignment="1">
      <alignment horizontal="left" vertical="center" indent="1"/>
    </xf>
    <xf numFmtId="0" fontId="6" fillId="0" borderId="0" xfId="4" applyAlignment="1">
      <alignment horizontal="center"/>
    </xf>
    <xf numFmtId="0" fontId="9" fillId="0" borderId="0" xfId="4" applyFont="1" applyAlignment="1">
      <alignment vertical="center"/>
    </xf>
    <xf numFmtId="0" fontId="6" fillId="0" borderId="2" xfId="4" applyBorder="1" applyAlignment="1">
      <alignment horizontal="center"/>
    </xf>
    <xf numFmtId="0" fontId="7" fillId="3" borderId="2" xfId="5" applyBorder="1"/>
    <xf numFmtId="0" fontId="7" fillId="3" borderId="2" xfId="5" applyBorder="1" applyAlignment="1">
      <alignment horizontal="center"/>
    </xf>
    <xf numFmtId="0" fontId="9" fillId="0" borderId="0" xfId="4" applyFont="1"/>
    <xf numFmtId="14" fontId="6" fillId="8" borderId="3" xfId="4" applyNumberFormat="1" applyFill="1" applyBorder="1" applyAlignment="1">
      <alignment horizontal="center"/>
    </xf>
    <xf numFmtId="0" fontId="11" fillId="0" borderId="0" xfId="4" applyFont="1"/>
    <xf numFmtId="0" fontId="6" fillId="8" borderId="3" xfId="4" applyFill="1" applyBorder="1" applyAlignment="1">
      <alignment horizontal="center"/>
    </xf>
    <xf numFmtId="0" fontId="12" fillId="0" borderId="0" xfId="4" applyFont="1"/>
    <xf numFmtId="0" fontId="13" fillId="3" borderId="0" xfId="5" applyFont="1" applyAlignment="1">
      <alignment vertical="center"/>
    </xf>
    <xf numFmtId="0" fontId="13" fillId="3" borderId="0" xfId="5" applyFont="1" applyAlignment="1">
      <alignment horizontal="right" vertical="center"/>
    </xf>
    <xf numFmtId="0" fontId="13" fillId="3" borderId="0" xfId="5" applyFont="1" applyAlignment="1">
      <alignment horizontal="center" vertical="center"/>
    </xf>
    <xf numFmtId="0" fontId="13" fillId="3" borderId="2" xfId="5" applyFont="1" applyBorder="1" applyAlignment="1">
      <alignment horizontal="center" vertical="center"/>
    </xf>
    <xf numFmtId="0" fontId="13" fillId="3" borderId="2" xfId="5" quotePrefix="1" applyFont="1" applyBorder="1" applyAlignment="1">
      <alignment horizontal="center" vertical="center"/>
    </xf>
    <xf numFmtId="2" fontId="13" fillId="3" borderId="2" xfId="5" quotePrefix="1" applyNumberFormat="1" applyFont="1" applyBorder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9" fillId="0" borderId="0" xfId="4" quotePrefix="1" applyFont="1" applyAlignment="1">
      <alignment horizontal="center" vertical="center"/>
    </xf>
    <xf numFmtId="0" fontId="14" fillId="0" borderId="0" xfId="4" applyFont="1" applyAlignment="1">
      <alignment horizontal="center"/>
    </xf>
    <xf numFmtId="0" fontId="2" fillId="2" borderId="5" xfId="8"/>
    <xf numFmtId="0" fontId="1" fillId="2" borderId="15" xfId="9" applyFont="1"/>
    <xf numFmtId="2" fontId="1" fillId="2" borderId="15" xfId="9" applyNumberFormat="1" applyFont="1" applyAlignment="1">
      <alignment horizontal="center" vertical="center"/>
    </xf>
    <xf numFmtId="0" fontId="1" fillId="2" borderId="15" xfId="9" applyFont="1" applyAlignment="1">
      <alignment horizontal="center" vertical="center"/>
    </xf>
    <xf numFmtId="164" fontId="1" fillId="2" borderId="15" xfId="9" applyNumberFormat="1" applyFont="1" applyAlignment="1">
      <alignment horizontal="center"/>
    </xf>
    <xf numFmtId="165" fontId="1" fillId="2" borderId="15" xfId="9" applyNumberFormat="1" applyFont="1" applyAlignment="1">
      <alignment horizontal="center" vertical="center"/>
    </xf>
    <xf numFmtId="166" fontId="1" fillId="2" borderId="15" xfId="9" applyNumberFormat="1" applyFont="1" applyAlignment="1">
      <alignment horizontal="center"/>
    </xf>
    <xf numFmtId="166" fontId="2" fillId="2" borderId="7" xfId="10" applyNumberFormat="1" applyAlignment="1">
      <alignment horizontal="center"/>
    </xf>
    <xf numFmtId="0" fontId="14" fillId="0" borderId="0" xfId="4" applyFont="1"/>
    <xf numFmtId="164" fontId="0" fillId="0" borderId="0" xfId="11" applyNumberFormat="1" applyFont="1" applyBorder="1" applyAlignment="1">
      <alignment horizontal="center"/>
    </xf>
    <xf numFmtId="3" fontId="6" fillId="0" borderId="0" xfId="4" applyNumberFormat="1" applyAlignment="1">
      <alignment horizontal="center" vertical="center"/>
    </xf>
    <xf numFmtId="165" fontId="0" fillId="0" borderId="0" xfId="11" applyNumberFormat="1" applyFont="1" applyAlignment="1">
      <alignment horizontal="center" vertical="center"/>
    </xf>
    <xf numFmtId="166" fontId="6" fillId="0" borderId="0" xfId="4" applyNumberFormat="1" applyAlignment="1">
      <alignment horizontal="center"/>
    </xf>
    <xf numFmtId="164" fontId="0" fillId="0" borderId="0" xfId="11" applyNumberFormat="1" applyFont="1" applyAlignment="1">
      <alignment horizontal="center"/>
    </xf>
    <xf numFmtId="9" fontId="1" fillId="2" borderId="15" xfId="9" applyNumberFormat="1" applyFont="1" applyAlignment="1">
      <alignment horizontal="center"/>
    </xf>
    <xf numFmtId="166" fontId="1" fillId="2" borderId="15" xfId="9" applyNumberFormat="1" applyFont="1" applyAlignment="1">
      <alignment horizontal="center" vertical="center"/>
    </xf>
    <xf numFmtId="3" fontId="1" fillId="2" borderId="15" xfId="9" applyNumberFormat="1" applyFont="1" applyAlignment="1">
      <alignment horizontal="center" vertical="center"/>
    </xf>
    <xf numFmtId="4" fontId="15" fillId="2" borderId="15" xfId="9" applyNumberFormat="1" applyFont="1" applyAlignment="1">
      <alignment horizontal="center" vertical="center"/>
    </xf>
    <xf numFmtId="3" fontId="15" fillId="2" borderId="15" xfId="9" applyNumberFormat="1" applyFont="1" applyAlignment="1">
      <alignment horizontal="center" vertical="center"/>
    </xf>
    <xf numFmtId="1" fontId="15" fillId="2" borderId="15" xfId="9" quotePrefix="1" applyNumberFormat="1" applyFont="1" applyAlignment="1">
      <alignment horizontal="center" vertical="center"/>
    </xf>
    <xf numFmtId="3" fontId="1" fillId="2" borderId="15" xfId="9" applyNumberFormat="1" applyFont="1"/>
    <xf numFmtId="3" fontId="1" fillId="2" borderId="15" xfId="9" quotePrefix="1" applyNumberFormat="1" applyFont="1" applyAlignment="1">
      <alignment horizontal="center" vertical="center"/>
    </xf>
    <xf numFmtId="0" fontId="1" fillId="2" borderId="15" xfId="9" quotePrefix="1" applyFont="1" applyAlignment="1">
      <alignment horizontal="center" vertical="center"/>
    </xf>
    <xf numFmtId="167" fontId="1" fillId="2" borderId="15" xfId="9" quotePrefix="1" applyNumberFormat="1" applyFont="1" applyAlignment="1">
      <alignment vertical="center"/>
    </xf>
    <xf numFmtId="0" fontId="2" fillId="2" borderId="7" xfId="10" quotePrefix="1" applyAlignment="1">
      <alignment horizontal="center" vertical="center"/>
    </xf>
    <xf numFmtId="3" fontId="1" fillId="2" borderId="15" xfId="9" applyNumberFormat="1" applyFont="1" applyAlignment="1">
      <alignment horizontal="center"/>
    </xf>
    <xf numFmtId="166" fontId="6" fillId="0" borderId="0" xfId="4" applyNumberFormat="1" applyAlignment="1">
      <alignment horizontal="center" vertical="center"/>
    </xf>
    <xf numFmtId="1" fontId="6" fillId="0" borderId="0" xfId="4" quotePrefix="1" applyNumberFormat="1" applyAlignment="1">
      <alignment horizontal="center" vertical="center"/>
    </xf>
    <xf numFmtId="4" fontId="14" fillId="0" borderId="0" xfId="4" applyNumberFormat="1" applyFont="1" applyAlignment="1">
      <alignment horizontal="center" vertical="center"/>
    </xf>
    <xf numFmtId="3" fontId="14" fillId="0" borderId="0" xfId="4" applyNumberFormat="1" applyFont="1" applyAlignment="1">
      <alignment horizontal="center" vertical="center"/>
    </xf>
    <xf numFmtId="0" fontId="7" fillId="3" borderId="0" xfId="5" applyAlignment="1">
      <alignment vertical="center"/>
    </xf>
    <xf numFmtId="166" fontId="7" fillId="3" borderId="0" xfId="5" applyNumberFormat="1" applyAlignment="1">
      <alignment horizontal="center" vertical="center"/>
    </xf>
    <xf numFmtId="0" fontId="7" fillId="3" borderId="0" xfId="5" applyAlignment="1">
      <alignment horizontal="center" vertical="center"/>
    </xf>
    <xf numFmtId="0" fontId="7" fillId="3" borderId="0" xfId="5" applyAlignment="1">
      <alignment horizontal="center"/>
    </xf>
    <xf numFmtId="3" fontId="7" fillId="3" borderId="0" xfId="5" applyNumberFormat="1" applyAlignment="1">
      <alignment horizontal="center" vertical="center"/>
    </xf>
    <xf numFmtId="0" fontId="7" fillId="3" borderId="0" xfId="5"/>
    <xf numFmtId="0" fontId="16" fillId="0" borderId="0" xfId="4" applyFont="1" applyAlignment="1">
      <alignment horizontal="left"/>
    </xf>
    <xf numFmtId="0" fontId="16" fillId="0" borderId="0" xfId="4" applyFont="1" applyAlignment="1">
      <alignment horizontal="center"/>
    </xf>
    <xf numFmtId="0" fontId="13" fillId="3" borderId="0" xfId="5" applyFont="1" applyAlignment="1">
      <alignment horizontal="centerContinuous" vertical="center"/>
    </xf>
    <xf numFmtId="0" fontId="13" fillId="3" borderId="2" xfId="5" applyFont="1" applyBorder="1" applyAlignment="1">
      <alignment vertical="center"/>
    </xf>
    <xf numFmtId="2" fontId="14" fillId="0" borderId="0" xfId="4" applyNumberFormat="1" applyFont="1"/>
    <xf numFmtId="43" fontId="14" fillId="0" borderId="0" xfId="4" applyNumberFormat="1" applyFont="1"/>
    <xf numFmtId="2" fontId="14" fillId="0" borderId="0" xfId="4" applyNumberFormat="1" applyFont="1" applyAlignment="1">
      <alignment horizontal="center" vertical="center"/>
    </xf>
    <xf numFmtId="43" fontId="14" fillId="0" borderId="0" xfId="4" applyNumberFormat="1" applyFont="1" applyAlignment="1">
      <alignment horizontal="center" vertical="center"/>
    </xf>
    <xf numFmtId="4" fontId="6" fillId="0" borderId="0" xfId="4" applyNumberFormat="1" applyAlignment="1">
      <alignment horizontal="center" vertical="center"/>
    </xf>
    <xf numFmtId="43" fontId="6" fillId="0" borderId="0" xfId="4" applyNumberFormat="1"/>
    <xf numFmtId="2" fontId="6" fillId="0" borderId="0" xfId="4" applyNumberFormat="1" applyAlignment="1">
      <alignment horizontal="center" vertical="center"/>
    </xf>
    <xf numFmtId="43" fontId="6" fillId="0" borderId="0" xfId="4" applyNumberFormat="1" applyAlignment="1">
      <alignment horizontal="center" vertical="center"/>
    </xf>
    <xf numFmtId="2" fontId="6" fillId="0" borderId="0" xfId="4" applyNumberFormat="1"/>
    <xf numFmtId="0" fontId="6" fillId="0" borderId="0" xfId="4" applyAlignment="1">
      <alignment horizontal="center" vertical="center"/>
    </xf>
    <xf numFmtId="168" fontId="6" fillId="0" borderId="0" xfId="4" applyNumberFormat="1" applyAlignment="1">
      <alignment horizontal="center" vertical="center"/>
    </xf>
    <xf numFmtId="0" fontId="1" fillId="0" borderId="0" xfId="12"/>
    <xf numFmtId="168" fontId="4" fillId="0" borderId="0" xfId="13" applyFont="1" applyBorder="1"/>
    <xf numFmtId="168" fontId="1" fillId="0" borderId="0" xfId="13" applyFont="1" applyBorder="1"/>
    <xf numFmtId="10" fontId="4" fillId="0" borderId="0" xfId="12" applyNumberFormat="1" applyFont="1"/>
    <xf numFmtId="10" fontId="1" fillId="0" borderId="0" xfId="12" applyNumberFormat="1"/>
    <xf numFmtId="0" fontId="4" fillId="0" borderId="0" xfId="12" applyFont="1"/>
    <xf numFmtId="0" fontId="3" fillId="9" borderId="0" xfId="12" applyFont="1" applyFill="1" applyAlignment="1">
      <alignment horizontal="center"/>
    </xf>
    <xf numFmtId="169" fontId="3" fillId="9" borderId="0" xfId="12" applyNumberFormat="1" applyFont="1" applyFill="1" applyAlignment="1">
      <alignment horizontal="center"/>
    </xf>
    <xf numFmtId="0" fontId="3" fillId="9" borderId="0" xfId="12" applyFont="1" applyFill="1"/>
    <xf numFmtId="168" fontId="3" fillId="5" borderId="0" xfId="14" applyNumberFormat="1" applyFont="1" applyBorder="1"/>
    <xf numFmtId="168" fontId="3" fillId="4" borderId="0" xfId="15" applyNumberFormat="1" applyFont="1" applyBorder="1"/>
    <xf numFmtId="9" fontId="1" fillId="0" borderId="0" xfId="13" applyNumberFormat="1" applyFont="1" applyBorder="1"/>
    <xf numFmtId="0" fontId="17" fillId="0" borderId="0" xfId="12" applyFont="1"/>
    <xf numFmtId="9" fontId="4" fillId="0" borderId="0" xfId="16" applyFont="1" applyBorder="1"/>
    <xf numFmtId="168" fontId="0" fillId="0" borderId="0" xfId="13" applyFont="1" applyBorder="1"/>
    <xf numFmtId="168" fontId="0" fillId="0" borderId="0" xfId="13" applyFont="1" applyBorder="1" applyAlignment="1">
      <alignment horizontal="center"/>
    </xf>
    <xf numFmtId="168" fontId="4" fillId="0" borderId="0" xfId="13" applyFont="1" applyBorder="1" applyAlignment="1">
      <alignment horizontal="center"/>
    </xf>
    <xf numFmtId="43" fontId="0" fillId="0" borderId="0" xfId="13" applyNumberFormat="1" applyFont="1" applyBorder="1"/>
    <xf numFmtId="169" fontId="18" fillId="0" borderId="0" xfId="13" applyNumberFormat="1" applyFont="1" applyFill="1" applyBorder="1"/>
    <xf numFmtId="169" fontId="3" fillId="9" borderId="0" xfId="13" applyNumberFormat="1" applyFont="1" applyFill="1" applyBorder="1"/>
    <xf numFmtId="10" fontId="6" fillId="0" borderId="0" xfId="4" applyNumberFormat="1"/>
    <xf numFmtId="0" fontId="4" fillId="0" borderId="0" xfId="4" applyFont="1"/>
    <xf numFmtId="168" fontId="3" fillId="5" borderId="0" xfId="2" applyNumberFormat="1" applyFont="1" applyBorder="1"/>
    <xf numFmtId="168" fontId="3" fillId="4" borderId="0" xfId="1" applyNumberFormat="1" applyFont="1" applyBorder="1"/>
    <xf numFmtId="43" fontId="4" fillId="0" borderId="0" xfId="18" applyFont="1" applyBorder="1"/>
    <xf numFmtId="43" fontId="1" fillId="0" borderId="0" xfId="18" applyFont="1" applyBorder="1"/>
    <xf numFmtId="9" fontId="1" fillId="0" borderId="0" xfId="18" applyNumberFormat="1" applyFont="1" applyBorder="1"/>
    <xf numFmtId="0" fontId="3" fillId="9" borderId="0" xfId="4" applyFont="1" applyFill="1" applyAlignment="1">
      <alignment horizontal="center"/>
    </xf>
    <xf numFmtId="169" fontId="3" fillId="9" borderId="0" xfId="4" applyNumberFormat="1" applyFont="1" applyFill="1" applyAlignment="1">
      <alignment horizontal="center"/>
    </xf>
    <xf numFmtId="0" fontId="3" fillId="9" borderId="0" xfId="4" applyFont="1" applyFill="1"/>
    <xf numFmtId="0" fontId="17" fillId="0" borderId="0" xfId="4" applyFont="1"/>
    <xf numFmtId="0" fontId="1" fillId="0" borderId="0" xfId="19"/>
    <xf numFmtId="0" fontId="4" fillId="0" borderId="0" xfId="19" applyFont="1"/>
    <xf numFmtId="9" fontId="4" fillId="0" borderId="0" xfId="20" applyFont="1" applyBorder="1"/>
    <xf numFmtId="168" fontId="0" fillId="0" borderId="0" xfId="21" applyFont="1" applyBorder="1"/>
    <xf numFmtId="168" fontId="0" fillId="0" borderId="0" xfId="21" applyFont="1" applyBorder="1" applyAlignment="1">
      <alignment horizontal="center"/>
    </xf>
    <xf numFmtId="168" fontId="4" fillId="0" borderId="0" xfId="21" applyFont="1" applyBorder="1" applyAlignment="1">
      <alignment horizontal="center"/>
    </xf>
    <xf numFmtId="169" fontId="3" fillId="9" borderId="0" xfId="19" applyNumberFormat="1" applyFont="1" applyFill="1" applyAlignment="1">
      <alignment horizontal="center"/>
    </xf>
    <xf numFmtId="0" fontId="3" fillId="9" borderId="0" xfId="19" applyFont="1" applyFill="1"/>
    <xf numFmtId="43" fontId="0" fillId="0" borderId="0" xfId="21" applyNumberFormat="1" applyFont="1" applyBorder="1"/>
    <xf numFmtId="168" fontId="4" fillId="0" borderId="0" xfId="21" applyFont="1" applyBorder="1"/>
    <xf numFmtId="168" fontId="1" fillId="0" borderId="0" xfId="21" applyFont="1" applyBorder="1"/>
    <xf numFmtId="169" fontId="18" fillId="0" borderId="0" xfId="21" applyNumberFormat="1" applyFont="1" applyFill="1" applyBorder="1"/>
    <xf numFmtId="169" fontId="3" fillId="9" borderId="0" xfId="21" applyNumberFormat="1" applyFont="1" applyFill="1" applyBorder="1"/>
    <xf numFmtId="10" fontId="4" fillId="0" borderId="0" xfId="19" applyNumberFormat="1" applyFont="1"/>
    <xf numFmtId="10" fontId="1" fillId="0" borderId="0" xfId="19" applyNumberFormat="1"/>
    <xf numFmtId="0" fontId="3" fillId="9" borderId="0" xfId="19" applyFont="1" applyFill="1" applyAlignment="1">
      <alignment horizontal="center"/>
    </xf>
    <xf numFmtId="9" fontId="1" fillId="0" borderId="0" xfId="21" applyNumberFormat="1" applyFont="1" applyBorder="1"/>
    <xf numFmtId="0" fontId="17" fillId="0" borderId="0" xfId="19" applyFont="1"/>
    <xf numFmtId="0" fontId="6" fillId="0" borderId="0" xfId="4" applyAlignment="1">
      <alignment horizontal="left"/>
    </xf>
    <xf numFmtId="0" fontId="1" fillId="2" borderId="15" xfId="9" applyFont="1" applyAlignment="1"/>
    <xf numFmtId="166" fontId="6" fillId="0" borderId="0" xfId="4" applyNumberFormat="1"/>
    <xf numFmtId="167" fontId="0" fillId="0" borderId="0" xfId="22" applyNumberFormat="1" applyFont="1" applyAlignment="1">
      <alignment horizontal="center"/>
    </xf>
    <xf numFmtId="0" fontId="2" fillId="2" borderId="7" xfId="10"/>
    <xf numFmtId="164" fontId="4" fillId="2" borderId="15" xfId="9" applyNumberFormat="1" applyAlignment="1">
      <alignment horizontal="center"/>
    </xf>
    <xf numFmtId="166" fontId="10" fillId="2" borderId="7" xfId="10" applyNumberFormat="1" applyFont="1" applyAlignment="1">
      <alignment horizontal="center"/>
    </xf>
    <xf numFmtId="0" fontId="6" fillId="0" borderId="0" xfId="0" applyFont="1"/>
    <xf numFmtId="3" fontId="6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" fontId="6" fillId="0" borderId="0" xfId="4" applyNumberFormat="1" applyAlignment="1">
      <alignment horizontal="center"/>
    </xf>
    <xf numFmtId="0" fontId="22" fillId="2" borderId="5" xfId="8" applyFont="1"/>
    <xf numFmtId="0" fontId="23" fillId="0" borderId="0" xfId="4" applyFont="1"/>
    <xf numFmtId="171" fontId="1" fillId="2" borderId="15" xfId="9" applyNumberFormat="1" applyFont="1" applyAlignment="1">
      <alignment horizontal="center"/>
    </xf>
    <xf numFmtId="165" fontId="1" fillId="2" borderId="6" xfId="23" applyNumberFormat="1" applyFont="1" applyFill="1" applyBorder="1" applyAlignment="1">
      <alignment horizontal="center"/>
    </xf>
    <xf numFmtId="166" fontId="2" fillId="2" borderId="7" xfId="10" applyNumberFormat="1" applyAlignment="1">
      <alignment horizontal="center" vertical="center"/>
    </xf>
    <xf numFmtId="0" fontId="1" fillId="2" borderId="15" xfId="9" applyFont="1" applyAlignment="1">
      <alignment horizontal="left" indent="1"/>
    </xf>
    <xf numFmtId="0" fontId="6" fillId="0" borderId="0" xfId="4" applyAlignment="1">
      <alignment horizontal="left" indent="1"/>
    </xf>
    <xf numFmtId="0" fontId="1" fillId="2" borderId="15" xfId="9" applyFont="1" applyAlignment="1">
      <alignment horizontal="left" vertical="center" indent="1"/>
    </xf>
    <xf numFmtId="165" fontId="1" fillId="2" borderId="15" xfId="9" applyNumberFormat="1" applyFont="1"/>
    <xf numFmtId="171" fontId="1" fillId="2" borderId="15" xfId="9" applyNumberFormat="1" applyFont="1"/>
    <xf numFmtId="166" fontId="10" fillId="2" borderId="7" xfId="10" applyNumberFormat="1" applyFont="1" applyAlignment="1">
      <alignment horizontal="center" vertical="center"/>
    </xf>
    <xf numFmtId="171" fontId="1" fillId="2" borderId="15" xfId="9" applyNumberFormat="1" applyFont="1" applyAlignment="1">
      <alignment horizontal="center" vertical="center"/>
    </xf>
    <xf numFmtId="4" fontId="24" fillId="2" borderId="15" xfId="9" applyNumberFormat="1" applyFont="1"/>
    <xf numFmtId="3" fontId="24" fillId="2" borderId="15" xfId="9" applyNumberFormat="1" applyFont="1" applyAlignment="1">
      <alignment horizontal="center" vertical="center"/>
    </xf>
    <xf numFmtId="1" fontId="1" fillId="2" borderId="15" xfId="9" applyNumberFormat="1" applyFont="1" applyAlignment="1">
      <alignment horizontal="center" vertical="center"/>
    </xf>
    <xf numFmtId="170" fontId="1" fillId="2" borderId="15" xfId="9" applyNumberFormat="1" applyFont="1" applyAlignment="1">
      <alignment horizontal="center" vertical="center"/>
    </xf>
    <xf numFmtId="0" fontId="4" fillId="0" borderId="0" xfId="0" applyFont="1"/>
    <xf numFmtId="0" fontId="17" fillId="0" borderId="0" xfId="0" applyFont="1"/>
    <xf numFmtId="0" fontId="3" fillId="9" borderId="0" xfId="0" applyFont="1" applyFill="1"/>
    <xf numFmtId="169" fontId="3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10" fontId="0" fillId="0" borderId="0" xfId="0" applyNumberFormat="1"/>
    <xf numFmtId="10" fontId="4" fillId="0" borderId="0" xfId="0" applyNumberFormat="1" applyFont="1"/>
    <xf numFmtId="9" fontId="4" fillId="0" borderId="0" xfId="23" applyFont="1" applyBorder="1"/>
    <xf numFmtId="172" fontId="1" fillId="2" borderId="15" xfId="9" applyNumberFormat="1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indent="1"/>
    </xf>
    <xf numFmtId="0" fontId="27" fillId="0" borderId="0" xfId="0" applyFont="1" applyAlignment="1">
      <alignment horizontal="left" vertical="center" indent="1"/>
    </xf>
    <xf numFmtId="0" fontId="29" fillId="2" borderId="11" xfId="24" applyFont="1" applyAlignment="1">
      <alignment horizontal="center" vertical="center" wrapText="1"/>
    </xf>
    <xf numFmtId="170" fontId="1" fillId="2" borderId="11" xfId="24" applyNumberFormat="1" applyFont="1" applyAlignment="1">
      <alignment horizontal="center" vertical="center"/>
    </xf>
    <xf numFmtId="0" fontId="29" fillId="2" borderId="11" xfId="24" applyFont="1" applyAlignment="1">
      <alignment horizontal="center" vertical="center"/>
    </xf>
    <xf numFmtId="0" fontId="31" fillId="3" borderId="0" xfId="5" applyFont="1"/>
    <xf numFmtId="0" fontId="5" fillId="0" borderId="0" xfId="0" applyFont="1"/>
    <xf numFmtId="0" fontId="29" fillId="2" borderId="11" xfId="24" applyFont="1" applyAlignment="1">
      <alignment horizontal="left" indent="2"/>
    </xf>
    <xf numFmtId="170" fontId="25" fillId="0" borderId="0" xfId="0" applyNumberFormat="1" applyFont="1" applyAlignment="1">
      <alignment horizontal="left" vertical="center" wrapText="1"/>
    </xf>
    <xf numFmtId="0" fontId="29" fillId="2" borderId="12" xfId="25" applyFont="1" applyAlignment="1">
      <alignment horizontal="center" vertical="center"/>
    </xf>
    <xf numFmtId="0" fontId="29" fillId="2" borderId="12" xfId="25" applyFont="1" applyAlignment="1">
      <alignment horizontal="left" vertical="center" indent="1"/>
    </xf>
    <xf numFmtId="0" fontId="29" fillId="2" borderId="12" xfId="25" applyFont="1" applyAlignment="1">
      <alignment horizontal="center" vertical="center" wrapText="1"/>
    </xf>
    <xf numFmtId="0" fontId="29" fillId="0" borderId="0" xfId="0" applyFont="1" applyAlignment="1">
      <alignment horizontal="left" vertical="center" wrapText="1" indent="1"/>
    </xf>
    <xf numFmtId="1" fontId="6" fillId="0" borderId="0" xfId="4" applyNumberFormat="1"/>
    <xf numFmtId="1" fontId="6" fillId="0" borderId="0" xfId="4" applyNumberFormat="1" applyAlignment="1">
      <alignment horizontal="center" vertical="center"/>
    </xf>
    <xf numFmtId="9" fontId="5" fillId="0" borderId="0" xfId="23" applyFont="1"/>
    <xf numFmtId="0" fontId="30" fillId="11" borderId="0" xfId="0" applyFont="1" applyFill="1" applyAlignment="1">
      <alignment horizontal="center"/>
    </xf>
    <xf numFmtId="0" fontId="1" fillId="0" borderId="0" xfId="0" applyFont="1"/>
    <xf numFmtId="170" fontId="1" fillId="2" borderId="11" xfId="24" applyNumberFormat="1" applyFont="1" applyAlignment="1">
      <alignment horizontal="center" vertical="center"/>
    </xf>
    <xf numFmtId="1" fontId="1" fillId="2" borderId="12" xfId="25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9" fillId="2" borderId="12" xfId="25" applyFont="1" applyAlignment="1">
      <alignment horizontal="left" vertical="center" indent="1"/>
    </xf>
    <xf numFmtId="0" fontId="29" fillId="2" borderId="12" xfId="25" applyFont="1" applyAlignment="1">
      <alignment horizontal="center" vertical="center"/>
    </xf>
    <xf numFmtId="9" fontId="1" fillId="2" borderId="12" xfId="23" applyFont="1" applyFill="1" applyBorder="1" applyAlignment="1">
      <alignment horizontal="center"/>
    </xf>
    <xf numFmtId="170" fontId="1" fillId="2" borderId="12" xfId="25" applyNumberFormat="1" applyFont="1" applyAlignment="1">
      <alignment horizontal="center"/>
    </xf>
    <xf numFmtId="0" fontId="30" fillId="10" borderId="0" xfId="0" applyFont="1" applyFill="1" applyAlignment="1">
      <alignment horizontal="left" vertical="center" wrapText="1" indent="1"/>
    </xf>
    <xf numFmtId="166" fontId="1" fillId="2" borderId="12" xfId="25" applyNumberFormat="1" applyFont="1" applyAlignment="1">
      <alignment horizontal="center"/>
    </xf>
    <xf numFmtId="0" fontId="25" fillId="0" borderId="0" xfId="0" applyFont="1" applyAlignment="1">
      <alignment horizontal="center" vertical="center" wrapText="1"/>
    </xf>
    <xf numFmtId="0" fontId="29" fillId="2" borderId="13" xfId="25" applyFont="1" applyBorder="1" applyAlignment="1">
      <alignment horizontal="center" vertical="center"/>
    </xf>
    <xf numFmtId="0" fontId="29" fillId="2" borderId="14" xfId="25" applyFont="1" applyBorder="1" applyAlignment="1">
      <alignment horizontal="center" vertical="center"/>
    </xf>
    <xf numFmtId="0" fontId="29" fillId="2" borderId="12" xfId="25" applyFont="1" applyAlignment="1">
      <alignment vertical="center"/>
    </xf>
    <xf numFmtId="0" fontId="29" fillId="2" borderId="11" xfId="24" applyFont="1" applyAlignment="1">
      <alignment horizontal="center" vertical="center" wrapText="1"/>
    </xf>
    <xf numFmtId="0" fontId="0" fillId="0" borderId="0" xfId="0" applyAlignment="1">
      <alignment horizontal="center"/>
    </xf>
    <xf numFmtId="166" fontId="1" fillId="2" borderId="12" xfId="25" applyNumberFormat="1" applyFont="1" applyAlignment="1">
      <alignment horizontal="center" vertical="center"/>
    </xf>
    <xf numFmtId="170" fontId="1" fillId="2" borderId="12" xfId="25" applyNumberFormat="1" applyFont="1" applyAlignment="1">
      <alignment horizontal="center" vertical="center"/>
    </xf>
    <xf numFmtId="0" fontId="29" fillId="2" borderId="12" xfId="25" applyFont="1" applyAlignment="1">
      <alignment horizontal="center" vertical="center" wrapText="1"/>
    </xf>
    <xf numFmtId="0" fontId="30" fillId="10" borderId="1" xfId="6" applyFont="1" applyFill="1" applyBorder="1" applyAlignment="1">
      <alignment horizontal="left"/>
    </xf>
    <xf numFmtId="0" fontId="30" fillId="10" borderId="0" xfId="6" applyFont="1" applyFill="1" applyAlignment="1">
      <alignment horizontal="center" vertical="center"/>
    </xf>
    <xf numFmtId="0" fontId="29" fillId="2" borderId="12" xfId="25" applyFont="1" applyAlignment="1">
      <alignment horizontal="center"/>
    </xf>
    <xf numFmtId="0" fontId="3" fillId="3" borderId="1" xfId="7" applyFill="1" applyAlignment="1">
      <alignment horizontal="center" vertical="center"/>
    </xf>
    <xf numFmtId="0" fontId="2" fillId="2" borderId="5" xfId="8" applyAlignment="1">
      <alignment horizontal="center" vertical="center"/>
    </xf>
    <xf numFmtId="0" fontId="2" fillId="2" borderId="10" xfId="8" applyBorder="1" applyAlignment="1">
      <alignment horizontal="center" vertical="center"/>
    </xf>
    <xf numFmtId="0" fontId="3" fillId="3" borderId="1" xfId="7" applyFill="1" applyAlignment="1">
      <alignment horizontal="center"/>
    </xf>
    <xf numFmtId="0" fontId="13" fillId="3" borderId="4" xfId="5" applyFont="1" applyBorder="1" applyAlignment="1">
      <alignment horizontal="center" vertical="center"/>
    </xf>
    <xf numFmtId="0" fontId="13" fillId="3" borderId="2" xfId="5" applyFont="1" applyBorder="1" applyAlignment="1">
      <alignment horizontal="center" vertical="center"/>
    </xf>
    <xf numFmtId="0" fontId="2" fillId="2" borderId="8" xfId="8" applyBorder="1" applyAlignment="1">
      <alignment horizontal="center" vertical="center"/>
    </xf>
    <xf numFmtId="0" fontId="2" fillId="2" borderId="9" xfId="8" applyBorder="1" applyAlignment="1">
      <alignment horizontal="center" vertical="center"/>
    </xf>
    <xf numFmtId="168" fontId="19" fillId="0" borderId="0" xfId="17" applyNumberFormat="1" applyBorder="1" applyAlignment="1" applyProtection="1">
      <alignment horizontal="center"/>
    </xf>
    <xf numFmtId="168" fontId="3" fillId="7" borderId="0" xfId="3" applyNumberFormat="1" applyFont="1" applyBorder="1" applyAlignment="1">
      <alignment horizontal="center"/>
    </xf>
  </cellXfs>
  <cellStyles count="26">
    <cellStyle name="60% - Accent1" xfId="1" builtinId="32"/>
    <cellStyle name="60% - Accent1 2" xfId="15" xr:uid="{AE1C331E-3B20-4582-9209-0E471EC981EC}"/>
    <cellStyle name="60% - Accent3" xfId="2" builtinId="40"/>
    <cellStyle name="60% - Accent3 2" xfId="14" xr:uid="{747BB550-7C60-4176-8898-36CF794F1AE0}"/>
    <cellStyle name="Accent1 2" xfId="5" xr:uid="{5C6906E3-E6AA-45FE-95BC-8456B3DA9F2A}"/>
    <cellStyle name="Accent5 2" xfId="6" xr:uid="{BC5A4F68-8BAE-4ECF-B5BE-7020A47ECFC7}"/>
    <cellStyle name="Accent6" xfId="3" builtinId="49"/>
    <cellStyle name="Calculation" xfId="24" builtinId="22"/>
    <cellStyle name="Calculation 2" xfId="9" xr:uid="{BE3FCA4A-1A16-49CD-9998-04E068368CBD}"/>
    <cellStyle name="Calculation 2 2" xfId="25" xr:uid="{D14EA3C5-B117-4D90-A068-F1CCC1D445EA}"/>
    <cellStyle name="Comma 2" xfId="18" xr:uid="{877C43A9-E1EB-4694-B41E-EEDA924D6E8F}"/>
    <cellStyle name="Comma 2 2" xfId="21" xr:uid="{F504749E-BAA6-4A31-BCCE-2B91E9ED4409}"/>
    <cellStyle name="Comma 3" xfId="13" xr:uid="{3B3C9CEE-B203-4581-AC60-33F19B8F8B00}"/>
    <cellStyle name="Currency" xfId="22" builtinId="4"/>
    <cellStyle name="Hyperlink 2" xfId="17" xr:uid="{2A093B65-C464-445B-8B15-678C3976E17D}"/>
    <cellStyle name="Linked Cell 2" xfId="7" xr:uid="{E9FF11F9-7FEF-4128-B7A5-EFC9065F9670}"/>
    <cellStyle name="Normal" xfId="0" builtinId="0"/>
    <cellStyle name="Normal 2" xfId="4" xr:uid="{E1EBA451-AC2F-484A-804B-7D0934B3324F}"/>
    <cellStyle name="Normal 2 2" xfId="19" xr:uid="{69787138-46E8-49BB-96EF-A218AA978A64}"/>
    <cellStyle name="Normal 3" xfId="12" xr:uid="{6FA92770-C9EF-4FD5-9F1C-C0077E8E2AD1}"/>
    <cellStyle name="Output 2" xfId="8" xr:uid="{B1F4DBE3-B456-434F-88F1-6944916499EE}"/>
    <cellStyle name="Output 2 2" xfId="10" xr:uid="{66ECBA5C-E4F6-4B38-A2FA-391899D95498}"/>
    <cellStyle name="Percent" xfId="23" builtinId="5"/>
    <cellStyle name="Percent 2" xfId="11" xr:uid="{9EE9D9C5-8B90-4DC6-A000-D3C9665BC074}"/>
    <cellStyle name="Percent 2 2" xfId="20" xr:uid="{A9EEA756-D3AD-415D-B5EF-EF31D0971DF0}"/>
    <cellStyle name="Percent 3" xfId="16" xr:uid="{DF90EAB9-95C8-4D7E-99CE-8CC56C0DD586}"/>
  </cellStyles>
  <dxfs count="152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2" defaultPivotStyle="PivotStyleLight16"/>
  <colors>
    <mruColors>
      <color rgb="FFFF5353"/>
      <color rgb="FF00C459"/>
      <color rgb="FFFF6600"/>
      <color rgb="FF00CC00"/>
      <color rgb="FF66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externalLink" Target="externalLinks/externalLink6.xml"/><Relationship Id="rId40" Type="http://schemas.openxmlformats.org/officeDocument/2006/relationships/externalLink" Target="externalLinks/externalLink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none" strike="noStrike" baseline="0">
                <a:effectLst/>
                <a:latin typeface="+mj-lt"/>
              </a:rPr>
              <a:t>Tata Motors Implied Share Prices vs Current Market Price (CMP)</a:t>
            </a:r>
            <a:endParaRPr lang="en-US" b="1" i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2299018178281"/>
          <c:y val="0.26257308570447413"/>
          <c:w val="0.87184326496225006"/>
          <c:h val="0.63584718045540523"/>
        </c:manualLayout>
      </c:layout>
      <c:barChart>
        <c:barDir val="col"/>
        <c:grouping val="clustered"/>
        <c:varyColors val="0"/>
        <c:ser>
          <c:idx val="8"/>
          <c:order val="0"/>
          <c:tx>
            <c:v>CMP</c:v>
          </c:tx>
          <c:spPr>
            <a:solidFill>
              <a:srgbClr val="FF5353"/>
            </a:solidFill>
            <a:ln>
              <a:noFill/>
            </a:ln>
            <a:effectLst/>
          </c:spPr>
          <c:invertIfNegative val="0"/>
          <c:dPt>
            <c:idx val="0"/>
            <c:invertIfNegative val="1"/>
            <c:bubble3D val="0"/>
            <c:spPr>
              <a:solidFill>
                <a:srgbClr val="FF5353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E01-4B5A-98FD-C8963B1BDBE9}"/>
              </c:ext>
            </c:extLst>
          </c:dPt>
          <c:val>
            <c:numRef>
              <c:f>Summary!$C$9</c:f>
              <c:numCache>
                <c:formatCode>[$₹-439]#,##0.00</c:formatCode>
                <c:ptCount val="1"/>
                <c:pt idx="0">
                  <c:v>668.44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01-4B5A-98FD-C8963B1BDBE9}"/>
            </c:ext>
          </c:extLst>
        </c:ser>
        <c:ser>
          <c:idx val="0"/>
          <c:order val="1"/>
          <c:tx>
            <c:strRef>
              <c:f>Summary!$C$14</c:f>
              <c:strCache>
                <c:ptCount val="1"/>
                <c:pt idx="0">
                  <c:v>EV/Revenue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Summary!$B$15:$B$17</c:f>
              <c:strCache>
                <c:ptCount val="3"/>
                <c:pt idx="0">
                  <c:v>Indian Only</c:v>
                </c:pt>
                <c:pt idx="1">
                  <c:v>Global Only</c:v>
                </c:pt>
                <c:pt idx="2">
                  <c:v>Blended</c:v>
                </c:pt>
              </c:strCache>
            </c:strRef>
          </c:cat>
          <c:val>
            <c:numRef>
              <c:f>Summary!$C$15:$C$17</c:f>
              <c:numCache>
                <c:formatCode>[$₹-439]#,##0.00</c:formatCode>
                <c:ptCount val="3"/>
                <c:pt idx="0">
                  <c:v>2773.4918125832219</c:v>
                </c:pt>
                <c:pt idx="1">
                  <c:v>784.39913584445219</c:v>
                </c:pt>
                <c:pt idx="2">
                  <c:v>2144.6203171964917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1-4B5A-98FD-C8963B1BDBE9}"/>
            </c:ext>
          </c:extLst>
        </c:ser>
        <c:ser>
          <c:idx val="2"/>
          <c:order val="2"/>
          <c:tx>
            <c:strRef>
              <c:f>Summary!$E$14</c:f>
              <c:strCache>
                <c:ptCount val="1"/>
                <c:pt idx="0">
                  <c:v>EV/EBITDA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Summary!$B$15:$B$17</c:f>
              <c:strCache>
                <c:ptCount val="3"/>
                <c:pt idx="0">
                  <c:v>Indian Only</c:v>
                </c:pt>
                <c:pt idx="1">
                  <c:v>Global Only</c:v>
                </c:pt>
                <c:pt idx="2">
                  <c:v>Blended</c:v>
                </c:pt>
              </c:strCache>
            </c:strRef>
          </c:cat>
          <c:val>
            <c:numRef>
              <c:f>Summary!$E$15:$E$17</c:f>
              <c:numCache>
                <c:formatCode>[$₹-439]#,##0.00</c:formatCode>
                <c:ptCount val="3"/>
                <c:pt idx="0">
                  <c:v>2753.546269079467</c:v>
                </c:pt>
                <c:pt idx="1">
                  <c:v>1479.608202687099</c:v>
                </c:pt>
                <c:pt idx="2">
                  <c:v>2134.0854582367347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01-4B5A-98FD-C8963B1BDBE9}"/>
            </c:ext>
          </c:extLst>
        </c:ser>
        <c:ser>
          <c:idx val="4"/>
          <c:order val="3"/>
          <c:tx>
            <c:strRef>
              <c:f>Summary!$G$14</c:f>
              <c:strCache>
                <c:ptCount val="1"/>
                <c:pt idx="0">
                  <c:v>P/E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Summary!$B$15:$B$17</c:f>
              <c:strCache>
                <c:ptCount val="3"/>
                <c:pt idx="0">
                  <c:v>Indian Only</c:v>
                </c:pt>
                <c:pt idx="1">
                  <c:v>Global Only</c:v>
                </c:pt>
                <c:pt idx="2">
                  <c:v>Blended</c:v>
                </c:pt>
              </c:strCache>
            </c:strRef>
          </c:cat>
          <c:val>
            <c:numRef>
              <c:f>Summary!$G$15:$G$17</c:f>
              <c:numCache>
                <c:formatCode>[$₹-439]#,##0.00</c:formatCode>
                <c:ptCount val="3"/>
                <c:pt idx="0">
                  <c:v>1997.4005022811682</c:v>
                </c:pt>
                <c:pt idx="1">
                  <c:v>564.0008159870232</c:v>
                </c:pt>
                <c:pt idx="2">
                  <c:v>1424.04062776351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01-4B5A-98FD-C8963B1BDBE9}"/>
            </c:ext>
          </c:extLst>
        </c:ser>
        <c:ser>
          <c:idx val="6"/>
          <c:order val="4"/>
          <c:tx>
            <c:strRef>
              <c:f>Summary!$I$14</c:f>
              <c:strCache>
                <c:ptCount val="1"/>
                <c:pt idx="0">
                  <c:v>Mean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49B6673-01A5-42D8-812E-14B137A99E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E01-4B5A-98FD-C8963B1BDB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87D4FB-3089-46F4-B153-10AF51E1DC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E01-4B5A-98FD-C8963B1BDB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B54AC3E-6272-4107-B2C8-60C869474E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E01-4B5A-98FD-C8963B1BDBE9}"/>
                </c:ext>
              </c:extLst>
            </c:dLbl>
            <c:numFmt formatCode="[$₹-439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Summary!$B$15:$B$17</c:f>
              <c:strCache>
                <c:ptCount val="3"/>
                <c:pt idx="0">
                  <c:v>Indian Only</c:v>
                </c:pt>
                <c:pt idx="1">
                  <c:v>Global Only</c:v>
                </c:pt>
                <c:pt idx="2">
                  <c:v>Blended</c:v>
                </c:pt>
              </c:strCache>
            </c:strRef>
          </c:cat>
          <c:val>
            <c:numRef>
              <c:f>Summary!$I$15:$I$17</c:f>
              <c:numCache>
                <c:formatCode>[$₹-439]#,##0.00</c:formatCode>
                <c:ptCount val="3"/>
                <c:pt idx="0">
                  <c:v>2508.1461946479526</c:v>
                </c:pt>
                <c:pt idx="1">
                  <c:v>942.66938483952481</c:v>
                </c:pt>
                <c:pt idx="2">
                  <c:v>1900.9154677322456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Summary!$L$42:$L$44</c15:f>
                <c15:dlblRangeCache>
                  <c:ptCount val="3"/>
                  <c:pt idx="0">
                    <c:v>275%</c:v>
                  </c:pt>
                  <c:pt idx="1">
                    <c:v>41%</c:v>
                  </c:pt>
                  <c:pt idx="2">
                    <c:v>184%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FE01-4B5A-98FD-C8963B1BDBE9}"/>
            </c:ext>
          </c:extLst>
        </c:ser>
        <c:ser>
          <c:idx val="7"/>
          <c:order val="5"/>
          <c:tx>
            <c:strRef>
              <c:f>Summary!$J$14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E4BD470-E159-4EA4-AD16-362AA17203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E01-4B5A-98FD-C8963B1BDB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FFF7EC-EFDE-4160-ACC4-F6A22FED66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E01-4B5A-98FD-C8963B1BDB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E62FFC2-FA9C-4AE5-B2EE-6FDF951E49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E01-4B5A-98FD-C8963B1BDB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Summary!$B$15:$B$17</c:f>
              <c:strCache>
                <c:ptCount val="3"/>
                <c:pt idx="0">
                  <c:v>Indian Only</c:v>
                </c:pt>
                <c:pt idx="1">
                  <c:v>Global Only</c:v>
                </c:pt>
                <c:pt idx="2">
                  <c:v>Blended</c:v>
                </c:pt>
              </c:strCache>
            </c:strRef>
          </c:cat>
          <c:val>
            <c:numRef>
              <c:f>Summary!$J$15:$J$17</c:f>
              <c:numCache>
                <c:formatCode>[$₹-439]#,##0.00</c:formatCode>
                <c:ptCount val="3"/>
                <c:pt idx="0">
                  <c:v>2753.546269079467</c:v>
                </c:pt>
                <c:pt idx="1">
                  <c:v>784.39913584445219</c:v>
                </c:pt>
                <c:pt idx="2">
                  <c:v>2134.0854582367347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Summary!$M$42:$M$44</c15:f>
                <c15:dlblRangeCache>
                  <c:ptCount val="3"/>
                  <c:pt idx="0">
                    <c:v>312%</c:v>
                  </c:pt>
                  <c:pt idx="1">
                    <c:v>17%</c:v>
                  </c:pt>
                  <c:pt idx="2">
                    <c:v>219%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FE01-4B5A-98FD-C8963B1BD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861896"/>
        <c:axId val="788862976"/>
      </c:barChart>
      <c:catAx>
        <c:axId val="78886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62976"/>
        <c:crosses val="autoZero"/>
        <c:auto val="1"/>
        <c:lblAlgn val="ctr"/>
        <c:lblOffset val="100"/>
        <c:noMultiLvlLbl val="0"/>
      </c:catAx>
      <c:valAx>
        <c:axId val="788862976"/>
        <c:scaling>
          <c:orientation val="minMax"/>
        </c:scaling>
        <c:delete val="0"/>
        <c:axPos val="l"/>
        <c:numFmt formatCode="[$₹-43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6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41</xdr:row>
      <xdr:rowOff>76200</xdr:rowOff>
    </xdr:from>
    <xdr:to>
      <xdr:col>9</xdr:col>
      <xdr:colOff>314324</xdr:colOff>
      <xdr:row>57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B6BF7-9CEE-DC89-14C5-F28913363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Eicher%20Motors.xlsx" TargetMode="External"/><Relationship Id="rId1" Type="http://schemas.openxmlformats.org/officeDocument/2006/relationships/externalLinkPath" Target="file:///C:\Users\Pratyush%20singh\Downloads\Eicher%20Motor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Ashok%20Leyland.xlsx" TargetMode="External"/><Relationship Id="rId1" Type="http://schemas.openxmlformats.org/officeDocument/2006/relationships/externalLinkPath" Target="file:///C:\Users\Pratyush%20singh\Downloads\Ashok%20Leyland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Bajaj%20Auto.xlsx" TargetMode="External"/><Relationship Id="rId1" Type="http://schemas.openxmlformats.org/officeDocument/2006/relationships/externalLinkPath" Target="file:///C:\Users\Pratyush%20singh\Downloads\Bajaj%20Aut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Force%20Motors.xlsx" TargetMode="External"/><Relationship Id="rId1" Type="http://schemas.openxmlformats.org/officeDocument/2006/relationships/externalLinkPath" Target="file:///C:\Users\Pratyush%20singh\Downloads\Force%20Motor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M%20&amp;%20M.xlsx" TargetMode="External"/><Relationship Id="rId1" Type="http://schemas.openxmlformats.org/officeDocument/2006/relationships/externalLinkPath" Target="file:///C:\Users\Pratyush%20singh\Downloads\M%20&amp;%20M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esktop\Tata%20Motors%20Comps%20Valuation.xlsx" TargetMode="External"/><Relationship Id="rId1" Type="http://schemas.openxmlformats.org/officeDocument/2006/relationships/externalLinkPath" Target="file:///C:\Users\Pratyush%20singh\Desktop\Tata%20Motors%20Comps%20Valuation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Tata%20Motors%20(4).xlsx" TargetMode="External"/><Relationship Id="rId1" Type="http://schemas.openxmlformats.org/officeDocument/2006/relationships/externalLinkPath" Target="file:///C:\Users\Pratyush%20singh\Downloads\Tata%20Motors%20(4)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Maruti%20Suzuki.xlsx" TargetMode="External"/><Relationship Id="rId1" Type="http://schemas.openxmlformats.org/officeDocument/2006/relationships/externalLinkPath" Target="file:///C:\Users\Pratyush%20singh\Downloads\Maruti%20Suzuki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Hyundai%20Motor%20I.xlsx" TargetMode="External"/><Relationship Id="rId1" Type="http://schemas.openxmlformats.org/officeDocument/2006/relationships/externalLinkPath" Target="file:///C:\Users\Pratyush%20singh\Downloads\Hyundai%20Motor%20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>
        <row r="1">
          <cell r="B1" t="str">
            <v>EICHER MOTORS LTD</v>
          </cell>
          <cell r="E1"/>
        </row>
        <row r="6">
          <cell r="B6"/>
        </row>
        <row r="8">
          <cell r="B8">
            <v>5660</v>
          </cell>
        </row>
        <row r="16">
          <cell r="B16">
            <v>42460</v>
          </cell>
          <cell r="C16">
            <v>42825</v>
          </cell>
          <cell r="D16">
            <v>43190</v>
          </cell>
          <cell r="E16">
            <v>43555</v>
          </cell>
          <cell r="F16">
            <v>43921</v>
          </cell>
          <cell r="G16">
            <v>44286</v>
          </cell>
          <cell r="H16">
            <v>44651</v>
          </cell>
          <cell r="I16">
            <v>45016</v>
          </cell>
          <cell r="J16">
            <v>45382</v>
          </cell>
          <cell r="K16">
            <v>45747</v>
          </cell>
        </row>
        <row r="17">
          <cell r="B17">
            <v>6173.46</v>
          </cell>
          <cell r="C17">
            <v>7033.36</v>
          </cell>
          <cell r="D17">
            <v>8964.9599999999991</v>
          </cell>
          <cell r="E17">
            <v>9797.06</v>
          </cell>
          <cell r="F17">
            <v>9153.58</v>
          </cell>
          <cell r="G17">
            <v>8720.35</v>
          </cell>
          <cell r="H17">
            <v>10297.83</v>
          </cell>
          <cell r="I17">
            <v>14442.18</v>
          </cell>
          <cell r="J17">
            <v>16535.78</v>
          </cell>
          <cell r="K17">
            <v>18870.349999999999</v>
          </cell>
        </row>
        <row r="18">
          <cell r="B18">
            <v>3497.73</v>
          </cell>
          <cell r="C18">
            <v>3725.72</v>
          </cell>
          <cell r="D18">
            <v>4679.07</v>
          </cell>
          <cell r="E18">
            <v>5269.64</v>
          </cell>
          <cell r="F18">
            <v>4914.58</v>
          </cell>
          <cell r="G18">
            <v>5319.85</v>
          </cell>
          <cell r="H18">
            <v>6107.28</v>
          </cell>
          <cell r="I18">
            <v>8281.0400000000009</v>
          </cell>
          <cell r="J18">
            <v>9187.35</v>
          </cell>
          <cell r="K18">
            <v>10460.59</v>
          </cell>
        </row>
        <row r="19">
          <cell r="B19">
            <v>62.05</v>
          </cell>
          <cell r="C19">
            <v>19.61</v>
          </cell>
          <cell r="D19">
            <v>33.869999999999997</v>
          </cell>
          <cell r="E19">
            <v>210.16</v>
          </cell>
          <cell r="F19">
            <v>-84.09</v>
          </cell>
          <cell r="G19">
            <v>205.9</v>
          </cell>
          <cell r="H19">
            <v>148.59</v>
          </cell>
          <cell r="I19">
            <v>63.25</v>
          </cell>
          <cell r="J19">
            <v>197.03</v>
          </cell>
          <cell r="K19">
            <v>163.51</v>
          </cell>
        </row>
        <row r="20">
          <cell r="B20">
            <v>46.18</v>
          </cell>
          <cell r="C20">
            <v>46.02</v>
          </cell>
          <cell r="D20">
            <v>52.41</v>
          </cell>
          <cell r="E20">
            <v>66.959999999999994</v>
          </cell>
          <cell r="F20">
            <v>62.86</v>
          </cell>
          <cell r="G20">
            <v>52.98</v>
          </cell>
          <cell r="H20">
            <v>55.78</v>
          </cell>
          <cell r="I20">
            <v>72.97</v>
          </cell>
          <cell r="J20">
            <v>80.61</v>
          </cell>
        </row>
        <row r="21">
          <cell r="B21">
            <v>173.76</v>
          </cell>
          <cell r="C21">
            <v>173.09</v>
          </cell>
          <cell r="D21">
            <v>210.76</v>
          </cell>
          <cell r="E21">
            <v>263.49</v>
          </cell>
          <cell r="F21">
            <v>256.58</v>
          </cell>
          <cell r="G21">
            <v>250.85</v>
          </cell>
          <cell r="H21">
            <v>332.41</v>
          </cell>
          <cell r="I21">
            <v>397.21</v>
          </cell>
          <cell r="J21">
            <v>394.36</v>
          </cell>
        </row>
        <row r="22">
          <cell r="B22">
            <v>350.21</v>
          </cell>
          <cell r="C22">
            <v>426.28</v>
          </cell>
          <cell r="D22">
            <v>573.67999999999995</v>
          </cell>
          <cell r="E22">
            <v>702.44</v>
          </cell>
          <cell r="F22">
            <v>795.78</v>
          </cell>
          <cell r="G22">
            <v>843.23</v>
          </cell>
          <cell r="H22">
            <v>821.02</v>
          </cell>
          <cell r="I22">
            <v>1001.93</v>
          </cell>
          <cell r="J22">
            <v>1235.69</v>
          </cell>
          <cell r="K22">
            <v>1391.23</v>
          </cell>
        </row>
        <row r="23">
          <cell r="B23">
            <v>397.4</v>
          </cell>
          <cell r="C23">
            <v>412.25</v>
          </cell>
          <cell r="D23">
            <v>565.66</v>
          </cell>
          <cell r="E23">
            <v>654.82000000000005</v>
          </cell>
          <cell r="F23">
            <v>667.16</v>
          </cell>
          <cell r="G23">
            <v>522.52</v>
          </cell>
          <cell r="H23">
            <v>815.51</v>
          </cell>
          <cell r="I23">
            <v>1164.58</v>
          </cell>
          <cell r="J23">
            <v>1384.91</v>
          </cell>
        </row>
        <row r="24">
          <cell r="B24">
            <v>80.5</v>
          </cell>
          <cell r="C24">
            <v>95.3</v>
          </cell>
          <cell r="D24">
            <v>108.62</v>
          </cell>
          <cell r="E24">
            <v>145.63</v>
          </cell>
          <cell r="F24">
            <v>189.64</v>
          </cell>
          <cell r="G24">
            <v>153.59</v>
          </cell>
          <cell r="H24">
            <v>136.85</v>
          </cell>
          <cell r="I24">
            <v>141.97999999999999</v>
          </cell>
          <cell r="J24">
            <v>120.52</v>
          </cell>
          <cell r="K24">
            <v>2470.0100000000002</v>
          </cell>
        </row>
        <row r="25">
          <cell r="B25">
            <v>325.91000000000003</v>
          </cell>
          <cell r="C25">
            <v>416.44</v>
          </cell>
          <cell r="D25">
            <v>535.66</v>
          </cell>
          <cell r="E25">
            <v>700.66</v>
          </cell>
          <cell r="F25">
            <v>572.41999999999996</v>
          </cell>
          <cell r="G25">
            <v>482.34</v>
          </cell>
          <cell r="H25">
            <v>495.65</v>
          </cell>
          <cell r="I25">
            <v>908.14</v>
          </cell>
          <cell r="J25">
            <v>1521.13</v>
          </cell>
          <cell r="K25">
            <v>2004.71</v>
          </cell>
        </row>
        <row r="26">
          <cell r="B26">
            <v>136.6</v>
          </cell>
          <cell r="C26">
            <v>153.81</v>
          </cell>
          <cell r="D26">
            <v>223.3</v>
          </cell>
          <cell r="E26">
            <v>300.27999999999997</v>
          </cell>
          <cell r="F26">
            <v>381.54</v>
          </cell>
          <cell r="G26">
            <v>450.73</v>
          </cell>
          <cell r="H26">
            <v>451.93</v>
          </cell>
          <cell r="I26">
            <v>526.21</v>
          </cell>
          <cell r="J26">
            <v>597.6</v>
          </cell>
          <cell r="K26">
            <v>729.33</v>
          </cell>
        </row>
        <row r="27">
          <cell r="B27">
            <v>2.12</v>
          </cell>
          <cell r="C27">
            <v>3.56</v>
          </cell>
          <cell r="D27">
            <v>5.34</v>
          </cell>
          <cell r="E27">
            <v>7.33</v>
          </cell>
          <cell r="F27">
            <v>18.88</v>
          </cell>
          <cell r="G27">
            <v>16.45</v>
          </cell>
          <cell r="H27">
            <v>18.78</v>
          </cell>
          <cell r="I27">
            <v>28.02</v>
          </cell>
          <cell r="J27">
            <v>50.88</v>
          </cell>
          <cell r="K27">
            <v>54.34</v>
          </cell>
        </row>
        <row r="28">
          <cell r="B28">
            <v>1876.92</v>
          </cell>
          <cell r="C28">
            <v>2433.38</v>
          </cell>
          <cell r="D28">
            <v>3115.65</v>
          </cell>
          <cell r="E28">
            <v>3297.29</v>
          </cell>
          <cell r="F28">
            <v>2354.89</v>
          </cell>
          <cell r="G28">
            <v>1798.39</v>
          </cell>
          <cell r="H28">
            <v>2202.5100000000002</v>
          </cell>
          <cell r="I28">
            <v>3799.63</v>
          </cell>
          <cell r="J28">
            <v>5202.0200000000004</v>
          </cell>
          <cell r="K28">
            <v>5933.07</v>
          </cell>
        </row>
        <row r="29">
          <cell r="B29">
            <v>538.88</v>
          </cell>
          <cell r="C29">
            <v>720.3</v>
          </cell>
          <cell r="D29">
            <v>935.93</v>
          </cell>
          <cell r="E29">
            <v>1077.04</v>
          </cell>
          <cell r="F29">
            <v>527.45000000000005</v>
          </cell>
          <cell r="G29">
            <v>451.5</v>
          </cell>
          <cell r="H29">
            <v>525.91</v>
          </cell>
          <cell r="I29">
            <v>885.69</v>
          </cell>
          <cell r="J29">
            <v>1201.01</v>
          </cell>
          <cell r="K29">
            <v>1198.6300000000001</v>
          </cell>
        </row>
        <row r="30">
          <cell r="B30">
            <v>1338.04</v>
          </cell>
          <cell r="C30">
            <v>1667.08</v>
          </cell>
          <cell r="D30">
            <v>1959.67</v>
          </cell>
          <cell r="E30">
            <v>2202.73</v>
          </cell>
          <cell r="F30">
            <v>1827.44</v>
          </cell>
          <cell r="G30">
            <v>1346.89</v>
          </cell>
          <cell r="H30">
            <v>1676.6</v>
          </cell>
          <cell r="I30">
            <v>2913.94</v>
          </cell>
          <cell r="J30">
            <v>4001.01</v>
          </cell>
          <cell r="K30">
            <v>4734.4399999999996</v>
          </cell>
        </row>
        <row r="31">
          <cell r="B31">
            <v>271.60000000000002</v>
          </cell>
          <cell r="C31">
            <v>272.10000000000002</v>
          </cell>
          <cell r="D31">
            <v>299.86</v>
          </cell>
          <cell r="E31">
            <v>341</v>
          </cell>
          <cell r="F31">
            <v>341.25</v>
          </cell>
          <cell r="G31">
            <v>464.61</v>
          </cell>
          <cell r="H31">
            <v>574.14</v>
          </cell>
          <cell r="I31">
            <v>1011.95</v>
          </cell>
          <cell r="J31">
            <v>1396.38</v>
          </cell>
          <cell r="K31">
            <v>1919.4</v>
          </cell>
        </row>
        <row r="56">
          <cell r="B56">
            <v>42460</v>
          </cell>
          <cell r="C56">
            <v>42825</v>
          </cell>
          <cell r="D56">
            <v>43190</v>
          </cell>
          <cell r="E56">
            <v>43555</v>
          </cell>
          <cell r="F56">
            <v>43921</v>
          </cell>
          <cell r="G56">
            <v>44286</v>
          </cell>
          <cell r="H56">
            <v>44651</v>
          </cell>
          <cell r="I56">
            <v>45016</v>
          </cell>
          <cell r="J56">
            <v>45382</v>
          </cell>
          <cell r="K56">
            <v>45747</v>
          </cell>
        </row>
        <row r="57">
          <cell r="B57">
            <v>27.16</v>
          </cell>
          <cell r="C57">
            <v>27.21</v>
          </cell>
          <cell r="D57">
            <v>27.26</v>
          </cell>
          <cell r="E57">
            <v>27.28</v>
          </cell>
          <cell r="F57">
            <v>27.3</v>
          </cell>
          <cell r="G57">
            <v>27.33</v>
          </cell>
          <cell r="H57">
            <v>27.34</v>
          </cell>
          <cell r="I57">
            <v>27.35</v>
          </cell>
          <cell r="J57">
            <v>27.38</v>
          </cell>
          <cell r="K57">
            <v>27.42</v>
          </cell>
        </row>
        <row r="58">
          <cell r="B58">
            <v>3625.93</v>
          </cell>
          <cell r="C58">
            <v>5317.86</v>
          </cell>
          <cell r="D58">
            <v>7002.81</v>
          </cell>
          <cell r="E58">
            <v>8891.44</v>
          </cell>
          <cell r="F58">
            <v>9953.6299999999992</v>
          </cell>
          <cell r="G58">
            <v>11410.75</v>
          </cell>
          <cell r="H58">
            <v>12580.66</v>
          </cell>
          <cell r="I58">
            <v>14962.93</v>
          </cell>
          <cell r="J58">
            <v>18018.150000000001</v>
          </cell>
          <cell r="K58">
            <v>21269.07</v>
          </cell>
        </row>
        <row r="59">
          <cell r="B59">
            <v>22.57</v>
          </cell>
          <cell r="C59">
            <v>111.85</v>
          </cell>
          <cell r="D59">
            <v>150.84</v>
          </cell>
          <cell r="E59">
            <v>186.76</v>
          </cell>
          <cell r="F59">
            <v>249</v>
          </cell>
          <cell r="G59">
            <v>219.25</v>
          </cell>
          <cell r="H59">
            <v>107.71</v>
          </cell>
          <cell r="I59">
            <v>288.41000000000003</v>
          </cell>
          <cell r="J59">
            <v>419.44</v>
          </cell>
          <cell r="K59">
            <v>458.13</v>
          </cell>
        </row>
        <row r="60">
          <cell r="B60">
            <v>1263.3499999999999</v>
          </cell>
          <cell r="C60">
            <v>1552.16</v>
          </cell>
          <cell r="D60">
            <v>2341.3200000000002</v>
          </cell>
          <cell r="E60">
            <v>2281.35</v>
          </cell>
          <cell r="F60">
            <v>2219.79</v>
          </cell>
          <cell r="G60">
            <v>2901.28</v>
          </cell>
          <cell r="H60">
            <v>3424.12</v>
          </cell>
          <cell r="I60">
            <v>3918.95</v>
          </cell>
          <cell r="J60">
            <v>4650.16</v>
          </cell>
          <cell r="K60">
            <v>5419.79</v>
          </cell>
        </row>
        <row r="61">
          <cell r="B61">
            <v>4939.01</v>
          </cell>
          <cell r="C61">
            <v>7009.08</v>
          </cell>
          <cell r="D61">
            <v>9522.23</v>
          </cell>
          <cell r="E61">
            <v>11386.83</v>
          </cell>
          <cell r="F61">
            <v>12449.72</v>
          </cell>
          <cell r="G61">
            <v>14558.61</v>
          </cell>
          <cell r="H61">
            <v>16139.83</v>
          </cell>
          <cell r="I61">
            <v>19197.64</v>
          </cell>
          <cell r="J61">
            <v>23115.13</v>
          </cell>
          <cell r="K61">
            <v>27174.41</v>
          </cell>
        </row>
        <row r="62">
          <cell r="B62">
            <v>789.59</v>
          </cell>
          <cell r="C62">
            <v>872.78</v>
          </cell>
          <cell r="D62">
            <v>1501.69</v>
          </cell>
          <cell r="E62">
            <v>1874.58</v>
          </cell>
          <cell r="F62">
            <v>2377.52</v>
          </cell>
          <cell r="G62">
            <v>2433.3000000000002</v>
          </cell>
          <cell r="H62">
            <v>2424.2800000000002</v>
          </cell>
          <cell r="I62">
            <v>2689.99</v>
          </cell>
          <cell r="J62">
            <v>2914.38</v>
          </cell>
          <cell r="K62">
            <v>3854.64</v>
          </cell>
        </row>
        <row r="63">
          <cell r="B63">
            <v>94.48</v>
          </cell>
          <cell r="C63">
            <v>373.77</v>
          </cell>
          <cell r="D63">
            <v>333.21</v>
          </cell>
          <cell r="E63">
            <v>449.74</v>
          </cell>
          <cell r="F63">
            <v>312.17</v>
          </cell>
          <cell r="G63">
            <v>314.29000000000002</v>
          </cell>
          <cell r="H63">
            <v>504.78</v>
          </cell>
          <cell r="I63">
            <v>472.07</v>
          </cell>
          <cell r="J63">
            <v>555.1</v>
          </cell>
          <cell r="K63">
            <v>110.3</v>
          </cell>
        </row>
        <row r="64">
          <cell r="B64">
            <v>3388.24</v>
          </cell>
          <cell r="C64">
            <v>4987.13</v>
          </cell>
          <cell r="D64">
            <v>5580.84</v>
          </cell>
          <cell r="E64">
            <v>4922.5200000000004</v>
          </cell>
          <cell r="F64">
            <v>5748.77</v>
          </cell>
          <cell r="G64">
            <v>3902.14</v>
          </cell>
          <cell r="H64">
            <v>7720.58</v>
          </cell>
          <cell r="I64">
            <v>12320.66</v>
          </cell>
          <cell r="J64">
            <v>13526.96</v>
          </cell>
          <cell r="K64">
            <v>14790.9</v>
          </cell>
        </row>
        <row r="65">
          <cell r="B65">
            <v>666.7</v>
          </cell>
          <cell r="C65">
            <v>775.4</v>
          </cell>
          <cell r="D65">
            <v>2106.4899999999998</v>
          </cell>
          <cell r="E65">
            <v>4139.99</v>
          </cell>
          <cell r="F65">
            <v>4011.26</v>
          </cell>
          <cell r="G65">
            <v>7908.88</v>
          </cell>
          <cell r="H65">
            <v>5490.19</v>
          </cell>
          <cell r="I65">
            <v>3714.92</v>
          </cell>
          <cell r="J65">
            <v>6118.69</v>
          </cell>
          <cell r="K65">
            <v>8418.57</v>
          </cell>
        </row>
        <row r="66">
          <cell r="B66">
            <v>4939.01</v>
          </cell>
          <cell r="C66">
            <v>7009.08</v>
          </cell>
          <cell r="D66">
            <v>9522.23</v>
          </cell>
          <cell r="E66">
            <v>11386.83</v>
          </cell>
          <cell r="F66">
            <v>12449.72</v>
          </cell>
          <cell r="G66">
            <v>14558.61</v>
          </cell>
          <cell r="H66">
            <v>16139.83</v>
          </cell>
          <cell r="I66">
            <v>19197.64</v>
          </cell>
          <cell r="J66">
            <v>23115.13</v>
          </cell>
          <cell r="K66">
            <v>27174.41</v>
          </cell>
        </row>
        <row r="67">
          <cell r="B67">
            <v>32.64</v>
          </cell>
          <cell r="C67">
            <v>50.04</v>
          </cell>
          <cell r="D67">
            <v>68</v>
          </cell>
          <cell r="E67">
            <v>84.29</v>
          </cell>
          <cell r="F67">
            <v>86.76</v>
          </cell>
          <cell r="G67">
            <v>158.16</v>
          </cell>
          <cell r="H67">
            <v>302.04000000000002</v>
          </cell>
          <cell r="I67">
            <v>368.92</v>
          </cell>
          <cell r="J67">
            <v>373.78</v>
          </cell>
          <cell r="K67">
            <v>549.64</v>
          </cell>
        </row>
        <row r="68">
          <cell r="B68">
            <v>308.39</v>
          </cell>
          <cell r="C68">
            <v>335.9</v>
          </cell>
          <cell r="D68">
            <v>394.64</v>
          </cell>
          <cell r="E68">
            <v>633.38</v>
          </cell>
          <cell r="F68">
            <v>572.35</v>
          </cell>
          <cell r="G68">
            <v>874.6</v>
          </cell>
          <cell r="H68">
            <v>1132.4000000000001</v>
          </cell>
          <cell r="I68">
            <v>1278.44</v>
          </cell>
          <cell r="J68">
            <v>1409.64</v>
          </cell>
          <cell r="K68">
            <v>1563.75</v>
          </cell>
        </row>
        <row r="90">
          <cell r="B90">
            <v>1918.06</v>
          </cell>
          <cell r="C90">
            <v>2558.75</v>
          </cell>
          <cell r="D90">
            <v>2837.27</v>
          </cell>
          <cell r="E90">
            <v>2054.77</v>
          </cell>
          <cell r="F90">
            <v>1309.5899999999999</v>
          </cell>
          <cell r="G90">
            <v>2603.9499999999998</v>
          </cell>
          <cell r="H90">
            <v>2457.15</v>
          </cell>
          <cell r="I90">
            <v>2948.85</v>
          </cell>
          <cell r="J90">
            <v>4019.3</v>
          </cell>
          <cell r="K90">
            <v>5347.7</v>
          </cell>
        </row>
        <row r="93">
          <cell r="B93">
            <v>27.16</v>
          </cell>
          <cell r="C93">
            <v>27.21</v>
          </cell>
          <cell r="D93">
            <v>27.26</v>
          </cell>
          <cell r="E93">
            <v>27.28</v>
          </cell>
          <cell r="F93">
            <v>27.31</v>
          </cell>
          <cell r="G93">
            <v>27.33</v>
          </cell>
          <cell r="H93">
            <v>27.34</v>
          </cell>
          <cell r="I93">
            <v>27.35</v>
          </cell>
          <cell r="J93">
            <v>27.38</v>
          </cell>
          <cell r="K93">
            <v>27.42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>
        <row r="1">
          <cell r="B1" t="str">
            <v>ASHOK LEYLAND LTD</v>
          </cell>
          <cell r="E1"/>
        </row>
        <row r="6">
          <cell r="B6"/>
        </row>
        <row r="8">
          <cell r="B8">
            <v>249.73</v>
          </cell>
        </row>
        <row r="16">
          <cell r="B16">
            <v>42460</v>
          </cell>
          <cell r="C16">
            <v>42825</v>
          </cell>
          <cell r="D16">
            <v>43190</v>
          </cell>
          <cell r="E16">
            <v>43555</v>
          </cell>
          <cell r="F16">
            <v>43921</v>
          </cell>
          <cell r="G16">
            <v>44286</v>
          </cell>
          <cell r="H16">
            <v>44651</v>
          </cell>
          <cell r="I16">
            <v>45016</v>
          </cell>
          <cell r="J16">
            <v>45382</v>
          </cell>
          <cell r="K16">
            <v>45747</v>
          </cell>
        </row>
        <row r="17">
          <cell r="B17">
            <v>21259.9</v>
          </cell>
          <cell r="C17">
            <v>22870.959999999999</v>
          </cell>
          <cell r="D17">
            <v>29635.59</v>
          </cell>
          <cell r="E17">
            <v>33196.839999999997</v>
          </cell>
          <cell r="F17">
            <v>21951.27</v>
          </cell>
          <cell r="G17">
            <v>19454.099999999999</v>
          </cell>
          <cell r="H17">
            <v>26237.15</v>
          </cell>
          <cell r="I17">
            <v>41672.6</v>
          </cell>
          <cell r="J17">
            <v>45790.64</v>
          </cell>
          <cell r="K17">
            <v>48535.14</v>
          </cell>
        </row>
        <row r="18">
          <cell r="B18">
            <v>14437.97</v>
          </cell>
          <cell r="C18">
            <v>15473.18</v>
          </cell>
          <cell r="D18">
            <v>18068.21</v>
          </cell>
          <cell r="E18">
            <v>22518.03</v>
          </cell>
          <cell r="F18">
            <v>12038.76</v>
          </cell>
          <cell r="G18">
            <v>12576.48</v>
          </cell>
          <cell r="H18">
            <v>17565.02</v>
          </cell>
          <cell r="I18">
            <v>29448.39</v>
          </cell>
          <cell r="J18">
            <v>29798.39</v>
          </cell>
          <cell r="K18">
            <v>29417.97</v>
          </cell>
        </row>
        <row r="19">
          <cell r="B19">
            <v>464.18</v>
          </cell>
          <cell r="C19">
            <v>739.47</v>
          </cell>
          <cell r="D19">
            <v>-1149.8599999999999</v>
          </cell>
          <cell r="E19">
            <v>919.42</v>
          </cell>
          <cell r="F19">
            <v>-1307.1600000000001</v>
          </cell>
          <cell r="G19">
            <v>529.1</v>
          </cell>
          <cell r="H19">
            <v>-48.24</v>
          </cell>
          <cell r="I19">
            <v>629.49</v>
          </cell>
          <cell r="J19">
            <v>568.89</v>
          </cell>
          <cell r="K19">
            <v>-261.58999999999997</v>
          </cell>
        </row>
        <row r="20">
          <cell r="B20">
            <v>125.96</v>
          </cell>
          <cell r="C20">
            <v>186.42</v>
          </cell>
          <cell r="D20">
            <v>238.51</v>
          </cell>
          <cell r="E20">
            <v>260.42</v>
          </cell>
          <cell r="F20">
            <v>183.52</v>
          </cell>
          <cell r="G20">
            <v>168.88</v>
          </cell>
          <cell r="H20">
            <v>189.67</v>
          </cell>
          <cell r="I20">
            <v>279.44</v>
          </cell>
          <cell r="J20">
            <v>302.22000000000003</v>
          </cell>
        </row>
        <row r="21">
          <cell r="B21">
            <v>249.08</v>
          </cell>
          <cell r="C21">
            <v>298.87</v>
          </cell>
          <cell r="D21">
            <v>364.22</v>
          </cell>
          <cell r="E21">
            <v>392.26</v>
          </cell>
          <cell r="F21">
            <v>274.13</v>
          </cell>
          <cell r="G21">
            <v>225.81</v>
          </cell>
          <cell r="H21">
            <v>296.76</v>
          </cell>
          <cell r="I21">
            <v>629.41999999999996</v>
          </cell>
          <cell r="J21">
            <v>661.07</v>
          </cell>
        </row>
        <row r="22">
          <cell r="B22">
            <v>1720.73</v>
          </cell>
          <cell r="C22">
            <v>1884.98</v>
          </cell>
          <cell r="D22">
            <v>2286.4499999999998</v>
          </cell>
          <cell r="E22">
            <v>2712.47</v>
          </cell>
          <cell r="F22">
            <v>2282.89</v>
          </cell>
          <cell r="G22">
            <v>2226.16</v>
          </cell>
          <cell r="H22">
            <v>2640.64</v>
          </cell>
          <cell r="I22">
            <v>3298.38</v>
          </cell>
          <cell r="J22">
            <v>3723.1</v>
          </cell>
          <cell r="K22">
            <v>4161.3</v>
          </cell>
        </row>
        <row r="23">
          <cell r="B23">
            <v>2302.96</v>
          </cell>
          <cell r="C23">
            <v>2527.33</v>
          </cell>
          <cell r="D23">
            <v>3121.56</v>
          </cell>
          <cell r="E23">
            <v>3262.94</v>
          </cell>
          <cell r="F23">
            <v>2656.67</v>
          </cell>
          <cell r="G23">
            <v>1823.78</v>
          </cell>
          <cell r="H23">
            <v>2195.7600000000002</v>
          </cell>
          <cell r="I23">
            <v>3205.7</v>
          </cell>
          <cell r="J23">
            <v>3699.31</v>
          </cell>
        </row>
        <row r="24">
          <cell r="B24">
            <v>-91.54</v>
          </cell>
          <cell r="C24">
            <v>194.7</v>
          </cell>
          <cell r="D24">
            <v>158.35</v>
          </cell>
          <cell r="E24">
            <v>60.14</v>
          </cell>
          <cell r="F24">
            <v>-25.21</v>
          </cell>
          <cell r="G24">
            <v>500.15</v>
          </cell>
          <cell r="H24">
            <v>535.82000000000005</v>
          </cell>
          <cell r="I24">
            <v>347.86</v>
          </cell>
          <cell r="J24">
            <v>232.57</v>
          </cell>
          <cell r="K24">
            <v>5486.53</v>
          </cell>
        </row>
        <row r="25">
          <cell r="B25">
            <v>-321.19</v>
          </cell>
          <cell r="C25">
            <v>405.67</v>
          </cell>
          <cell r="D25">
            <v>189.77</v>
          </cell>
          <cell r="E25">
            <v>139.46</v>
          </cell>
          <cell r="F25">
            <v>57.45</v>
          </cell>
          <cell r="G25">
            <v>207.24</v>
          </cell>
          <cell r="H25">
            <v>-229.82</v>
          </cell>
          <cell r="I25">
            <v>165.75</v>
          </cell>
          <cell r="J25">
            <v>72.739999999999995</v>
          </cell>
          <cell r="K25">
            <v>405.44</v>
          </cell>
        </row>
        <row r="26">
          <cell r="B26">
            <v>523.94000000000005</v>
          </cell>
          <cell r="C26">
            <v>572.79</v>
          </cell>
          <cell r="D26">
            <v>645.89</v>
          </cell>
          <cell r="E26">
            <v>675.56</v>
          </cell>
          <cell r="F26">
            <v>749.99</v>
          </cell>
          <cell r="G26">
            <v>835.62</v>
          </cell>
          <cell r="H26">
            <v>865.96</v>
          </cell>
          <cell r="I26">
            <v>900.22</v>
          </cell>
          <cell r="J26">
            <v>927.29</v>
          </cell>
          <cell r="K26">
            <v>1086.6500000000001</v>
          </cell>
        </row>
        <row r="27">
          <cell r="B27">
            <v>925.05</v>
          </cell>
          <cell r="C27">
            <v>1048.8</v>
          </cell>
          <cell r="D27">
            <v>1227.3800000000001</v>
          </cell>
          <cell r="E27">
            <v>1502.24</v>
          </cell>
          <cell r="F27">
            <v>1801.65</v>
          </cell>
          <cell r="G27">
            <v>1900.64</v>
          </cell>
          <cell r="H27">
            <v>1869.05</v>
          </cell>
          <cell r="I27">
            <v>2093.5</v>
          </cell>
          <cell r="J27">
            <v>2982.25</v>
          </cell>
          <cell r="K27">
            <v>3930.21</v>
          </cell>
        </row>
        <row r="28">
          <cell r="B28">
            <v>1208.74</v>
          </cell>
          <cell r="C28">
            <v>1829.03</v>
          </cell>
          <cell r="D28">
            <v>2564.9299999999998</v>
          </cell>
          <cell r="E28">
            <v>2871.66</v>
          </cell>
          <cell r="F28">
            <v>739.16</v>
          </cell>
          <cell r="G28">
            <v>-67.08</v>
          </cell>
          <cell r="H28">
            <v>-199.59</v>
          </cell>
          <cell r="I28">
            <v>2264.9299999999998</v>
          </cell>
          <cell r="J28">
            <v>4106.07</v>
          </cell>
          <cell r="K28">
            <v>4596.33</v>
          </cell>
        </row>
        <row r="29">
          <cell r="B29">
            <v>496.57</v>
          </cell>
          <cell r="C29">
            <v>196.12</v>
          </cell>
          <cell r="D29">
            <v>751.11</v>
          </cell>
          <cell r="E29">
            <v>677.06</v>
          </cell>
          <cell r="F29">
            <v>279.36</v>
          </cell>
          <cell r="G29">
            <v>2.52</v>
          </cell>
          <cell r="H29">
            <v>85.86</v>
          </cell>
          <cell r="I29">
            <v>906.11</v>
          </cell>
          <cell r="J29">
            <v>1409.73</v>
          </cell>
          <cell r="K29">
            <v>1213.54</v>
          </cell>
        </row>
        <row r="30">
          <cell r="B30">
            <v>681.93</v>
          </cell>
          <cell r="C30">
            <v>1589.36</v>
          </cell>
          <cell r="D30">
            <v>1760.38</v>
          </cell>
          <cell r="E30">
            <v>2078.6999999999998</v>
          </cell>
          <cell r="F30">
            <v>336.67</v>
          </cell>
          <cell r="G30">
            <v>-165.23</v>
          </cell>
          <cell r="H30">
            <v>-358.61</v>
          </cell>
          <cell r="I30">
            <v>1238.71</v>
          </cell>
          <cell r="J30">
            <v>2483.52</v>
          </cell>
          <cell r="K30">
            <v>3106.8</v>
          </cell>
        </row>
        <row r="31">
          <cell r="B31">
            <v>270.36</v>
          </cell>
          <cell r="C31">
            <v>443.96</v>
          </cell>
          <cell r="D31">
            <v>711.29</v>
          </cell>
          <cell r="E31">
            <v>910</v>
          </cell>
          <cell r="F31">
            <v>146.78</v>
          </cell>
          <cell r="G31">
            <v>176.13</v>
          </cell>
          <cell r="H31">
            <v>293.55</v>
          </cell>
          <cell r="I31">
            <v>763.39</v>
          </cell>
          <cell r="J31">
            <v>1453.47</v>
          </cell>
          <cell r="K31">
            <v>1835.31</v>
          </cell>
        </row>
        <row r="56">
          <cell r="B56">
            <v>42460</v>
          </cell>
          <cell r="C56">
            <v>42825</v>
          </cell>
          <cell r="D56">
            <v>43190</v>
          </cell>
          <cell r="E56">
            <v>43555</v>
          </cell>
          <cell r="F56">
            <v>43921</v>
          </cell>
          <cell r="G56">
            <v>44286</v>
          </cell>
          <cell r="H56">
            <v>44651</v>
          </cell>
          <cell r="I56">
            <v>45016</v>
          </cell>
          <cell r="J56">
            <v>45382</v>
          </cell>
          <cell r="K56">
            <v>45747</v>
          </cell>
        </row>
        <row r="57">
          <cell r="B57">
            <v>284.58999999999997</v>
          </cell>
          <cell r="C57">
            <v>284.58999999999997</v>
          </cell>
          <cell r="D57">
            <v>292.70999999999998</v>
          </cell>
          <cell r="E57">
            <v>293.55</v>
          </cell>
          <cell r="F57">
            <v>293.55</v>
          </cell>
          <cell r="G57">
            <v>293.55</v>
          </cell>
          <cell r="H57">
            <v>293.55</v>
          </cell>
          <cell r="I57">
            <v>293.61</v>
          </cell>
          <cell r="J57">
            <v>293.63</v>
          </cell>
          <cell r="K57">
            <v>293.64999999999998</v>
          </cell>
        </row>
        <row r="58">
          <cell r="B58">
            <v>4979.1099999999997</v>
          </cell>
          <cell r="C58">
            <v>6108.36</v>
          </cell>
          <cell r="D58">
            <v>7127.88</v>
          </cell>
          <cell r="E58">
            <v>8452.02</v>
          </cell>
          <cell r="F58">
            <v>7495.26</v>
          </cell>
          <cell r="G58">
            <v>7568.47</v>
          </cell>
          <cell r="H58">
            <v>7010.34</v>
          </cell>
          <cell r="I58">
            <v>8258.15</v>
          </cell>
          <cell r="J58">
            <v>8710.99</v>
          </cell>
          <cell r="K58">
            <v>11938.44</v>
          </cell>
        </row>
        <row r="59">
          <cell r="B59">
            <v>11053.57</v>
          </cell>
          <cell r="C59">
            <v>13167.93</v>
          </cell>
          <cell r="D59">
            <v>15791.04</v>
          </cell>
          <cell r="E59">
            <v>19167.91</v>
          </cell>
          <cell r="F59">
            <v>22417.19</v>
          </cell>
          <cell r="G59">
            <v>24077.17</v>
          </cell>
          <cell r="H59">
            <v>24145.02</v>
          </cell>
          <cell r="I59">
            <v>31160.93</v>
          </cell>
          <cell r="J59">
            <v>40802.18</v>
          </cell>
          <cell r="K59">
            <v>49962.11</v>
          </cell>
        </row>
        <row r="60">
          <cell r="B60">
            <v>5805.7</v>
          </cell>
          <cell r="C60">
            <v>7048.18</v>
          </cell>
          <cell r="D60">
            <v>10171.23</v>
          </cell>
          <cell r="E60">
            <v>11212.12</v>
          </cell>
          <cell r="F60">
            <v>7923.97</v>
          </cell>
          <cell r="G60">
            <v>10118.77</v>
          </cell>
          <cell r="H60">
            <v>12124.74</v>
          </cell>
          <cell r="I60">
            <v>14984.24</v>
          </cell>
          <cell r="J60">
            <v>17788.310000000001</v>
          </cell>
          <cell r="K60">
            <v>19520.439999999999</v>
          </cell>
        </row>
        <row r="61">
          <cell r="B61">
            <v>22122.97</v>
          </cell>
          <cell r="C61">
            <v>26609.06</v>
          </cell>
          <cell r="D61">
            <v>33382.86</v>
          </cell>
          <cell r="E61">
            <v>39125.599999999999</v>
          </cell>
          <cell r="F61">
            <v>38129.97</v>
          </cell>
          <cell r="G61">
            <v>42057.96</v>
          </cell>
          <cell r="H61">
            <v>43573.65</v>
          </cell>
          <cell r="I61">
            <v>54696.93</v>
          </cell>
          <cell r="J61">
            <v>67595.11</v>
          </cell>
          <cell r="K61">
            <v>81714.64</v>
          </cell>
        </row>
        <row r="62">
          <cell r="B62">
            <v>5889.78</v>
          </cell>
          <cell r="C62">
            <v>6590.79</v>
          </cell>
          <cell r="D62">
            <v>6596.14</v>
          </cell>
          <cell r="E62">
            <v>6695.47</v>
          </cell>
          <cell r="F62">
            <v>8030.93</v>
          </cell>
          <cell r="G62">
            <v>8484.2199999999993</v>
          </cell>
          <cell r="H62">
            <v>7894.58</v>
          </cell>
          <cell r="I62">
            <v>8146.31</v>
          </cell>
          <cell r="J62">
            <v>8156.51</v>
          </cell>
          <cell r="K62">
            <v>9055.2900000000009</v>
          </cell>
        </row>
        <row r="63">
          <cell r="B63">
            <v>87.37</v>
          </cell>
          <cell r="C63">
            <v>244.19</v>
          </cell>
          <cell r="D63">
            <v>439.42</v>
          </cell>
          <cell r="E63">
            <v>677.61</v>
          </cell>
          <cell r="F63">
            <v>573.89</v>
          </cell>
          <cell r="G63">
            <v>335.54</v>
          </cell>
          <cell r="H63">
            <v>240.01</v>
          </cell>
          <cell r="I63">
            <v>268.12</v>
          </cell>
          <cell r="J63">
            <v>414.82</v>
          </cell>
          <cell r="K63">
            <v>358.79</v>
          </cell>
        </row>
        <row r="64">
          <cell r="B64">
            <v>1031.08</v>
          </cell>
          <cell r="C64">
            <v>1933.32</v>
          </cell>
          <cell r="D64">
            <v>4382.58</v>
          </cell>
          <cell r="E64">
            <v>1491.88</v>
          </cell>
          <cell r="F64">
            <v>960.34</v>
          </cell>
          <cell r="G64">
            <v>1095.6300000000001</v>
          </cell>
          <cell r="H64">
            <v>2652.12</v>
          </cell>
          <cell r="I64">
            <v>4852.3500000000004</v>
          </cell>
          <cell r="J64">
            <v>2328.61</v>
          </cell>
          <cell r="K64">
            <v>6609.65</v>
          </cell>
        </row>
        <row r="65">
          <cell r="B65">
            <v>15114.74</v>
          </cell>
          <cell r="C65">
            <v>17840.759999999998</v>
          </cell>
          <cell r="D65">
            <v>21964.720000000001</v>
          </cell>
          <cell r="E65">
            <v>30260.639999999999</v>
          </cell>
          <cell r="F65">
            <v>28564.81</v>
          </cell>
          <cell r="G65">
            <v>32142.57</v>
          </cell>
          <cell r="H65">
            <v>32786.94</v>
          </cell>
          <cell r="I65">
            <v>41430.15</v>
          </cell>
          <cell r="J65">
            <v>56695.17</v>
          </cell>
          <cell r="K65">
            <v>65690.91</v>
          </cell>
        </row>
        <row r="66">
          <cell r="B66">
            <v>22122.97</v>
          </cell>
          <cell r="C66">
            <v>26609.06</v>
          </cell>
          <cell r="D66">
            <v>33382.86</v>
          </cell>
          <cell r="E66">
            <v>39125.599999999999</v>
          </cell>
          <cell r="F66">
            <v>38129.97</v>
          </cell>
          <cell r="G66">
            <v>42057.96</v>
          </cell>
          <cell r="H66">
            <v>43573.65</v>
          </cell>
          <cell r="I66">
            <v>54696.93</v>
          </cell>
          <cell r="J66">
            <v>67595.11</v>
          </cell>
          <cell r="K66">
            <v>81714.64</v>
          </cell>
        </row>
        <row r="67">
          <cell r="B67">
            <v>1461.38</v>
          </cell>
          <cell r="C67">
            <v>1238.4000000000001</v>
          </cell>
          <cell r="D67">
            <v>1175.51</v>
          </cell>
          <cell r="E67">
            <v>2717.18</v>
          </cell>
          <cell r="F67">
            <v>1504.69</v>
          </cell>
          <cell r="G67">
            <v>3020.91</v>
          </cell>
          <cell r="H67">
            <v>3264.09</v>
          </cell>
          <cell r="I67">
            <v>4187.3599999999997</v>
          </cell>
          <cell r="J67">
            <v>3898.15</v>
          </cell>
          <cell r="K67">
            <v>3346.87</v>
          </cell>
        </row>
        <row r="68">
          <cell r="B68">
            <v>1922.33</v>
          </cell>
          <cell r="C68">
            <v>2955.24</v>
          </cell>
          <cell r="D68">
            <v>2214.33</v>
          </cell>
          <cell r="E68">
            <v>3077.42</v>
          </cell>
          <cell r="F68">
            <v>1547.21</v>
          </cell>
          <cell r="G68">
            <v>2495.85</v>
          </cell>
          <cell r="H68">
            <v>2540.5500000000002</v>
          </cell>
          <cell r="I68">
            <v>3440.43</v>
          </cell>
          <cell r="J68">
            <v>4008.01</v>
          </cell>
          <cell r="K68">
            <v>3986.08</v>
          </cell>
        </row>
        <row r="90">
          <cell r="B90">
            <v>108.6</v>
          </cell>
          <cell r="C90">
            <v>84.55</v>
          </cell>
          <cell r="D90">
            <v>145.44999999999999</v>
          </cell>
          <cell r="E90">
            <v>91.3</v>
          </cell>
          <cell r="F90">
            <v>43.05</v>
          </cell>
          <cell r="G90">
            <v>113.5</v>
          </cell>
          <cell r="H90">
            <v>117.25</v>
          </cell>
          <cell r="I90">
            <v>139.19999999999999</v>
          </cell>
          <cell r="J90">
            <v>171.25</v>
          </cell>
          <cell r="K90">
            <v>204.22</v>
          </cell>
        </row>
        <row r="93">
          <cell r="B93">
            <v>284.58999999999997</v>
          </cell>
          <cell r="C93">
            <v>284.58999999999997</v>
          </cell>
          <cell r="D93">
            <v>292.70999999999998</v>
          </cell>
          <cell r="E93">
            <v>293.55</v>
          </cell>
          <cell r="F93">
            <v>293.55</v>
          </cell>
          <cell r="G93">
            <v>293.55</v>
          </cell>
          <cell r="H93">
            <v>293.55</v>
          </cell>
          <cell r="I93">
            <v>293.61</v>
          </cell>
          <cell r="J93">
            <v>293.63</v>
          </cell>
          <cell r="K93">
            <v>293.64999999999998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>
        <row r="1">
          <cell r="B1" t="str">
            <v>BAJAJ AUTO LTD</v>
          </cell>
          <cell r="E1"/>
        </row>
        <row r="6">
          <cell r="B6"/>
        </row>
        <row r="8">
          <cell r="B8">
            <v>8436</v>
          </cell>
        </row>
        <row r="16">
          <cell r="B16">
            <v>42460</v>
          </cell>
          <cell r="C16">
            <v>42825</v>
          </cell>
          <cell r="D16">
            <v>43190</v>
          </cell>
          <cell r="E16">
            <v>43555</v>
          </cell>
          <cell r="F16">
            <v>43921</v>
          </cell>
          <cell r="G16">
            <v>44286</v>
          </cell>
          <cell r="H16">
            <v>44651</v>
          </cell>
          <cell r="I16">
            <v>45016</v>
          </cell>
          <cell r="J16">
            <v>45382</v>
          </cell>
          <cell r="K16">
            <v>45747</v>
          </cell>
        </row>
        <row r="17">
          <cell r="B17">
            <v>22573.69</v>
          </cell>
          <cell r="C17">
            <v>21754.720000000001</v>
          </cell>
          <cell r="D17">
            <v>25209.93</v>
          </cell>
          <cell r="E17">
            <v>30357.63</v>
          </cell>
          <cell r="F17">
            <v>29918.65</v>
          </cell>
          <cell r="G17">
            <v>27741.08</v>
          </cell>
          <cell r="H17">
            <v>33144.71</v>
          </cell>
          <cell r="I17">
            <v>36455.379999999997</v>
          </cell>
          <cell r="J17">
            <v>44870.43</v>
          </cell>
          <cell r="K17">
            <v>50994.55</v>
          </cell>
        </row>
        <row r="18">
          <cell r="B18">
            <v>14993.41</v>
          </cell>
          <cell r="C18">
            <v>14667.83</v>
          </cell>
          <cell r="D18">
            <v>17400.41</v>
          </cell>
          <cell r="E18">
            <v>21854.1</v>
          </cell>
          <cell r="F18">
            <v>21071.29</v>
          </cell>
          <cell r="G18">
            <v>19829.13</v>
          </cell>
          <cell r="H18">
            <v>24141.86</v>
          </cell>
          <cell r="I18">
            <v>26221.58</v>
          </cell>
          <cell r="J18">
            <v>31969.57</v>
          </cell>
          <cell r="K18">
            <v>35230.78</v>
          </cell>
        </row>
        <row r="19">
          <cell r="B19">
            <v>-63.45</v>
          </cell>
          <cell r="C19">
            <v>43.68</v>
          </cell>
          <cell r="D19">
            <v>-9.68</v>
          </cell>
          <cell r="E19">
            <v>56.42</v>
          </cell>
          <cell r="F19">
            <v>63.01</v>
          </cell>
          <cell r="G19">
            <v>219.48</v>
          </cell>
          <cell r="H19">
            <v>-187.96</v>
          </cell>
          <cell r="I19">
            <v>100.33</v>
          </cell>
          <cell r="J19">
            <v>76.34</v>
          </cell>
          <cell r="K19">
            <v>-28.41</v>
          </cell>
        </row>
        <row r="20">
          <cell r="B20">
            <v>120.66</v>
          </cell>
          <cell r="C20">
            <v>96.46</v>
          </cell>
          <cell r="D20">
            <v>100.26</v>
          </cell>
          <cell r="E20">
            <v>115.01</v>
          </cell>
          <cell r="F20">
            <v>116.57</v>
          </cell>
          <cell r="G20">
            <v>91.34</v>
          </cell>
          <cell r="H20">
            <v>108.01</v>
          </cell>
          <cell r="I20">
            <v>122.6</v>
          </cell>
          <cell r="J20">
            <v>147.94</v>
          </cell>
        </row>
        <row r="21">
          <cell r="B21">
            <v>644.19000000000005</v>
          </cell>
          <cell r="C21">
            <v>547.54</v>
          </cell>
          <cell r="D21">
            <v>550.16</v>
          </cell>
          <cell r="E21">
            <v>633.99</v>
          </cell>
          <cell r="F21">
            <v>698.83</v>
          </cell>
          <cell r="G21">
            <v>597.11</v>
          </cell>
          <cell r="H21">
            <v>836.28</v>
          </cell>
          <cell r="I21">
            <v>743.55</v>
          </cell>
          <cell r="J21">
            <v>734.43</v>
          </cell>
        </row>
        <row r="22">
          <cell r="B22">
            <v>920.01</v>
          </cell>
          <cell r="C22">
            <v>999.83</v>
          </cell>
          <cell r="D22">
            <v>1072.5899999999999</v>
          </cell>
          <cell r="E22">
            <v>1260.32</v>
          </cell>
          <cell r="F22">
            <v>1395</v>
          </cell>
          <cell r="G22">
            <v>1296.07</v>
          </cell>
          <cell r="H22">
            <v>1366</v>
          </cell>
          <cell r="I22">
            <v>1488.1</v>
          </cell>
          <cell r="J22">
            <v>1631.06</v>
          </cell>
          <cell r="K22">
            <v>1925.8</v>
          </cell>
        </row>
        <row r="23">
          <cell r="B23">
            <v>795.66</v>
          </cell>
          <cell r="C23">
            <v>699.73</v>
          </cell>
          <cell r="D23">
            <v>852.82</v>
          </cell>
          <cell r="E23">
            <v>940.92</v>
          </cell>
          <cell r="F23">
            <v>1020.98</v>
          </cell>
          <cell r="G23">
            <v>654.86</v>
          </cell>
          <cell r="H23">
            <v>644.9</v>
          </cell>
          <cell r="I23">
            <v>852.61</v>
          </cell>
          <cell r="J23">
            <v>999.37</v>
          </cell>
        </row>
        <row r="24">
          <cell r="B24">
            <v>243.36</v>
          </cell>
          <cell r="C24">
            <v>358.38</v>
          </cell>
          <cell r="D24">
            <v>378.21</v>
          </cell>
          <cell r="E24">
            <v>411.79</v>
          </cell>
          <cell r="F24">
            <v>569.65</v>
          </cell>
          <cell r="G24">
            <v>554.27</v>
          </cell>
          <cell r="H24">
            <v>600.9</v>
          </cell>
          <cell r="I24">
            <v>662.63</v>
          </cell>
          <cell r="J24">
            <v>699.72</v>
          </cell>
          <cell r="K24">
            <v>4257.3100000000004</v>
          </cell>
        </row>
        <row r="25">
          <cell r="B25">
            <v>1194.1500000000001</v>
          </cell>
          <cell r="C25">
            <v>1467.61</v>
          </cell>
          <cell r="D25">
            <v>1403.72</v>
          </cell>
          <cell r="E25">
            <v>2027.83</v>
          </cell>
          <cell r="F25">
            <v>1832.38</v>
          </cell>
          <cell r="G25">
            <v>1569.68</v>
          </cell>
          <cell r="H25">
            <v>2671.3</v>
          </cell>
          <cell r="I25">
            <v>1702.7</v>
          </cell>
          <cell r="J25">
            <v>1700.49</v>
          </cell>
          <cell r="K25">
            <v>1474.41</v>
          </cell>
        </row>
        <row r="26">
          <cell r="B26">
            <v>307.16000000000003</v>
          </cell>
          <cell r="C26">
            <v>307.29000000000002</v>
          </cell>
          <cell r="D26">
            <v>314.8</v>
          </cell>
          <cell r="E26">
            <v>265.69</v>
          </cell>
          <cell r="F26">
            <v>246.43</v>
          </cell>
          <cell r="G26">
            <v>259.37</v>
          </cell>
          <cell r="H26">
            <v>269.76</v>
          </cell>
          <cell r="I26">
            <v>285.85000000000002</v>
          </cell>
          <cell r="J26">
            <v>364.77</v>
          </cell>
          <cell r="K26">
            <v>414.23</v>
          </cell>
        </row>
        <row r="27">
          <cell r="B27">
            <v>1.05</v>
          </cell>
          <cell r="C27">
            <v>1.4</v>
          </cell>
          <cell r="D27">
            <v>1.31</v>
          </cell>
          <cell r="E27">
            <v>4.4800000000000004</v>
          </cell>
          <cell r="F27">
            <v>3.16</v>
          </cell>
          <cell r="G27">
            <v>6.66</v>
          </cell>
          <cell r="H27">
            <v>8.66</v>
          </cell>
          <cell r="I27">
            <v>39.51</v>
          </cell>
          <cell r="J27">
            <v>60.36</v>
          </cell>
          <cell r="K27">
            <v>388.9</v>
          </cell>
        </row>
        <row r="28">
          <cell r="B28">
            <v>5678.89</v>
          </cell>
          <cell r="C28">
            <v>5587.55</v>
          </cell>
          <cell r="D28">
            <v>5933.41</v>
          </cell>
          <cell r="E28">
            <v>6955.58</v>
          </cell>
          <cell r="F28">
            <v>6692.13</v>
          </cell>
          <cell r="G28">
            <v>6241.43</v>
          </cell>
          <cell r="H28">
            <v>7651.68</v>
          </cell>
          <cell r="I28">
            <v>7841.98</v>
          </cell>
          <cell r="J28">
            <v>10040.040000000001</v>
          </cell>
          <cell r="K28">
            <v>10223.530000000001</v>
          </cell>
        </row>
        <row r="29">
          <cell r="B29">
            <v>1617.65</v>
          </cell>
          <cell r="C29">
            <v>1508.07</v>
          </cell>
          <cell r="D29">
            <v>1714.47</v>
          </cell>
          <cell r="E29">
            <v>2027.98</v>
          </cell>
          <cell r="F29">
            <v>1480.22</v>
          </cell>
          <cell r="G29">
            <v>1384.41</v>
          </cell>
          <cell r="H29">
            <v>1485.81</v>
          </cell>
          <cell r="I29">
            <v>1781.77</v>
          </cell>
          <cell r="J29">
            <v>2331.8000000000002</v>
          </cell>
          <cell r="K29">
            <v>2898.8</v>
          </cell>
        </row>
        <row r="30">
          <cell r="B30">
            <v>4061.24</v>
          </cell>
          <cell r="C30">
            <v>4079.49</v>
          </cell>
          <cell r="D30">
            <v>4218.95</v>
          </cell>
          <cell r="E30">
            <v>4927.6099999999997</v>
          </cell>
          <cell r="F30">
            <v>5211.91</v>
          </cell>
          <cell r="G30">
            <v>4857.0200000000004</v>
          </cell>
          <cell r="H30">
            <v>6165.87</v>
          </cell>
          <cell r="I30">
            <v>6060.21</v>
          </cell>
          <cell r="J30">
            <v>7708.24</v>
          </cell>
          <cell r="K30">
            <v>7324.73</v>
          </cell>
        </row>
        <row r="31">
          <cell r="B31">
            <v>1591.54</v>
          </cell>
          <cell r="C31">
            <v>1591.54</v>
          </cell>
          <cell r="D31">
            <v>1736.22</v>
          </cell>
          <cell r="E31">
            <v>1736.22</v>
          </cell>
          <cell r="F31">
            <v>3472.44</v>
          </cell>
          <cell r="G31">
            <v>4051.18</v>
          </cell>
          <cell r="H31">
            <v>4051.18</v>
          </cell>
          <cell r="I31">
            <v>3961.44</v>
          </cell>
          <cell r="J31">
            <v>2233.44</v>
          </cell>
          <cell r="K31">
            <v>5864.46</v>
          </cell>
        </row>
        <row r="56">
          <cell r="B56">
            <v>42460</v>
          </cell>
          <cell r="C56">
            <v>42825</v>
          </cell>
          <cell r="D56">
            <v>43190</v>
          </cell>
          <cell r="E56">
            <v>43555</v>
          </cell>
          <cell r="F56">
            <v>43921</v>
          </cell>
          <cell r="G56">
            <v>44286</v>
          </cell>
          <cell r="H56">
            <v>44651</v>
          </cell>
          <cell r="I56">
            <v>45016</v>
          </cell>
          <cell r="J56">
            <v>45382</v>
          </cell>
          <cell r="K56">
            <v>45747</v>
          </cell>
        </row>
        <row r="57">
          <cell r="B57">
            <v>289.37</v>
          </cell>
          <cell r="C57">
            <v>289.37</v>
          </cell>
          <cell r="D57">
            <v>289.37</v>
          </cell>
          <cell r="E57">
            <v>289.37</v>
          </cell>
          <cell r="F57">
            <v>289.37</v>
          </cell>
          <cell r="G57">
            <v>289.37</v>
          </cell>
          <cell r="H57">
            <v>289.37</v>
          </cell>
          <cell r="I57">
            <v>282.95999999999998</v>
          </cell>
          <cell r="J57">
            <v>279.18</v>
          </cell>
          <cell r="K57">
            <v>279.26</v>
          </cell>
        </row>
        <row r="58">
          <cell r="B58">
            <v>13730.94</v>
          </cell>
          <cell r="C58">
            <v>17567.2</v>
          </cell>
          <cell r="D58">
            <v>20135.87</v>
          </cell>
          <cell r="E58">
            <v>22944.44</v>
          </cell>
          <cell r="F58">
            <v>21372.71</v>
          </cell>
          <cell r="G58">
            <v>26984.06</v>
          </cell>
          <cell r="H58">
            <v>29570.28</v>
          </cell>
          <cell r="I58">
            <v>29078.58</v>
          </cell>
          <cell r="J58">
            <v>28683.23</v>
          </cell>
          <cell r="K58">
            <v>34909.480000000003</v>
          </cell>
        </row>
        <row r="59">
          <cell r="B59">
            <v>117.86</v>
          </cell>
          <cell r="C59">
            <v>119.9</v>
          </cell>
          <cell r="D59">
            <v>120.77</v>
          </cell>
          <cell r="E59">
            <v>124.52</v>
          </cell>
          <cell r="F59">
            <v>125.59</v>
          </cell>
          <cell r="G59">
            <v>121.46</v>
          </cell>
          <cell r="H59">
            <v>122.77</v>
          </cell>
          <cell r="I59">
            <v>124.23</v>
          </cell>
          <cell r="J59">
            <v>1911.74</v>
          </cell>
          <cell r="K59">
            <v>9364.16</v>
          </cell>
        </row>
        <row r="60">
          <cell r="B60">
            <v>3102.2</v>
          </cell>
          <cell r="C60">
            <v>3661.15</v>
          </cell>
          <cell r="D60">
            <v>4594.99</v>
          </cell>
          <cell r="E60">
            <v>5476.08</v>
          </cell>
          <cell r="F60">
            <v>4722.3500000000004</v>
          </cell>
          <cell r="G60">
            <v>6206.82</v>
          </cell>
          <cell r="H60">
            <v>5128.79</v>
          </cell>
          <cell r="I60">
            <v>5650.68</v>
          </cell>
          <cell r="J60">
            <v>8469.5400000000009</v>
          </cell>
          <cell r="K60">
            <v>9645.7099999999991</v>
          </cell>
        </row>
        <row r="61">
          <cell r="B61">
            <v>17240.37</v>
          </cell>
          <cell r="C61">
            <v>21637.62</v>
          </cell>
          <cell r="D61">
            <v>25141</v>
          </cell>
          <cell r="E61">
            <v>28834.41</v>
          </cell>
          <cell r="F61">
            <v>26510.02</v>
          </cell>
          <cell r="G61">
            <v>33601.71</v>
          </cell>
          <cell r="H61">
            <v>35111.21</v>
          </cell>
          <cell r="I61">
            <v>35136.449999999997</v>
          </cell>
          <cell r="J61">
            <v>39343.69</v>
          </cell>
          <cell r="K61">
            <v>54198.61</v>
          </cell>
        </row>
        <row r="62">
          <cell r="B62">
            <v>2025.67</v>
          </cell>
          <cell r="C62">
            <v>2001.79</v>
          </cell>
          <cell r="D62">
            <v>1878.33</v>
          </cell>
          <cell r="E62">
            <v>1763.94</v>
          </cell>
          <cell r="F62">
            <v>1699.02</v>
          </cell>
          <cell r="G62">
            <v>1667.55</v>
          </cell>
          <cell r="H62">
            <v>1836.05</v>
          </cell>
          <cell r="I62">
            <v>2842.24</v>
          </cell>
          <cell r="J62">
            <v>3217.37</v>
          </cell>
          <cell r="K62">
            <v>3708.19</v>
          </cell>
        </row>
        <row r="63">
          <cell r="B63">
            <v>52.24</v>
          </cell>
          <cell r="C63">
            <v>42.17</v>
          </cell>
          <cell r="D63">
            <v>56.47</v>
          </cell>
          <cell r="E63">
            <v>48.02</v>
          </cell>
          <cell r="F63">
            <v>60.19</v>
          </cell>
          <cell r="G63">
            <v>15.98</v>
          </cell>
          <cell r="H63">
            <v>77.209999999999994</v>
          </cell>
          <cell r="I63">
            <v>85.27</v>
          </cell>
          <cell r="J63">
            <v>35.1</v>
          </cell>
          <cell r="K63">
            <v>29.2</v>
          </cell>
        </row>
        <row r="64">
          <cell r="B64">
            <v>11067.23</v>
          </cell>
          <cell r="C64">
            <v>15477.04</v>
          </cell>
          <cell r="D64">
            <v>18894.57</v>
          </cell>
          <cell r="E64">
            <v>20602.849999999999</v>
          </cell>
          <cell r="F64">
            <v>19913.580000000002</v>
          </cell>
          <cell r="G64">
            <v>24686.65</v>
          </cell>
          <cell r="H64">
            <v>26634.12</v>
          </cell>
          <cell r="I64">
            <v>26182.91</v>
          </cell>
          <cell r="J64">
            <v>28086.68</v>
          </cell>
          <cell r="K64">
            <v>28913.87</v>
          </cell>
        </row>
        <row r="65">
          <cell r="B65">
            <v>4095.23</v>
          </cell>
          <cell r="C65">
            <v>4116.62</v>
          </cell>
          <cell r="D65">
            <v>4311.63</v>
          </cell>
          <cell r="E65">
            <v>6419.6</v>
          </cell>
          <cell r="F65">
            <v>4837.2299999999996</v>
          </cell>
          <cell r="G65">
            <v>7231.53</v>
          </cell>
          <cell r="H65">
            <v>6563.83</v>
          </cell>
          <cell r="I65">
            <v>6026.03</v>
          </cell>
          <cell r="J65">
            <v>8004.54</v>
          </cell>
          <cell r="K65">
            <v>21547.35</v>
          </cell>
        </row>
        <row r="66">
          <cell r="B66">
            <v>17240.37</v>
          </cell>
          <cell r="C66">
            <v>21637.62</v>
          </cell>
          <cell r="D66">
            <v>25141</v>
          </cell>
          <cell r="E66">
            <v>28834.41</v>
          </cell>
          <cell r="F66">
            <v>26510.02</v>
          </cell>
          <cell r="G66">
            <v>33601.71</v>
          </cell>
          <cell r="H66">
            <v>35111.21</v>
          </cell>
          <cell r="I66">
            <v>35136.449999999997</v>
          </cell>
          <cell r="J66">
            <v>39343.69</v>
          </cell>
          <cell r="K66">
            <v>54198.61</v>
          </cell>
        </row>
        <row r="67">
          <cell r="B67">
            <v>717.93</v>
          </cell>
          <cell r="C67">
            <v>953.29</v>
          </cell>
          <cell r="D67">
            <v>1491.87</v>
          </cell>
          <cell r="E67">
            <v>2559.69</v>
          </cell>
          <cell r="F67">
            <v>1725.1</v>
          </cell>
          <cell r="G67">
            <v>2716.85</v>
          </cell>
          <cell r="H67">
            <v>1516.38</v>
          </cell>
          <cell r="I67">
            <v>1752.43</v>
          </cell>
          <cell r="J67">
            <v>2075.5300000000002</v>
          </cell>
          <cell r="K67">
            <v>2125.2199999999998</v>
          </cell>
        </row>
        <row r="68">
          <cell r="B68">
            <v>719.07</v>
          </cell>
          <cell r="C68">
            <v>728.38</v>
          </cell>
          <cell r="D68">
            <v>742.58</v>
          </cell>
          <cell r="E68">
            <v>961.51</v>
          </cell>
          <cell r="F68">
            <v>1063.5</v>
          </cell>
          <cell r="G68">
            <v>1493.89</v>
          </cell>
          <cell r="H68">
            <v>1230.51</v>
          </cell>
          <cell r="I68">
            <v>1563.55</v>
          </cell>
          <cell r="J68">
            <v>1688.75</v>
          </cell>
          <cell r="K68">
            <v>2077.36</v>
          </cell>
        </row>
        <row r="90">
          <cell r="B90">
            <v>2405.9499999999998</v>
          </cell>
          <cell r="C90">
            <v>2805.45</v>
          </cell>
          <cell r="D90">
            <v>2744.7</v>
          </cell>
          <cell r="E90">
            <v>2911.1</v>
          </cell>
          <cell r="F90">
            <v>2022.35</v>
          </cell>
          <cell r="G90">
            <v>3670.6</v>
          </cell>
          <cell r="H90">
            <v>3653</v>
          </cell>
          <cell r="I90">
            <v>3884.75</v>
          </cell>
          <cell r="J90">
            <v>9148.15</v>
          </cell>
          <cell r="K90">
            <v>7878.85</v>
          </cell>
        </row>
        <row r="93">
          <cell r="B93">
            <v>28.94</v>
          </cell>
          <cell r="C93">
            <v>28.94</v>
          </cell>
          <cell r="D93">
            <v>28.94</v>
          </cell>
          <cell r="E93">
            <v>28.94</v>
          </cell>
          <cell r="F93">
            <v>28.94</v>
          </cell>
          <cell r="G93">
            <v>28.94</v>
          </cell>
          <cell r="H93">
            <v>28.94</v>
          </cell>
          <cell r="I93">
            <v>28.3</v>
          </cell>
          <cell r="J93">
            <v>27.92</v>
          </cell>
          <cell r="K93">
            <v>27.93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>
        <row r="1">
          <cell r="B1" t="str">
            <v>FORCE MOTORS LTD</v>
          </cell>
          <cell r="E1"/>
        </row>
        <row r="6">
          <cell r="B6"/>
        </row>
        <row r="8">
          <cell r="B8">
            <v>14500</v>
          </cell>
        </row>
        <row r="16">
          <cell r="B16">
            <v>42460</v>
          </cell>
          <cell r="C16">
            <v>42825</v>
          </cell>
          <cell r="D16">
            <v>43190</v>
          </cell>
          <cell r="E16">
            <v>43555</v>
          </cell>
          <cell r="F16">
            <v>43921</v>
          </cell>
          <cell r="G16">
            <v>44286</v>
          </cell>
          <cell r="H16">
            <v>44651</v>
          </cell>
          <cell r="I16">
            <v>45016</v>
          </cell>
          <cell r="J16">
            <v>45382</v>
          </cell>
          <cell r="K16">
            <v>45747</v>
          </cell>
        </row>
        <row r="17">
          <cell r="B17">
            <v>3025</v>
          </cell>
          <cell r="C17">
            <v>3069.37</v>
          </cell>
          <cell r="D17">
            <v>3422.95</v>
          </cell>
          <cell r="E17">
            <v>3652.45</v>
          </cell>
          <cell r="F17">
            <v>3080.52</v>
          </cell>
          <cell r="G17">
            <v>1988.19</v>
          </cell>
          <cell r="H17">
            <v>3240.42</v>
          </cell>
          <cell r="I17">
            <v>5028.9799999999996</v>
          </cell>
          <cell r="J17">
            <v>6992.13</v>
          </cell>
          <cell r="K17">
            <v>8071.73</v>
          </cell>
        </row>
        <row r="18">
          <cell r="B18">
            <v>2237.64</v>
          </cell>
          <cell r="C18">
            <v>2130.56</v>
          </cell>
          <cell r="D18">
            <v>2609.2399999999998</v>
          </cell>
          <cell r="E18">
            <v>2814.71</v>
          </cell>
          <cell r="F18">
            <v>2140.14</v>
          </cell>
          <cell r="G18">
            <v>1520.36</v>
          </cell>
          <cell r="H18">
            <v>2581.4299999999998</v>
          </cell>
          <cell r="I18">
            <v>3928.05</v>
          </cell>
          <cell r="J18">
            <v>5231.5</v>
          </cell>
          <cell r="K18">
            <v>5958.64</v>
          </cell>
        </row>
        <row r="19">
          <cell r="B19">
            <v>65.19</v>
          </cell>
          <cell r="C19">
            <v>-71.790000000000006</v>
          </cell>
          <cell r="D19">
            <v>51.32</v>
          </cell>
          <cell r="E19">
            <v>34.25</v>
          </cell>
          <cell r="F19">
            <v>-82.65</v>
          </cell>
          <cell r="G19">
            <v>26.65</v>
          </cell>
          <cell r="H19">
            <v>-37.78</v>
          </cell>
          <cell r="I19">
            <v>7.88</v>
          </cell>
          <cell r="J19">
            <v>107.03</v>
          </cell>
          <cell r="K19">
            <v>11.53</v>
          </cell>
        </row>
        <row r="20">
          <cell r="B20">
            <v>45.71</v>
          </cell>
          <cell r="C20">
            <v>44.55</v>
          </cell>
          <cell r="D20">
            <v>48.23</v>
          </cell>
          <cell r="E20">
            <v>48.86</v>
          </cell>
          <cell r="F20">
            <v>47.25</v>
          </cell>
          <cell r="G20">
            <v>35.22</v>
          </cell>
          <cell r="H20">
            <v>42.5</v>
          </cell>
          <cell r="I20">
            <v>53.69</v>
          </cell>
          <cell r="J20">
            <v>57.31</v>
          </cell>
        </row>
        <row r="21">
          <cell r="B21">
            <v>104.65</v>
          </cell>
          <cell r="C21">
            <v>107.15</v>
          </cell>
          <cell r="D21">
            <v>114.45</v>
          </cell>
          <cell r="E21">
            <v>112.85</v>
          </cell>
          <cell r="F21">
            <v>103.9</v>
          </cell>
          <cell r="G21">
            <v>74.02</v>
          </cell>
          <cell r="H21">
            <v>92.55</v>
          </cell>
          <cell r="I21">
            <v>162.81</v>
          </cell>
          <cell r="J21">
            <v>213.5</v>
          </cell>
        </row>
        <row r="22">
          <cell r="B22">
            <v>304.31</v>
          </cell>
          <cell r="C22">
            <v>350.08</v>
          </cell>
          <cell r="D22">
            <v>387.55</v>
          </cell>
          <cell r="E22">
            <v>405.36</v>
          </cell>
          <cell r="F22">
            <v>406.58</v>
          </cell>
          <cell r="G22">
            <v>351.15</v>
          </cell>
          <cell r="H22">
            <v>368.08</v>
          </cell>
          <cell r="I22">
            <v>422.44</v>
          </cell>
          <cell r="J22">
            <v>533.34</v>
          </cell>
          <cell r="K22">
            <v>591.89</v>
          </cell>
        </row>
        <row r="23">
          <cell r="B23">
            <v>82.56</v>
          </cell>
          <cell r="C23">
            <v>79.27</v>
          </cell>
          <cell r="D23">
            <v>60.47</v>
          </cell>
          <cell r="E23">
            <v>60.54</v>
          </cell>
          <cell r="F23">
            <v>60.63</v>
          </cell>
          <cell r="G23">
            <v>39.17</v>
          </cell>
          <cell r="H23">
            <v>51.79</v>
          </cell>
          <cell r="I23">
            <v>77.14</v>
          </cell>
          <cell r="J23">
            <v>108.75</v>
          </cell>
        </row>
        <row r="24">
          <cell r="B24">
            <v>40.99</v>
          </cell>
          <cell r="C24">
            <v>17.87</v>
          </cell>
          <cell r="D24">
            <v>-13.46</v>
          </cell>
          <cell r="E24">
            <v>-30.39</v>
          </cell>
          <cell r="F24">
            <v>-21.53</v>
          </cell>
          <cell r="G24">
            <v>-29.44</v>
          </cell>
          <cell r="H24">
            <v>15.83</v>
          </cell>
          <cell r="I24">
            <v>79.52</v>
          </cell>
          <cell r="J24">
            <v>58.19</v>
          </cell>
          <cell r="K24">
            <v>440.01</v>
          </cell>
        </row>
        <row r="25">
          <cell r="B25">
            <v>71.44</v>
          </cell>
          <cell r="C25">
            <v>85.89</v>
          </cell>
          <cell r="D25">
            <v>68.72</v>
          </cell>
          <cell r="E25">
            <v>81.62</v>
          </cell>
          <cell r="F25">
            <v>3.48</v>
          </cell>
          <cell r="G25">
            <v>1.68</v>
          </cell>
          <cell r="H25">
            <v>51.88</v>
          </cell>
          <cell r="I25">
            <v>268.35000000000002</v>
          </cell>
          <cell r="J25">
            <v>37.39</v>
          </cell>
          <cell r="K25">
            <v>451.65</v>
          </cell>
        </row>
        <row r="26">
          <cell r="B26">
            <v>91.89</v>
          </cell>
          <cell r="C26">
            <v>113.08</v>
          </cell>
          <cell r="D26">
            <v>129.26</v>
          </cell>
          <cell r="E26">
            <v>150.91999999999999</v>
          </cell>
          <cell r="F26">
            <v>194.52</v>
          </cell>
          <cell r="G26">
            <v>173.67</v>
          </cell>
          <cell r="H26">
            <v>190.94</v>
          </cell>
          <cell r="I26">
            <v>240.74</v>
          </cell>
          <cell r="J26">
            <v>266.75</v>
          </cell>
          <cell r="K26">
            <v>280.24</v>
          </cell>
        </row>
        <row r="27">
          <cell r="B27">
            <v>5.3</v>
          </cell>
          <cell r="C27">
            <v>5.54</v>
          </cell>
          <cell r="D27">
            <v>6.67</v>
          </cell>
          <cell r="E27">
            <v>15.33</v>
          </cell>
          <cell r="F27">
            <v>27.85</v>
          </cell>
          <cell r="G27">
            <v>28.22</v>
          </cell>
          <cell r="H27">
            <v>41.04</v>
          </cell>
          <cell r="I27">
            <v>68.400000000000006</v>
          </cell>
          <cell r="J27">
            <v>62.14</v>
          </cell>
          <cell r="K27">
            <v>25.87</v>
          </cell>
        </row>
        <row r="28">
          <cell r="B28">
            <v>248.58</v>
          </cell>
          <cell r="C28">
            <v>235.37</v>
          </cell>
          <cell r="D28">
            <v>200.58</v>
          </cell>
          <cell r="E28">
            <v>190.14</v>
          </cell>
          <cell r="F28">
            <v>42.01</v>
          </cell>
          <cell r="G28">
            <v>-175.85</v>
          </cell>
          <cell r="H28">
            <v>-129.63999999999999</v>
          </cell>
          <cell r="I28">
            <v>272.42</v>
          </cell>
          <cell r="J28">
            <v>605.07000000000005</v>
          </cell>
          <cell r="K28">
            <v>1238.26</v>
          </cell>
        </row>
        <row r="29">
          <cell r="B29">
            <v>69.61</v>
          </cell>
          <cell r="C29">
            <v>55.19</v>
          </cell>
          <cell r="D29">
            <v>53.37</v>
          </cell>
          <cell r="E29">
            <v>46.72</v>
          </cell>
          <cell r="F29">
            <v>-8.26</v>
          </cell>
          <cell r="G29">
            <v>-52.31</v>
          </cell>
          <cell r="H29">
            <v>-38.65</v>
          </cell>
          <cell r="I29">
            <v>138.68</v>
          </cell>
          <cell r="J29">
            <v>216.86</v>
          </cell>
          <cell r="K29">
            <v>437.4</v>
          </cell>
        </row>
        <row r="30">
          <cell r="B30">
            <v>178.89</v>
          </cell>
          <cell r="C30">
            <v>180.09</v>
          </cell>
          <cell r="D30">
            <v>147.12</v>
          </cell>
          <cell r="E30">
            <v>143.33000000000001</v>
          </cell>
          <cell r="F30">
            <v>50.17</v>
          </cell>
          <cell r="G30">
            <v>-123.63</v>
          </cell>
          <cell r="H30">
            <v>-91.08</v>
          </cell>
          <cell r="I30">
            <v>133.63999999999999</v>
          </cell>
          <cell r="J30">
            <v>388.09</v>
          </cell>
          <cell r="K30">
            <v>800.74</v>
          </cell>
        </row>
        <row r="31">
          <cell r="B31">
            <v>13.18</v>
          </cell>
          <cell r="C31">
            <v>13.18</v>
          </cell>
          <cell r="D31">
            <v>13.18</v>
          </cell>
          <cell r="E31">
            <v>13.18</v>
          </cell>
          <cell r="F31">
            <v>13.18</v>
          </cell>
          <cell r="G31">
            <v>6.59</v>
          </cell>
          <cell r="H31">
            <v>13.18</v>
          </cell>
          <cell r="I31">
            <v>13.18</v>
          </cell>
          <cell r="J31">
            <v>26.36</v>
          </cell>
          <cell r="K31">
            <v>52.72</v>
          </cell>
        </row>
        <row r="56">
          <cell r="B56">
            <v>42460</v>
          </cell>
          <cell r="C56">
            <v>42825</v>
          </cell>
          <cell r="D56">
            <v>43190</v>
          </cell>
          <cell r="E56">
            <v>43555</v>
          </cell>
          <cell r="F56">
            <v>43921</v>
          </cell>
          <cell r="G56">
            <v>44286</v>
          </cell>
          <cell r="H56">
            <v>44651</v>
          </cell>
          <cell r="I56">
            <v>45016</v>
          </cell>
          <cell r="J56">
            <v>45382</v>
          </cell>
          <cell r="K56">
            <v>45747</v>
          </cell>
        </row>
        <row r="57">
          <cell r="B57">
            <v>13.18</v>
          </cell>
          <cell r="C57">
            <v>13.18</v>
          </cell>
          <cell r="D57">
            <v>13.18</v>
          </cell>
          <cell r="E57">
            <v>13.18</v>
          </cell>
          <cell r="F57">
            <v>13.18</v>
          </cell>
          <cell r="G57">
            <v>13.18</v>
          </cell>
          <cell r="H57">
            <v>13.18</v>
          </cell>
          <cell r="I57">
            <v>13.18</v>
          </cell>
          <cell r="J57">
            <v>13.18</v>
          </cell>
          <cell r="K57">
            <v>13.18</v>
          </cell>
        </row>
        <row r="58">
          <cell r="B58">
            <v>1476.46</v>
          </cell>
          <cell r="C58">
            <v>1654.4</v>
          </cell>
          <cell r="D58">
            <v>1787.95</v>
          </cell>
          <cell r="E58">
            <v>1920.03</v>
          </cell>
          <cell r="F58">
            <v>1952.16</v>
          </cell>
          <cell r="G58">
            <v>1824.65</v>
          </cell>
          <cell r="H58">
            <v>1734.69</v>
          </cell>
          <cell r="I58">
            <v>1861.85</v>
          </cell>
          <cell r="J58">
            <v>2241.96</v>
          </cell>
          <cell r="K58">
            <v>3020.25</v>
          </cell>
        </row>
        <row r="59">
          <cell r="B59">
            <v>13.6</v>
          </cell>
          <cell r="C59">
            <v>198.71</v>
          </cell>
          <cell r="D59">
            <v>0.13</v>
          </cell>
          <cell r="E59">
            <v>285.89999999999998</v>
          </cell>
          <cell r="F59">
            <v>309.72000000000003</v>
          </cell>
          <cell r="G59">
            <v>642.41999999999996</v>
          </cell>
          <cell r="H59">
            <v>1068.82</v>
          </cell>
          <cell r="I59">
            <v>954.76</v>
          </cell>
          <cell r="J59">
            <v>524.5</v>
          </cell>
          <cell r="K59">
            <v>17.43</v>
          </cell>
        </row>
        <row r="60">
          <cell r="B60">
            <v>801.28</v>
          </cell>
          <cell r="C60">
            <v>737.59</v>
          </cell>
          <cell r="D60">
            <v>721.71</v>
          </cell>
          <cell r="E60">
            <v>616.87</v>
          </cell>
          <cell r="F60">
            <v>822.93</v>
          </cell>
          <cell r="G60">
            <v>757.25</v>
          </cell>
          <cell r="H60">
            <v>844.26</v>
          </cell>
          <cell r="I60">
            <v>1183.6099999999999</v>
          </cell>
          <cell r="J60">
            <v>1635.05</v>
          </cell>
          <cell r="K60">
            <v>2083.12</v>
          </cell>
        </row>
        <row r="61">
          <cell r="B61">
            <v>2304.52</v>
          </cell>
          <cell r="C61">
            <v>2603.88</v>
          </cell>
          <cell r="D61">
            <v>2522.9699999999998</v>
          </cell>
          <cell r="E61">
            <v>2835.98</v>
          </cell>
          <cell r="F61">
            <v>3097.99</v>
          </cell>
          <cell r="G61">
            <v>3237.5</v>
          </cell>
          <cell r="H61">
            <v>3660.95</v>
          </cell>
          <cell r="I61">
            <v>4013.4</v>
          </cell>
          <cell r="J61">
            <v>4414.6899999999996</v>
          </cell>
          <cell r="K61">
            <v>5133.9799999999996</v>
          </cell>
        </row>
        <row r="62">
          <cell r="B62">
            <v>785.88</v>
          </cell>
          <cell r="C62">
            <v>911.43</v>
          </cell>
          <cell r="D62">
            <v>948.47</v>
          </cell>
          <cell r="E62">
            <v>1215.8399999999999</v>
          </cell>
          <cell r="F62">
            <v>1400.17</v>
          </cell>
          <cell r="G62">
            <v>1223.52</v>
          </cell>
          <cell r="H62">
            <v>2033.04</v>
          </cell>
          <cell r="I62">
            <v>2093.9899999999998</v>
          </cell>
          <cell r="J62">
            <v>2031.42</v>
          </cell>
          <cell r="K62">
            <v>2163.63</v>
          </cell>
        </row>
        <row r="63">
          <cell r="B63">
            <v>204.6</v>
          </cell>
          <cell r="C63">
            <v>220.26</v>
          </cell>
          <cell r="D63">
            <v>369.17</v>
          </cell>
          <cell r="E63">
            <v>371.8</v>
          </cell>
          <cell r="F63">
            <v>445.07</v>
          </cell>
          <cell r="G63">
            <v>724.85</v>
          </cell>
          <cell r="H63">
            <v>302.14999999999998</v>
          </cell>
          <cell r="I63">
            <v>153.66999999999999</v>
          </cell>
          <cell r="J63">
            <v>170.85</v>
          </cell>
          <cell r="K63">
            <v>92.54</v>
          </cell>
        </row>
        <row r="64">
          <cell r="B64">
            <v>14.06</v>
          </cell>
          <cell r="C64">
            <v>8.7799999999999994</v>
          </cell>
          <cell r="D64">
            <v>9.7200000000000006</v>
          </cell>
          <cell r="E64">
            <v>23.14</v>
          </cell>
          <cell r="F64">
            <v>77.88</v>
          </cell>
          <cell r="G64">
            <v>99.9</v>
          </cell>
          <cell r="H64">
            <v>110.77</v>
          </cell>
          <cell r="I64">
            <v>97.34</v>
          </cell>
          <cell r="J64">
            <v>91.03</v>
          </cell>
          <cell r="K64">
            <v>103.13</v>
          </cell>
        </row>
        <row r="65">
          <cell r="B65">
            <v>1299.98</v>
          </cell>
          <cell r="C65">
            <v>1463.41</v>
          </cell>
          <cell r="D65">
            <v>1195.6099999999999</v>
          </cell>
          <cell r="E65">
            <v>1225.2</v>
          </cell>
          <cell r="F65">
            <v>1174.8699999999999</v>
          </cell>
          <cell r="G65">
            <v>1189.23</v>
          </cell>
          <cell r="H65">
            <v>1214.99</v>
          </cell>
          <cell r="I65">
            <v>1668.4</v>
          </cell>
          <cell r="J65">
            <v>2121.39</v>
          </cell>
          <cell r="K65">
            <v>2774.68</v>
          </cell>
        </row>
        <row r="66">
          <cell r="B66">
            <v>2304.52</v>
          </cell>
          <cell r="C66">
            <v>2603.88</v>
          </cell>
          <cell r="D66">
            <v>2522.9699999999998</v>
          </cell>
          <cell r="E66">
            <v>2835.98</v>
          </cell>
          <cell r="F66">
            <v>3097.99</v>
          </cell>
          <cell r="G66">
            <v>3237.5</v>
          </cell>
          <cell r="H66">
            <v>3660.95</v>
          </cell>
          <cell r="I66">
            <v>4013.4</v>
          </cell>
          <cell r="J66">
            <v>4414.6899999999996</v>
          </cell>
          <cell r="K66">
            <v>5133.9799999999996</v>
          </cell>
        </row>
        <row r="67">
          <cell r="B67">
            <v>150.4</v>
          </cell>
          <cell r="C67">
            <v>115.1</v>
          </cell>
          <cell r="D67">
            <v>241.91</v>
          </cell>
          <cell r="E67">
            <v>166.52</v>
          </cell>
          <cell r="F67">
            <v>168.72</v>
          </cell>
          <cell r="G67">
            <v>125.99</v>
          </cell>
          <cell r="H67">
            <v>189.38</v>
          </cell>
          <cell r="I67">
            <v>196.84</v>
          </cell>
          <cell r="J67">
            <v>104.06</v>
          </cell>
          <cell r="K67">
            <v>174.34</v>
          </cell>
        </row>
        <row r="68">
          <cell r="B68">
            <v>547.51</v>
          </cell>
          <cell r="C68">
            <v>437.67</v>
          </cell>
          <cell r="D68">
            <v>477.1</v>
          </cell>
          <cell r="E68">
            <v>503.56</v>
          </cell>
          <cell r="F68">
            <v>551.52</v>
          </cell>
          <cell r="G68">
            <v>557.82000000000005</v>
          </cell>
          <cell r="H68">
            <v>637.13</v>
          </cell>
          <cell r="I68">
            <v>826.55</v>
          </cell>
          <cell r="J68">
            <v>1163.19</v>
          </cell>
          <cell r="K68">
            <v>1183.76</v>
          </cell>
        </row>
        <row r="90">
          <cell r="B90">
            <v>2855</v>
          </cell>
          <cell r="C90">
            <v>4487.1000000000004</v>
          </cell>
          <cell r="D90">
            <v>2733</v>
          </cell>
          <cell r="E90">
            <v>1700.05</v>
          </cell>
          <cell r="F90">
            <v>733.65</v>
          </cell>
          <cell r="G90">
            <v>1169.75</v>
          </cell>
          <cell r="H90">
            <v>1018.8</v>
          </cell>
          <cell r="I90">
            <v>1165.3499999999999</v>
          </cell>
          <cell r="J90">
            <v>7244</v>
          </cell>
          <cell r="K90">
            <v>9045.75</v>
          </cell>
        </row>
        <row r="93">
          <cell r="B93">
            <v>1.32</v>
          </cell>
          <cell r="C93">
            <v>1.32</v>
          </cell>
          <cell r="D93">
            <v>1.32</v>
          </cell>
          <cell r="E93">
            <v>1.32</v>
          </cell>
          <cell r="F93">
            <v>1.32</v>
          </cell>
          <cell r="G93">
            <v>1.32</v>
          </cell>
          <cell r="H93">
            <v>1.32</v>
          </cell>
          <cell r="I93">
            <v>1.32</v>
          </cell>
          <cell r="J93">
            <v>1.32</v>
          </cell>
          <cell r="K93">
            <v>1.32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>
        <row r="1">
          <cell r="B1" t="str">
            <v>MAHINDRA &amp; MAHINDRA LTD</v>
          </cell>
          <cell r="E1"/>
        </row>
        <row r="6">
          <cell r="B6"/>
        </row>
        <row r="8">
          <cell r="B8">
            <v>3203.3</v>
          </cell>
        </row>
        <row r="16">
          <cell r="B16">
            <v>42460</v>
          </cell>
          <cell r="C16">
            <v>42825</v>
          </cell>
          <cell r="D16">
            <v>43190</v>
          </cell>
          <cell r="E16">
            <v>43555</v>
          </cell>
          <cell r="F16">
            <v>43921</v>
          </cell>
          <cell r="G16">
            <v>44286</v>
          </cell>
          <cell r="H16">
            <v>44651</v>
          </cell>
          <cell r="I16">
            <v>45016</v>
          </cell>
          <cell r="J16">
            <v>45382</v>
          </cell>
          <cell r="K16">
            <v>45747</v>
          </cell>
        </row>
        <row r="17">
          <cell r="B17">
            <v>75841.42</v>
          </cell>
          <cell r="C17">
            <v>83773.05</v>
          </cell>
          <cell r="D17">
            <v>92093.95</v>
          </cell>
          <cell r="E17">
            <v>104720.68</v>
          </cell>
          <cell r="F17">
            <v>75381.929999999993</v>
          </cell>
          <cell r="G17">
            <v>74277.78</v>
          </cell>
          <cell r="H17">
            <v>90170.57</v>
          </cell>
          <cell r="I17">
            <v>121268.55</v>
          </cell>
          <cell r="J17">
            <v>139078.26999999999</v>
          </cell>
          <cell r="K17">
            <v>159210.82</v>
          </cell>
        </row>
        <row r="18">
          <cell r="B18">
            <v>45584.35</v>
          </cell>
          <cell r="C18">
            <v>50655.199999999997</v>
          </cell>
          <cell r="D18">
            <v>53457.29</v>
          </cell>
          <cell r="E18">
            <v>61881.19</v>
          </cell>
          <cell r="F18">
            <v>37595.300000000003</v>
          </cell>
          <cell r="G18">
            <v>38271.199999999997</v>
          </cell>
          <cell r="H18">
            <v>52664.85</v>
          </cell>
          <cell r="I18">
            <v>76019.87</v>
          </cell>
          <cell r="J18">
            <v>85070.07</v>
          </cell>
          <cell r="K18">
            <v>95754.9</v>
          </cell>
        </row>
        <row r="19">
          <cell r="B19">
            <v>458.51</v>
          </cell>
          <cell r="C19">
            <v>13.83</v>
          </cell>
          <cell r="D19">
            <v>-83.33</v>
          </cell>
          <cell r="E19">
            <v>1730.48</v>
          </cell>
          <cell r="F19">
            <v>-826.62</v>
          </cell>
          <cell r="G19">
            <v>-135.59</v>
          </cell>
          <cell r="H19">
            <v>861.66</v>
          </cell>
          <cell r="I19">
            <v>2032.31</v>
          </cell>
          <cell r="J19">
            <v>1455.32</v>
          </cell>
          <cell r="K19">
            <v>12.18</v>
          </cell>
        </row>
        <row r="20">
          <cell r="B20">
            <v>639.97</v>
          </cell>
          <cell r="C20">
            <v>657.06</v>
          </cell>
          <cell r="D20">
            <v>733.9</v>
          </cell>
          <cell r="E20">
            <v>817.11</v>
          </cell>
          <cell r="F20">
            <v>530.91999999999996</v>
          </cell>
          <cell r="G20">
            <v>429.56</v>
          </cell>
          <cell r="H20">
            <v>541.27</v>
          </cell>
          <cell r="I20">
            <v>830.48</v>
          </cell>
          <cell r="J20">
            <v>752.73</v>
          </cell>
        </row>
        <row r="21">
          <cell r="B21">
            <v>2618.6999999999998</v>
          </cell>
          <cell r="C21">
            <v>3255.3</v>
          </cell>
          <cell r="D21">
            <v>3590.26</v>
          </cell>
          <cell r="E21">
            <v>4253</v>
          </cell>
          <cell r="F21">
            <v>3277.79</v>
          </cell>
          <cell r="G21">
            <v>2523.4</v>
          </cell>
          <cell r="H21">
            <v>3124.27</v>
          </cell>
          <cell r="I21">
            <v>3838.42</v>
          </cell>
          <cell r="J21">
            <v>3791.75</v>
          </cell>
        </row>
        <row r="22">
          <cell r="B22">
            <v>7689.4</v>
          </cell>
          <cell r="C22">
            <v>8910.6299999999992</v>
          </cell>
          <cell r="D22">
            <v>10004.620000000001</v>
          </cell>
          <cell r="E22">
            <v>11242.08</v>
          </cell>
          <cell r="F22">
            <v>8214.82</v>
          </cell>
          <cell r="G22">
            <v>7813.26</v>
          </cell>
          <cell r="H22">
            <v>8386.74</v>
          </cell>
          <cell r="I22">
            <v>9677.9500000000007</v>
          </cell>
          <cell r="J22">
            <v>10624.33</v>
          </cell>
          <cell r="K22">
            <v>11126.17</v>
          </cell>
        </row>
        <row r="23">
          <cell r="B23">
            <v>5758.86</v>
          </cell>
          <cell r="C23">
            <v>6253.64</v>
          </cell>
          <cell r="D23">
            <v>7591.15</v>
          </cell>
          <cell r="E23">
            <v>9658.98</v>
          </cell>
          <cell r="F23">
            <v>6316.52</v>
          </cell>
          <cell r="G23">
            <v>4628.75</v>
          </cell>
          <cell r="H23">
            <v>5977.67</v>
          </cell>
          <cell r="I23">
            <v>7681.87</v>
          </cell>
          <cell r="J23">
            <v>9832.2000000000007</v>
          </cell>
        </row>
        <row r="24">
          <cell r="B24">
            <v>3926.21</v>
          </cell>
          <cell r="C24">
            <v>3320.22</v>
          </cell>
          <cell r="D24">
            <v>3407.3</v>
          </cell>
          <cell r="E24">
            <v>3392.29</v>
          </cell>
          <cell r="F24">
            <v>8462.2099999999991</v>
          </cell>
          <cell r="G24">
            <v>8989</v>
          </cell>
          <cell r="H24">
            <v>5654.58</v>
          </cell>
          <cell r="I24">
            <v>4966.9799999999996</v>
          </cell>
          <cell r="J24">
            <v>5570.58</v>
          </cell>
          <cell r="K24">
            <v>21823.74</v>
          </cell>
        </row>
        <row r="25">
          <cell r="B25">
            <v>1398.83</v>
          </cell>
          <cell r="C25">
            <v>2076.61</v>
          </cell>
          <cell r="D25">
            <v>4366.41</v>
          </cell>
          <cell r="E25">
            <v>2676.45</v>
          </cell>
          <cell r="F25">
            <v>884.69</v>
          </cell>
          <cell r="G25">
            <v>1151.51</v>
          </cell>
          <cell r="H25">
            <v>3204.47</v>
          </cell>
          <cell r="I25">
            <v>3961.45</v>
          </cell>
          <cell r="J25">
            <v>3297.85</v>
          </cell>
          <cell r="K25">
            <v>3718.47</v>
          </cell>
        </row>
        <row r="26">
          <cell r="B26">
            <v>2441.65</v>
          </cell>
          <cell r="C26">
            <v>2812.72</v>
          </cell>
          <cell r="D26">
            <v>3279.9</v>
          </cell>
          <cell r="E26">
            <v>3990.77</v>
          </cell>
          <cell r="F26">
            <v>3366.68</v>
          </cell>
          <cell r="G26">
            <v>3378.11</v>
          </cell>
          <cell r="H26">
            <v>3507.5</v>
          </cell>
          <cell r="I26">
            <v>4356.8100000000004</v>
          </cell>
          <cell r="J26">
            <v>4723.78</v>
          </cell>
          <cell r="K26">
            <v>6073.65</v>
          </cell>
        </row>
        <row r="27">
          <cell r="B27">
            <v>3367.59</v>
          </cell>
          <cell r="C27">
            <v>3648.46</v>
          </cell>
          <cell r="D27">
            <v>3987.09</v>
          </cell>
          <cell r="E27">
            <v>5021.3500000000004</v>
          </cell>
          <cell r="F27">
            <v>6021.15</v>
          </cell>
          <cell r="G27">
            <v>6102.22</v>
          </cell>
          <cell r="H27">
            <v>5018.05</v>
          </cell>
          <cell r="I27">
            <v>5829.7</v>
          </cell>
          <cell r="J27">
            <v>7488.21</v>
          </cell>
          <cell r="K27">
            <v>9083.39</v>
          </cell>
        </row>
        <row r="28">
          <cell r="B28">
            <v>5672.03</v>
          </cell>
          <cell r="C28">
            <v>6350.26</v>
          </cell>
          <cell r="D28">
            <v>10325.52</v>
          </cell>
          <cell r="E28">
            <v>8870.84</v>
          </cell>
          <cell r="F28">
            <v>1654.61</v>
          </cell>
          <cell r="G28">
            <v>3158.2</v>
          </cell>
          <cell r="H28">
            <v>9361.77</v>
          </cell>
          <cell r="I28">
            <v>14060.23</v>
          </cell>
          <cell r="J28">
            <v>15977.79</v>
          </cell>
          <cell r="K28">
            <v>19079.62</v>
          </cell>
        </row>
        <row r="29">
          <cell r="B29">
            <v>2117.5300000000002</v>
          </cell>
          <cell r="C29">
            <v>2299.73</v>
          </cell>
          <cell r="D29">
            <v>2367.73</v>
          </cell>
          <cell r="E29">
            <v>2853.99</v>
          </cell>
          <cell r="F29">
            <v>1975.61</v>
          </cell>
          <cell r="G29">
            <v>1645.81</v>
          </cell>
          <cell r="H29">
            <v>2108.7600000000002</v>
          </cell>
          <cell r="I29">
            <v>2685.75</v>
          </cell>
          <cell r="J29">
            <v>3707.97</v>
          </cell>
          <cell r="K29">
            <v>5006.45</v>
          </cell>
        </row>
        <row r="30">
          <cell r="B30">
            <v>3148.43</v>
          </cell>
          <cell r="C30">
            <v>3698.04</v>
          </cell>
          <cell r="D30">
            <v>7510.39</v>
          </cell>
          <cell r="E30">
            <v>5315.46</v>
          </cell>
          <cell r="F30">
            <v>127.04</v>
          </cell>
          <cell r="G30">
            <v>1812.49</v>
          </cell>
          <cell r="H30">
            <v>6577.32</v>
          </cell>
          <cell r="I30">
            <v>10281.5</v>
          </cell>
          <cell r="J30">
            <v>11268.64</v>
          </cell>
          <cell r="K30">
            <v>12929.1</v>
          </cell>
        </row>
        <row r="31">
          <cell r="B31">
            <v>648.96</v>
          </cell>
          <cell r="C31">
            <v>807.43</v>
          </cell>
          <cell r="D31">
            <v>814.7</v>
          </cell>
          <cell r="E31">
            <v>924.73</v>
          </cell>
          <cell r="F31">
            <v>260.51</v>
          </cell>
          <cell r="G31">
            <v>971.51</v>
          </cell>
          <cell r="H31">
            <v>1284.5</v>
          </cell>
          <cell r="I31">
            <v>1809.66</v>
          </cell>
          <cell r="J31">
            <v>2352.14</v>
          </cell>
          <cell r="K31">
            <v>2824.24</v>
          </cell>
        </row>
        <row r="56">
          <cell r="B56">
            <v>42460</v>
          </cell>
          <cell r="C56">
            <v>42825</v>
          </cell>
          <cell r="D56">
            <v>43190</v>
          </cell>
          <cell r="E56">
            <v>43555</v>
          </cell>
          <cell r="F56">
            <v>43921</v>
          </cell>
          <cell r="G56">
            <v>44286</v>
          </cell>
          <cell r="H56">
            <v>44651</v>
          </cell>
          <cell r="I56">
            <v>45016</v>
          </cell>
          <cell r="J56">
            <v>45382</v>
          </cell>
          <cell r="K56">
            <v>45747</v>
          </cell>
        </row>
        <row r="57">
          <cell r="B57">
            <v>270.39999999999998</v>
          </cell>
          <cell r="C57">
            <v>310.55</v>
          </cell>
          <cell r="D57">
            <v>543.13</v>
          </cell>
          <cell r="E57">
            <v>543.96</v>
          </cell>
          <cell r="F57">
            <v>554.28</v>
          </cell>
          <cell r="G57">
            <v>555.15</v>
          </cell>
          <cell r="H57">
            <v>556.05999999999995</v>
          </cell>
          <cell r="I57">
            <v>556.82000000000005</v>
          </cell>
          <cell r="J57">
            <v>557.38</v>
          </cell>
          <cell r="K57">
            <v>558.15</v>
          </cell>
        </row>
        <row r="58">
          <cell r="B58">
            <v>26222.25</v>
          </cell>
          <cell r="C58">
            <v>29467.1</v>
          </cell>
          <cell r="D58">
            <v>36232.06</v>
          </cell>
          <cell r="E58">
            <v>39439.449999999997</v>
          </cell>
          <cell r="F58">
            <v>39415.03</v>
          </cell>
          <cell r="G58">
            <v>41026.769999999997</v>
          </cell>
          <cell r="H58">
            <v>46566.58</v>
          </cell>
          <cell r="I58">
            <v>55808.97</v>
          </cell>
          <cell r="J58">
            <v>65633.17</v>
          </cell>
          <cell r="K58">
            <v>76480.710000000006</v>
          </cell>
        </row>
        <row r="59">
          <cell r="B59">
            <v>41552.93</v>
          </cell>
          <cell r="C59">
            <v>48761.91</v>
          </cell>
          <cell r="D59">
            <v>55897.919999999998</v>
          </cell>
          <cell r="E59">
            <v>70848.3</v>
          </cell>
          <cell r="F59">
            <v>82092.28</v>
          </cell>
          <cell r="G59">
            <v>80624.83</v>
          </cell>
          <cell r="H59">
            <v>77605.210000000006</v>
          </cell>
          <cell r="I59">
            <v>92246.85</v>
          </cell>
          <cell r="J59">
            <v>108647.25</v>
          </cell>
          <cell r="K59">
            <v>124949.31</v>
          </cell>
        </row>
        <row r="60">
          <cell r="B60">
            <v>31806.240000000002</v>
          </cell>
          <cell r="C60">
            <v>35295.919999999998</v>
          </cell>
          <cell r="D60">
            <v>43696.2</v>
          </cell>
          <cell r="E60">
            <v>51056.95</v>
          </cell>
          <cell r="F60">
            <v>43654.54</v>
          </cell>
          <cell r="G60">
            <v>42761.58</v>
          </cell>
          <cell r="H60">
            <v>47660.639999999999</v>
          </cell>
          <cell r="I60">
            <v>55670.49</v>
          </cell>
          <cell r="J60">
            <v>59883.94</v>
          </cell>
          <cell r="K60">
            <v>75598.100000000006</v>
          </cell>
        </row>
        <row r="61">
          <cell r="B61">
            <v>99851.82</v>
          </cell>
          <cell r="C61">
            <v>113835.48</v>
          </cell>
          <cell r="D61">
            <v>136369.31</v>
          </cell>
          <cell r="E61">
            <v>161888.66</v>
          </cell>
          <cell r="F61">
            <v>165716.13</v>
          </cell>
          <cell r="G61">
            <v>164968.32999999999</v>
          </cell>
          <cell r="H61">
            <v>172388.49</v>
          </cell>
          <cell r="I61">
            <v>204283.13</v>
          </cell>
          <cell r="J61">
            <v>234721.74</v>
          </cell>
          <cell r="K61">
            <v>277586.27</v>
          </cell>
        </row>
        <row r="62">
          <cell r="B62">
            <v>20584.71</v>
          </cell>
          <cell r="C62">
            <v>20989.01</v>
          </cell>
          <cell r="D62">
            <v>26181.9</v>
          </cell>
          <cell r="E62">
            <v>28982.74</v>
          </cell>
          <cell r="F62">
            <v>29689.27</v>
          </cell>
          <cell r="G62">
            <v>21379.68</v>
          </cell>
          <cell r="H62">
            <v>26018.49</v>
          </cell>
          <cell r="I62">
            <v>27139.98</v>
          </cell>
          <cell r="J62">
            <v>28129.41</v>
          </cell>
          <cell r="K62">
            <v>39281.440000000002</v>
          </cell>
        </row>
        <row r="63">
          <cell r="B63">
            <v>2371.35</v>
          </cell>
          <cell r="C63">
            <v>4278.9399999999996</v>
          </cell>
          <cell r="D63">
            <v>4269.47</v>
          </cell>
          <cell r="E63">
            <v>4759.84</v>
          </cell>
          <cell r="F63">
            <v>6856.48</v>
          </cell>
          <cell r="G63">
            <v>7872.61</v>
          </cell>
          <cell r="H63">
            <v>6702.81</v>
          </cell>
          <cell r="I63">
            <v>3968.58</v>
          </cell>
          <cell r="J63">
            <v>8039.3</v>
          </cell>
          <cell r="K63">
            <v>3652.56</v>
          </cell>
        </row>
        <row r="64">
          <cell r="B64">
            <v>11602.58</v>
          </cell>
          <cell r="C64">
            <v>14662.44</v>
          </cell>
          <cell r="D64">
            <v>16017.61</v>
          </cell>
          <cell r="E64">
            <v>18268.099999999999</v>
          </cell>
          <cell r="F64">
            <v>19210.34</v>
          </cell>
          <cell r="G64">
            <v>28777.66</v>
          </cell>
          <cell r="H64">
            <v>30060.43</v>
          </cell>
          <cell r="I64">
            <v>35272.42</v>
          </cell>
          <cell r="J64">
            <v>35208.1</v>
          </cell>
          <cell r="K64">
            <v>41308.57</v>
          </cell>
        </row>
        <row r="65">
          <cell r="B65">
            <v>65293.18</v>
          </cell>
          <cell r="C65">
            <v>73905.09</v>
          </cell>
          <cell r="D65">
            <v>89900.33</v>
          </cell>
          <cell r="E65">
            <v>109877.98</v>
          </cell>
          <cell r="F65">
            <v>109960.04</v>
          </cell>
          <cell r="G65">
            <v>106938.38</v>
          </cell>
          <cell r="H65">
            <v>109606.76</v>
          </cell>
          <cell r="I65">
            <v>137902.15</v>
          </cell>
          <cell r="J65">
            <v>163344.93</v>
          </cell>
          <cell r="K65">
            <v>193343.7</v>
          </cell>
        </row>
        <row r="66">
          <cell r="B66">
            <v>99851.82</v>
          </cell>
          <cell r="C66">
            <v>113835.48</v>
          </cell>
          <cell r="D66">
            <v>136369.31</v>
          </cell>
          <cell r="E66">
            <v>161888.66</v>
          </cell>
          <cell r="F66">
            <v>165716.13</v>
          </cell>
          <cell r="G66">
            <v>164968.32999999999</v>
          </cell>
          <cell r="H66">
            <v>172388.49</v>
          </cell>
          <cell r="I66">
            <v>204283.13</v>
          </cell>
          <cell r="J66">
            <v>234721.74</v>
          </cell>
          <cell r="K66">
            <v>277586.27</v>
          </cell>
        </row>
        <row r="67">
          <cell r="B67">
            <v>5817.6</v>
          </cell>
          <cell r="C67">
            <v>7199.26</v>
          </cell>
          <cell r="D67">
            <v>8489.82</v>
          </cell>
          <cell r="E67">
            <v>8677.89</v>
          </cell>
          <cell r="F67">
            <v>6928.28</v>
          </cell>
          <cell r="G67">
            <v>6007.76</v>
          </cell>
          <cell r="H67">
            <v>6373.95</v>
          </cell>
          <cell r="I67">
            <v>7028.02</v>
          </cell>
          <cell r="J67">
            <v>7459.4</v>
          </cell>
          <cell r="K67">
            <v>8279.7000000000007</v>
          </cell>
        </row>
        <row r="68">
          <cell r="B68">
            <v>9116.1200000000008</v>
          </cell>
          <cell r="C68">
            <v>8886.01</v>
          </cell>
          <cell r="D68">
            <v>9335.57</v>
          </cell>
          <cell r="E68">
            <v>12200.16</v>
          </cell>
          <cell r="F68">
            <v>11111.86</v>
          </cell>
          <cell r="G68">
            <v>9615.41</v>
          </cell>
          <cell r="H68">
            <v>11595.82</v>
          </cell>
          <cell r="I68">
            <v>16854.97</v>
          </cell>
          <cell r="J68">
            <v>18590.47</v>
          </cell>
          <cell r="K68">
            <v>20330.93</v>
          </cell>
        </row>
        <row r="90">
          <cell r="B90">
            <v>605.35</v>
          </cell>
          <cell r="C90">
            <v>643.45000000000005</v>
          </cell>
          <cell r="D90">
            <v>738.9</v>
          </cell>
          <cell r="E90">
            <v>673.9</v>
          </cell>
          <cell r="F90">
            <v>284.95</v>
          </cell>
          <cell r="G90">
            <v>795.25</v>
          </cell>
          <cell r="H90">
            <v>806.55</v>
          </cell>
          <cell r="I90">
            <v>1158.7</v>
          </cell>
          <cell r="J90">
            <v>1921.35</v>
          </cell>
          <cell r="K90">
            <v>2665.8</v>
          </cell>
        </row>
        <row r="93">
          <cell r="B93">
            <v>124.22</v>
          </cell>
          <cell r="C93">
            <v>124.22</v>
          </cell>
          <cell r="D93">
            <v>124.32</v>
          </cell>
          <cell r="E93">
            <v>124.32</v>
          </cell>
          <cell r="F93">
            <v>124.32</v>
          </cell>
          <cell r="G93">
            <v>124.32</v>
          </cell>
          <cell r="H93">
            <v>124.32</v>
          </cell>
          <cell r="I93">
            <v>124.35</v>
          </cell>
          <cell r="J93">
            <v>124.35</v>
          </cell>
          <cell r="K93">
            <v>124.35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_FDSCACHE__"/>
      <sheetName val="Sheet4"/>
      <sheetName val="Indian Comps"/>
      <sheetName val="Global Comps"/>
      <sheetName val="Data Base&gt;"/>
      <sheetName val="Indian Peers"/>
      <sheetName val="Global Peers"/>
      <sheetName val="XLinkMe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C6" t="str">
            <v>Tata Motors</v>
          </cell>
          <cell r="D6">
            <v>688</v>
          </cell>
          <cell r="E6">
            <v>368.25345930232561</v>
          </cell>
          <cell r="F6">
            <v>284064.38</v>
          </cell>
          <cell r="G6">
            <v>253358.38</v>
          </cell>
          <cell r="I6">
            <v>345966.97</v>
          </cell>
          <cell r="J6">
            <v>434016</v>
          </cell>
          <cell r="K6">
            <v>439695</v>
          </cell>
          <cell r="L6">
            <v>76450.3</v>
          </cell>
          <cell r="M6">
            <v>75372.299999999988</v>
          </cell>
          <cell r="N6">
            <v>31399</v>
          </cell>
          <cell r="O6">
            <v>27830</v>
          </cell>
        </row>
        <row r="7">
          <cell r="C7" t="str">
            <v>Maruti Suzuki</v>
          </cell>
          <cell r="D7">
            <v>12667</v>
          </cell>
          <cell r="E7">
            <v>31.440257079576014</v>
          </cell>
          <cell r="F7">
            <v>397001.82999999996</v>
          </cell>
          <cell r="G7">
            <v>397467.73</v>
          </cell>
          <cell r="I7">
            <v>118409.9</v>
          </cell>
          <cell r="J7">
            <v>141858.20000000001</v>
          </cell>
          <cell r="K7">
            <v>152913</v>
          </cell>
          <cell r="L7">
            <v>22873.9</v>
          </cell>
          <cell r="M7">
            <v>25422.399999999987</v>
          </cell>
          <cell r="N7">
            <v>13488.2</v>
          </cell>
          <cell r="O7">
            <v>14500.2</v>
          </cell>
        </row>
        <row r="8">
          <cell r="D8">
            <v>3220</v>
          </cell>
          <cell r="E8">
            <v>124.35288296444291</v>
          </cell>
          <cell r="F8">
            <v>502674.06</v>
          </cell>
          <cell r="G8">
            <v>398339.59</v>
          </cell>
          <cell r="I8">
            <v>121268.55</v>
          </cell>
          <cell r="J8">
            <v>139078.26999999999</v>
          </cell>
          <cell r="K8">
            <v>159210.82</v>
          </cell>
          <cell r="L8">
            <v>29615.709999999992</v>
          </cell>
          <cell r="M8">
            <v>36591.840000000004</v>
          </cell>
          <cell r="N8">
            <v>11268.64</v>
          </cell>
          <cell r="O8">
            <v>12929.1</v>
          </cell>
        </row>
        <row r="9">
          <cell r="C9" t="str">
            <v>Force Motors</v>
          </cell>
          <cell r="D9">
            <v>14525</v>
          </cell>
          <cell r="E9">
            <v>1.3176262068965519</v>
          </cell>
          <cell r="F9">
            <v>18615.600000000002</v>
          </cell>
          <cell r="G9">
            <v>19105.580000000002</v>
          </cell>
          <cell r="I9">
            <v>5028.9799999999996</v>
          </cell>
          <cell r="J9">
            <v>6992.13</v>
          </cell>
          <cell r="K9">
            <v>8071.73</v>
          </cell>
          <cell r="L9">
            <v>1163.3199999999997</v>
          </cell>
          <cell r="M9">
            <v>1372.9599999999984</v>
          </cell>
          <cell r="N9">
            <v>388.09</v>
          </cell>
          <cell r="O9">
            <v>800.74</v>
          </cell>
        </row>
        <row r="10">
          <cell r="C10" t="str">
            <v>Eicher Motors</v>
          </cell>
          <cell r="D10">
            <v>5630</v>
          </cell>
          <cell r="E10">
            <v>27.425224381625441</v>
          </cell>
          <cell r="F10">
            <v>155421.88999999998</v>
          </cell>
          <cell r="G10">
            <v>155226.76999999999</v>
          </cell>
          <cell r="I10">
            <v>14442.18</v>
          </cell>
          <cell r="J10">
            <v>16535.78</v>
          </cell>
          <cell r="K10">
            <v>18870.349999999999</v>
          </cell>
          <cell r="L10">
            <v>4926.9699999999975</v>
          </cell>
          <cell r="M10">
            <v>5441.3599999999988</v>
          </cell>
          <cell r="N10">
            <v>4001.01</v>
          </cell>
          <cell r="O10">
            <v>4734.4399999999996</v>
          </cell>
        </row>
        <row r="12">
          <cell r="C12" t="str">
            <v xml:space="preserve">Ashok Leyland </v>
          </cell>
          <cell r="D12">
            <v>249.6</v>
          </cell>
          <cell r="E12">
            <v>293.65274496456169</v>
          </cell>
          <cell r="F12">
            <v>73333.899999999994</v>
          </cell>
          <cell r="G12">
            <v>73333.899999999994</v>
          </cell>
          <cell r="I12">
            <v>41672.6</v>
          </cell>
          <cell r="J12">
            <v>45790.64</v>
          </cell>
          <cell r="K12">
            <v>48535.14</v>
          </cell>
          <cell r="L12">
            <v>8870.1600000000035</v>
          </cell>
          <cell r="M12">
            <v>10294.4</v>
          </cell>
          <cell r="N12">
            <v>2483.52</v>
          </cell>
          <cell r="O12">
            <v>3106.8</v>
          </cell>
        </row>
      </sheetData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>
        <row r="1">
          <cell r="A1"/>
        </row>
      </sheetData>
      <sheetData sheetId="3"/>
      <sheetData sheetId="4"/>
      <sheetData sheetId="5">
        <row r="1">
          <cell r="B1" t="str">
            <v>TATA MOTORS LTD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>
        <row r="1">
          <cell r="B1" t="str">
            <v>MARUTI SUZUKI INDIA LTD</v>
          </cell>
        </row>
        <row r="6">
          <cell r="B6"/>
        </row>
        <row r="8">
          <cell r="B8">
            <v>12642</v>
          </cell>
        </row>
        <row r="16">
          <cell r="B16">
            <v>42460</v>
          </cell>
          <cell r="C16">
            <v>42825</v>
          </cell>
          <cell r="D16">
            <v>43190</v>
          </cell>
          <cell r="E16">
            <v>43555</v>
          </cell>
          <cell r="F16">
            <v>43921</v>
          </cell>
          <cell r="G16">
            <v>44286</v>
          </cell>
          <cell r="H16">
            <v>44651</v>
          </cell>
          <cell r="I16">
            <v>45016</v>
          </cell>
          <cell r="J16">
            <v>45382</v>
          </cell>
          <cell r="K16">
            <v>45747</v>
          </cell>
        </row>
        <row r="17">
          <cell r="B17">
            <v>57589</v>
          </cell>
          <cell r="C17">
            <v>68085</v>
          </cell>
          <cell r="D17">
            <v>79809.399999999994</v>
          </cell>
          <cell r="E17">
            <v>86068.5</v>
          </cell>
          <cell r="F17">
            <v>75660</v>
          </cell>
          <cell r="G17">
            <v>70372</v>
          </cell>
          <cell r="H17">
            <v>88329.8</v>
          </cell>
          <cell r="I17">
            <v>118409.9</v>
          </cell>
          <cell r="J17">
            <v>141858.20000000001</v>
          </cell>
          <cell r="K17">
            <v>152913</v>
          </cell>
        </row>
        <row r="18">
          <cell r="B18">
            <v>38701.199999999997</v>
          </cell>
          <cell r="C18">
            <v>47121.5</v>
          </cell>
          <cell r="D18">
            <v>54945.3</v>
          </cell>
          <cell r="E18">
            <v>59346.6</v>
          </cell>
          <cell r="F18">
            <v>53402</v>
          </cell>
          <cell r="G18">
            <v>50550.5</v>
          </cell>
          <cell r="H18">
            <v>66137.100000000006</v>
          </cell>
          <cell r="I18">
            <v>86066.9</v>
          </cell>
          <cell r="J18">
            <v>100119.5</v>
          </cell>
          <cell r="K18">
            <v>108718.3</v>
          </cell>
        </row>
        <row r="19">
          <cell r="B19">
            <v>-4.8</v>
          </cell>
          <cell r="C19">
            <v>379.3</v>
          </cell>
          <cell r="D19">
            <v>-40.799999999999997</v>
          </cell>
          <cell r="E19">
            <v>-211.6</v>
          </cell>
          <cell r="F19">
            <v>238.7</v>
          </cell>
          <cell r="G19">
            <v>-273.60000000000002</v>
          </cell>
          <cell r="H19">
            <v>93.1</v>
          </cell>
          <cell r="I19">
            <v>580.5</v>
          </cell>
          <cell r="J19">
            <v>378.6</v>
          </cell>
          <cell r="K19">
            <v>1227.5</v>
          </cell>
        </row>
        <row r="20">
          <cell r="B20">
            <v>694.1</v>
          </cell>
          <cell r="C20">
            <v>518.6</v>
          </cell>
          <cell r="D20">
            <v>673.4</v>
          </cell>
          <cell r="E20">
            <v>863.3</v>
          </cell>
          <cell r="F20">
            <v>699.5</v>
          </cell>
          <cell r="G20">
            <v>476.6</v>
          </cell>
          <cell r="H20">
            <v>630.9</v>
          </cell>
          <cell r="I20">
            <v>1091.9000000000001</v>
          </cell>
          <cell r="J20">
            <v>1033.4000000000001</v>
          </cell>
        </row>
        <row r="21">
          <cell r="B21">
            <v>427.8</v>
          </cell>
          <cell r="C21">
            <v>382.9</v>
          </cell>
          <cell r="D21">
            <v>462.1</v>
          </cell>
          <cell r="E21">
            <v>475.7</v>
          </cell>
          <cell r="F21">
            <v>378.1</v>
          </cell>
          <cell r="G21">
            <v>683.3</v>
          </cell>
          <cell r="H21">
            <v>852.5</v>
          </cell>
          <cell r="I21">
            <v>843.8</v>
          </cell>
          <cell r="J21">
            <v>939.3</v>
          </cell>
        </row>
        <row r="22">
          <cell r="B22">
            <v>2000.3</v>
          </cell>
          <cell r="C22">
            <v>2360.3000000000002</v>
          </cell>
          <cell r="D22">
            <v>2863.4</v>
          </cell>
          <cell r="E22">
            <v>3285</v>
          </cell>
          <cell r="F22">
            <v>3416.2</v>
          </cell>
          <cell r="G22">
            <v>3431.6</v>
          </cell>
          <cell r="H22">
            <v>4051.4</v>
          </cell>
          <cell r="I22">
            <v>5308.5</v>
          </cell>
          <cell r="J22">
            <v>6301.6</v>
          </cell>
          <cell r="K22">
            <v>7026</v>
          </cell>
        </row>
        <row r="23">
          <cell r="B23">
            <v>5367.3</v>
          </cell>
          <cell r="C23">
            <v>6111.3</v>
          </cell>
          <cell r="D23">
            <v>6755.3</v>
          </cell>
          <cell r="E23">
            <v>8390.2999999999993</v>
          </cell>
          <cell r="F23">
            <v>8456.2999999999993</v>
          </cell>
          <cell r="G23">
            <v>7924</v>
          </cell>
          <cell r="H23">
            <v>9119.1</v>
          </cell>
          <cell r="I23">
            <v>10316.299999999999</v>
          </cell>
          <cell r="J23">
            <v>12082.6</v>
          </cell>
        </row>
        <row r="24">
          <cell r="B24">
            <v>1369.4</v>
          </cell>
          <cell r="C24">
            <v>1548.4</v>
          </cell>
          <cell r="D24">
            <v>1951.2</v>
          </cell>
          <cell r="E24">
            <v>2439.6999999999998</v>
          </cell>
          <cell r="F24">
            <v>2191.6</v>
          </cell>
          <cell r="G24">
            <v>1621.8</v>
          </cell>
          <cell r="H24">
            <v>1879.9</v>
          </cell>
          <cell r="I24">
            <v>2241.5</v>
          </cell>
          <cell r="J24">
            <v>3134.1</v>
          </cell>
          <cell r="K24">
            <v>18239.900000000001</v>
          </cell>
        </row>
        <row r="25">
          <cell r="B25">
            <v>1464.1</v>
          </cell>
          <cell r="C25">
            <v>2399.1999999999998</v>
          </cell>
          <cell r="D25">
            <v>2154.6</v>
          </cell>
          <cell r="E25">
            <v>2664.2</v>
          </cell>
          <cell r="F25">
            <v>3410.4</v>
          </cell>
          <cell r="G25">
            <v>3046.3</v>
          </cell>
          <cell r="H25">
            <v>1860.8</v>
          </cell>
          <cell r="I25">
            <v>2415</v>
          </cell>
          <cell r="J25">
            <v>4247.6000000000004</v>
          </cell>
          <cell r="K25">
            <v>5266.1</v>
          </cell>
        </row>
        <row r="26">
          <cell r="B26">
            <v>2821.8</v>
          </cell>
          <cell r="C26">
            <v>2603.9</v>
          </cell>
          <cell r="D26">
            <v>2759.8</v>
          </cell>
          <cell r="E26">
            <v>3020.8</v>
          </cell>
          <cell r="F26">
            <v>3528.4</v>
          </cell>
          <cell r="G26">
            <v>3034.1</v>
          </cell>
          <cell r="H26">
            <v>2789</v>
          </cell>
          <cell r="I26">
            <v>4846</v>
          </cell>
          <cell r="J26">
            <v>5255.8</v>
          </cell>
          <cell r="K26">
            <v>5608.2</v>
          </cell>
        </row>
        <row r="27">
          <cell r="B27">
            <v>81.7</v>
          </cell>
          <cell r="C27">
            <v>89.4</v>
          </cell>
          <cell r="D27">
            <v>345.8</v>
          </cell>
          <cell r="E27">
            <v>75.900000000000006</v>
          </cell>
          <cell r="F27">
            <v>134.19999999999999</v>
          </cell>
          <cell r="G27">
            <v>101.8</v>
          </cell>
          <cell r="H27">
            <v>126.6</v>
          </cell>
          <cell r="I27">
            <v>252.3</v>
          </cell>
          <cell r="J27">
            <v>193.6</v>
          </cell>
          <cell r="K27">
            <v>194.2</v>
          </cell>
        </row>
        <row r="28">
          <cell r="B28">
            <v>7584.7</v>
          </cell>
          <cell r="C28">
            <v>10127.200000000001</v>
          </cell>
          <cell r="D28">
            <v>11166.9</v>
          </cell>
          <cell r="E28">
            <v>10623.8</v>
          </cell>
          <cell r="F28">
            <v>7102.8</v>
          </cell>
          <cell r="G28">
            <v>5321</v>
          </cell>
          <cell r="H28">
            <v>4697.2</v>
          </cell>
          <cell r="I28">
            <v>10438.200000000001</v>
          </cell>
          <cell r="J28">
            <v>17424.5</v>
          </cell>
          <cell r="K28">
            <v>19620</v>
          </cell>
        </row>
        <row r="29">
          <cell r="B29">
            <v>2087.5</v>
          </cell>
          <cell r="C29">
            <v>2616.1999999999998</v>
          </cell>
          <cell r="D29">
            <v>3286.2</v>
          </cell>
          <cell r="E29">
            <v>2973.2</v>
          </cell>
          <cell r="F29">
            <v>1425.2</v>
          </cell>
          <cell r="G29">
            <v>931.9</v>
          </cell>
          <cell r="H29">
            <v>817.7</v>
          </cell>
          <cell r="I29">
            <v>2174.5</v>
          </cell>
          <cell r="J29">
            <v>3936.3</v>
          </cell>
          <cell r="K29">
            <v>5119.8</v>
          </cell>
        </row>
        <row r="30">
          <cell r="B30">
            <v>5497.2</v>
          </cell>
          <cell r="C30">
            <v>7509.9</v>
          </cell>
          <cell r="D30">
            <v>7880</v>
          </cell>
          <cell r="E30">
            <v>7649.1</v>
          </cell>
          <cell r="F30">
            <v>5676</v>
          </cell>
          <cell r="G30">
            <v>4389.1000000000004</v>
          </cell>
          <cell r="H30">
            <v>3879.5</v>
          </cell>
          <cell r="I30">
            <v>8263.7000000000007</v>
          </cell>
          <cell r="J30">
            <v>13488.2</v>
          </cell>
          <cell r="K30">
            <v>14500.2</v>
          </cell>
        </row>
        <row r="31">
          <cell r="B31">
            <v>1057</v>
          </cell>
          <cell r="C31">
            <v>2265</v>
          </cell>
          <cell r="D31">
            <v>2416</v>
          </cell>
          <cell r="E31">
            <v>2416</v>
          </cell>
          <cell r="F31">
            <v>1812</v>
          </cell>
          <cell r="G31">
            <v>1359</v>
          </cell>
          <cell r="H31">
            <v>1812</v>
          </cell>
          <cell r="I31">
            <v>2829.6</v>
          </cell>
          <cell r="J31">
            <v>3930</v>
          </cell>
          <cell r="K31">
            <v>4244.3999999999996</v>
          </cell>
        </row>
        <row r="56">
          <cell r="B56">
            <v>42460</v>
          </cell>
          <cell r="C56">
            <v>42825</v>
          </cell>
          <cell r="D56">
            <v>43190</v>
          </cell>
          <cell r="E56">
            <v>43555</v>
          </cell>
          <cell r="F56">
            <v>43921</v>
          </cell>
          <cell r="G56">
            <v>44286</v>
          </cell>
          <cell r="H56">
            <v>44651</v>
          </cell>
          <cell r="I56">
            <v>45016</v>
          </cell>
          <cell r="J56">
            <v>45382</v>
          </cell>
          <cell r="K56">
            <v>45747</v>
          </cell>
        </row>
        <row r="57">
          <cell r="B57">
            <v>151</v>
          </cell>
          <cell r="C57">
            <v>151</v>
          </cell>
          <cell r="D57">
            <v>151</v>
          </cell>
          <cell r="E57">
            <v>151</v>
          </cell>
          <cell r="F57">
            <v>151</v>
          </cell>
          <cell r="G57">
            <v>151</v>
          </cell>
          <cell r="H57">
            <v>151</v>
          </cell>
          <cell r="I57">
            <v>157.19999999999999</v>
          </cell>
          <cell r="J57">
            <v>157.19999999999999</v>
          </cell>
          <cell r="K57">
            <v>157.19999999999999</v>
          </cell>
        </row>
        <row r="58">
          <cell r="B58">
            <v>30465</v>
          </cell>
          <cell r="C58">
            <v>36924.1</v>
          </cell>
          <cell r="D58">
            <v>42408.4</v>
          </cell>
          <cell r="E58">
            <v>46941.1</v>
          </cell>
          <cell r="F58">
            <v>49262</v>
          </cell>
          <cell r="G58">
            <v>52349.599999999999</v>
          </cell>
          <cell r="H58">
            <v>55182.5</v>
          </cell>
          <cell r="I58">
            <v>74443</v>
          </cell>
          <cell r="J58">
            <v>85478.8</v>
          </cell>
          <cell r="K58">
            <v>96082.7</v>
          </cell>
        </row>
        <row r="59">
          <cell r="B59">
            <v>230.9</v>
          </cell>
          <cell r="C59">
            <v>483.6</v>
          </cell>
          <cell r="D59">
            <v>120.8</v>
          </cell>
          <cell r="E59">
            <v>159.6</v>
          </cell>
          <cell r="F59">
            <v>184.1</v>
          </cell>
          <cell r="G59">
            <v>540.9</v>
          </cell>
          <cell r="H59">
            <v>425.5</v>
          </cell>
          <cell r="I59">
            <v>1247.5999999999999</v>
          </cell>
          <cell r="J59">
            <v>118.6</v>
          </cell>
          <cell r="K59">
            <v>87</v>
          </cell>
        </row>
        <row r="60">
          <cell r="B60">
            <v>11878.6</v>
          </cell>
          <cell r="C60">
            <v>14401.8</v>
          </cell>
          <cell r="D60">
            <v>17568.2</v>
          </cell>
          <cell r="E60">
            <v>16717</v>
          </cell>
          <cell r="F60">
            <v>14030.6</v>
          </cell>
          <cell r="G60">
            <v>18334.599999999999</v>
          </cell>
          <cell r="H60">
            <v>18896.5</v>
          </cell>
          <cell r="I60">
            <v>24258.2</v>
          </cell>
          <cell r="J60">
            <v>29549.5</v>
          </cell>
          <cell r="K60">
            <v>35644.9</v>
          </cell>
        </row>
        <row r="61">
          <cell r="B61">
            <v>42725.5</v>
          </cell>
          <cell r="C61">
            <v>51960.5</v>
          </cell>
          <cell r="D61">
            <v>60248.4</v>
          </cell>
          <cell r="E61">
            <v>63968.7</v>
          </cell>
          <cell r="F61">
            <v>63627.7</v>
          </cell>
          <cell r="G61">
            <v>71376.100000000006</v>
          </cell>
          <cell r="H61">
            <v>74655.5</v>
          </cell>
          <cell r="I61">
            <v>100106</v>
          </cell>
          <cell r="J61">
            <v>115304.1</v>
          </cell>
          <cell r="K61">
            <v>131971.79999999999</v>
          </cell>
        </row>
        <row r="62">
          <cell r="B62">
            <v>12529.6</v>
          </cell>
          <cell r="C62">
            <v>13310.7</v>
          </cell>
          <cell r="D62">
            <v>13388.8</v>
          </cell>
          <cell r="E62">
            <v>15437.3</v>
          </cell>
          <cell r="F62">
            <v>15744.4</v>
          </cell>
          <cell r="G62">
            <v>14988.7</v>
          </cell>
          <cell r="H62">
            <v>13747.2</v>
          </cell>
          <cell r="I62">
            <v>27941.4</v>
          </cell>
          <cell r="J62">
            <v>27864.799999999999</v>
          </cell>
          <cell r="K62">
            <v>33384.5</v>
          </cell>
        </row>
        <row r="63">
          <cell r="B63">
            <v>1006.9</v>
          </cell>
          <cell r="C63">
            <v>1252.3</v>
          </cell>
          <cell r="D63">
            <v>2132.1</v>
          </cell>
          <cell r="E63">
            <v>1606.9</v>
          </cell>
          <cell r="F63">
            <v>1415.2</v>
          </cell>
          <cell r="G63">
            <v>1496.8</v>
          </cell>
          <cell r="H63">
            <v>2936.5</v>
          </cell>
          <cell r="I63">
            <v>4143</v>
          </cell>
          <cell r="J63">
            <v>7734.8</v>
          </cell>
          <cell r="K63">
            <v>7527.2</v>
          </cell>
        </row>
        <row r="64">
          <cell r="B64">
            <v>20675.8</v>
          </cell>
          <cell r="C64">
            <v>29150.6</v>
          </cell>
          <cell r="D64">
            <v>36123.1</v>
          </cell>
          <cell r="E64">
            <v>37503.599999999999</v>
          </cell>
          <cell r="F64">
            <v>37488</v>
          </cell>
          <cell r="G64">
            <v>42944.800000000003</v>
          </cell>
          <cell r="H64">
            <v>42034.7</v>
          </cell>
          <cell r="I64">
            <v>49184.3</v>
          </cell>
          <cell r="J64">
            <v>57296</v>
          </cell>
          <cell r="K64">
            <v>66265.399999999994</v>
          </cell>
        </row>
        <row r="65">
          <cell r="B65">
            <v>8513.2000000000007</v>
          </cell>
          <cell r="C65">
            <v>8246.9</v>
          </cell>
          <cell r="D65">
            <v>8604.4</v>
          </cell>
          <cell r="E65">
            <v>9420.9</v>
          </cell>
          <cell r="F65">
            <v>8980.1</v>
          </cell>
          <cell r="G65">
            <v>11945.8</v>
          </cell>
          <cell r="H65">
            <v>15937.1</v>
          </cell>
          <cell r="I65">
            <v>18837.3</v>
          </cell>
          <cell r="J65">
            <v>22408.5</v>
          </cell>
          <cell r="K65">
            <v>24794.7</v>
          </cell>
        </row>
        <row r="66">
          <cell r="B66">
            <v>42725.5</v>
          </cell>
          <cell r="C66">
            <v>51960.5</v>
          </cell>
          <cell r="D66">
            <v>60248.4</v>
          </cell>
          <cell r="E66">
            <v>63968.7</v>
          </cell>
          <cell r="F66">
            <v>63627.7</v>
          </cell>
          <cell r="G66">
            <v>71376.100000000006</v>
          </cell>
          <cell r="H66">
            <v>74655.5</v>
          </cell>
          <cell r="I66">
            <v>100106</v>
          </cell>
          <cell r="J66">
            <v>115304.1</v>
          </cell>
          <cell r="K66">
            <v>131971.79999999999</v>
          </cell>
        </row>
        <row r="67">
          <cell r="B67">
            <v>1323.4</v>
          </cell>
          <cell r="C67">
            <v>1202.5999999999999</v>
          </cell>
          <cell r="D67">
            <v>1465.4</v>
          </cell>
          <cell r="E67">
            <v>2312.8000000000002</v>
          </cell>
          <cell r="F67">
            <v>1977.7</v>
          </cell>
          <cell r="G67">
            <v>1279.9000000000001</v>
          </cell>
          <cell r="H67">
            <v>2034.5</v>
          </cell>
          <cell r="I67">
            <v>3284.8</v>
          </cell>
          <cell r="J67">
            <v>4596.8</v>
          </cell>
          <cell r="K67">
            <v>6539.7</v>
          </cell>
        </row>
        <row r="68">
          <cell r="B68">
            <v>3132.6</v>
          </cell>
          <cell r="C68">
            <v>3263.7</v>
          </cell>
          <cell r="D68">
            <v>3160.2</v>
          </cell>
          <cell r="E68">
            <v>3322.6</v>
          </cell>
          <cell r="F68">
            <v>3213.9</v>
          </cell>
          <cell r="G68">
            <v>3049</v>
          </cell>
          <cell r="H68">
            <v>3532.3</v>
          </cell>
          <cell r="I68">
            <v>5443.5</v>
          </cell>
          <cell r="J68">
            <v>5318.1</v>
          </cell>
          <cell r="K68">
            <v>6913.2</v>
          </cell>
        </row>
        <row r="90">
          <cell r="B90">
            <v>3716.3</v>
          </cell>
          <cell r="C90">
            <v>6015.7</v>
          </cell>
          <cell r="D90">
            <v>8861.1</v>
          </cell>
          <cell r="E90">
            <v>6672.55</v>
          </cell>
          <cell r="F90">
            <v>4288.3</v>
          </cell>
          <cell r="G90">
            <v>6859.2</v>
          </cell>
          <cell r="H90">
            <v>7561.3</v>
          </cell>
          <cell r="I90">
            <v>8292.15</v>
          </cell>
          <cell r="J90">
            <v>12600.35</v>
          </cell>
          <cell r="K90">
            <v>11522.15</v>
          </cell>
        </row>
        <row r="93">
          <cell r="B93">
            <v>30.21</v>
          </cell>
          <cell r="C93">
            <v>30.21</v>
          </cell>
          <cell r="D93">
            <v>30.21</v>
          </cell>
          <cell r="E93">
            <v>30.21</v>
          </cell>
          <cell r="F93">
            <v>30.21</v>
          </cell>
          <cell r="G93">
            <v>30.21</v>
          </cell>
          <cell r="H93">
            <v>30.21</v>
          </cell>
          <cell r="I93">
            <v>30.21</v>
          </cell>
          <cell r="J93">
            <v>31.44</v>
          </cell>
          <cell r="K93">
            <v>31.44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74F29D-0956-43D6-AB15-237630DDCD40}" name="Annual2" displayName="Annual2" ref="A3:N19" headerRowCount="0" totalsRowShown="0" headerRowDxfId="151">
  <tableColumns count="14">
    <tableColumn id="1" xr3:uid="{F3C085CE-4C36-46AA-86F1-3A21AA922552}" name="Column1" headerRowDxfId="150" dataDxfId="149"/>
    <tableColumn id="2" xr3:uid="{8AE2C48C-6002-49B4-BA84-75E09D85F19E}" name="Column2" headerRowDxfId="148"/>
    <tableColumn id="3" xr3:uid="{28576601-AD13-425C-AF97-1F05BA3C1F2D}" name="Column3" headerRowDxfId="147"/>
    <tableColumn id="4" xr3:uid="{51AE74CE-BD9A-4BBB-BFE9-D69D5E786656}" name="Column4" headerRowDxfId="146"/>
    <tableColumn id="5" xr3:uid="{52E1462E-6959-4F02-99A9-2D7C21614D8F}" name="Column5" headerRowDxfId="145"/>
    <tableColumn id="6" xr3:uid="{978FB2F4-B181-41CA-BB07-3BB6CF56C556}" name="Column6" headerRowDxfId="144"/>
    <tableColumn id="7" xr3:uid="{721E3B62-024B-479B-8244-29409111EC88}" name="Column7" headerRowDxfId="143"/>
    <tableColumn id="8" xr3:uid="{E1AFC3E3-0D9C-4F12-874C-B0848D8C628F}" name="Column8" headerRowDxfId="142"/>
    <tableColumn id="9" xr3:uid="{93B34D61-0914-4152-9903-9FD7439CFDC1}" name="Column9" headerRowDxfId="141"/>
    <tableColumn id="10" xr3:uid="{719A2159-5300-4102-8BEF-E8063B16A61E}" name="Column10" headerRowDxfId="140"/>
    <tableColumn id="11" xr3:uid="{8FD45806-E5E6-4105-B22D-406F5C431922}" name="Column11" headerRowDxfId="139"/>
    <tableColumn id="12" xr3:uid="{6C528F02-BFAF-47CE-97C5-327F01FD7515}" name="Column12" headerRowDxfId="138"/>
    <tableColumn id="13" xr3:uid="{D838D9CE-9A32-496C-A2F2-4DC66F1F5AD4}" name="Column13" headerRowDxfId="137" dataDxfId="136"/>
    <tableColumn id="14" xr3:uid="{F1BE276C-20AB-47CD-9B84-B651B55F7C76}" name="Column14" headerRowDxfId="135" dataDxfId="13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FE43A3-A9B4-48DB-8878-BCF0A90D7BA4}" name="Annual" displayName="Annual" ref="A3:N19" headerRowCount="0" totalsRowShown="0" headerRowDxfId="133">
  <tableColumns count="14">
    <tableColumn id="1" xr3:uid="{4CB95884-DDE7-4C56-B0E5-0404083D34A7}" name="Column1" headerRowDxfId="132" dataDxfId="131"/>
    <tableColumn id="2" xr3:uid="{91E85030-03A8-4B2D-9882-4B98CED9EB37}" name="Column2" headerRowDxfId="130"/>
    <tableColumn id="3" xr3:uid="{138723E8-C1B7-497B-B3B5-8878D32258F7}" name="Column3" headerRowDxfId="129"/>
    <tableColumn id="4" xr3:uid="{528E3A34-193F-49AA-8915-B7CFB6AC06FB}" name="Column4" headerRowDxfId="128"/>
    <tableColumn id="5" xr3:uid="{189FC4AF-77EE-48C3-A831-8C4BD3EF8CA6}" name="Column5" headerRowDxfId="127"/>
    <tableColumn id="6" xr3:uid="{DEC8D7AF-1C67-4929-A2A7-6BE4D1243A2C}" name="Column6" headerRowDxfId="126"/>
    <tableColumn id="7" xr3:uid="{99F6A084-125C-417B-A290-E807CF488E29}" name="Column7" headerRowDxfId="125"/>
    <tableColumn id="8" xr3:uid="{0A22E6A3-3F55-4CE8-9C1B-BFF01DADAFDD}" name="Column8" headerRowDxfId="124"/>
    <tableColumn id="9" xr3:uid="{A241F262-545C-44D7-AD19-80B464AE9009}" name="Column9" headerRowDxfId="123"/>
    <tableColumn id="10" xr3:uid="{50EBFD03-1CAC-4628-9E32-5727E6F19148}" name="Column10" headerRowDxfId="122"/>
    <tableColumn id="11" xr3:uid="{7AA5027E-02ED-470B-A72E-FF1EF50FC387}" name="Column11" headerRowDxfId="121"/>
    <tableColumn id="12" xr3:uid="{B6E99DC9-4C1E-421E-82B9-0DEE16BB5E31}" name="Column12" headerRowDxfId="120"/>
    <tableColumn id="13" xr3:uid="{2717D37D-111E-4A58-BBFE-599901D0AA5A}" name="Column13" headerRowDxfId="119" dataDxfId="118"/>
    <tableColumn id="14" xr3:uid="{63FDFB05-AFEF-4AE5-8E12-C2E331C8530C}" name="Column14" headerRowDxfId="117" dataDxfId="116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23BC3C-4F42-4BF8-8B9E-5FA9BF9F3438}" name="Annual4" displayName="Annual4" ref="A3:N19" headerRowCount="0" totalsRowShown="0" headerRowDxfId="115">
  <tableColumns count="14">
    <tableColumn id="1" xr3:uid="{6A0CDAB9-525D-4FE7-BE1F-028E7E60DD78}" name="Column1" headerRowDxfId="114" dataDxfId="113"/>
    <tableColumn id="2" xr3:uid="{EBA21CBB-E31B-49FE-A8B6-6D01D004ED77}" name="Column2" headerRowDxfId="112"/>
    <tableColumn id="3" xr3:uid="{BD00D449-C82C-4411-84E0-FA2264DCDE31}" name="Column3" headerRowDxfId="111"/>
    <tableColumn id="4" xr3:uid="{1D78D2E8-B266-47A9-8AFD-FA00A2064B39}" name="Column4" headerRowDxfId="110"/>
    <tableColumn id="5" xr3:uid="{96C3801A-ECBD-47B5-B3F5-BCD4D6B3FF20}" name="Column5" headerRowDxfId="109"/>
    <tableColumn id="6" xr3:uid="{776233BF-B252-409E-BAA1-D0C7723B5E7F}" name="Column6" headerRowDxfId="108"/>
    <tableColumn id="7" xr3:uid="{FD05E06B-5127-4A73-A64D-60DC854EF915}" name="Column7" headerRowDxfId="107"/>
    <tableColumn id="8" xr3:uid="{06DDB1E2-403C-4541-86DC-04F1C9EAE3FA}" name="Column8" headerRowDxfId="106"/>
    <tableColumn id="9" xr3:uid="{288B339E-1EFF-4372-8D34-763D589942A4}" name="Column9" headerRowDxfId="105"/>
    <tableColumn id="10" xr3:uid="{0E524B8A-3151-4316-B9A4-AC47625934AB}" name="Column10" headerRowDxfId="104"/>
    <tableColumn id="11" xr3:uid="{840029A3-53DC-4B3D-85BF-EF3E9886C31B}" name="Column11" headerRowDxfId="103"/>
    <tableColumn id="12" xr3:uid="{6B445C2B-EB84-4190-BB2F-E9FDFA4DF5CD}" name="Column12" headerRowDxfId="102"/>
    <tableColumn id="13" xr3:uid="{F85A3963-57E3-4891-A5BC-D6736A05A84C}" name="Column13" headerRowDxfId="101" dataDxfId="100"/>
    <tableColumn id="14" xr3:uid="{5E09CE09-7A68-420D-ADCB-1473B05A6924}" name="Column14" headerRowDxfId="99" dataDxfId="98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1D5335-83BC-4317-A657-CF3F0E652899}" name="Annual5" displayName="Annual5" ref="A3:N19" headerRowCount="0" totalsRowShown="0" headerRowDxfId="97">
  <tableColumns count="14">
    <tableColumn id="1" xr3:uid="{81D99F8A-EE6F-484A-9BD2-6E1A38D1F1EC}" name="Column1" headerRowDxfId="96" dataDxfId="95"/>
    <tableColumn id="2" xr3:uid="{8FA5C19C-A206-4C42-B72F-C66B1DF8D392}" name="Column2" headerRowDxfId="94"/>
    <tableColumn id="3" xr3:uid="{7416A7BE-FACF-4035-B79B-BC1EC5548628}" name="Column3" headerRowDxfId="93"/>
    <tableColumn id="4" xr3:uid="{12CE446B-4418-4E8A-9424-E4004EE249AD}" name="Column4" headerRowDxfId="92"/>
    <tableColumn id="5" xr3:uid="{669E3EB6-B90F-41BD-A0D7-A20B3EE0026D}" name="Column5" headerRowDxfId="91"/>
    <tableColumn id="6" xr3:uid="{EBA7381A-93BE-4BCC-A8DD-71FA9911F9FB}" name="Column6" headerRowDxfId="90"/>
    <tableColumn id="7" xr3:uid="{B3E18626-33BB-49D2-BBF0-797B3DEB6B4B}" name="Column7" headerRowDxfId="89"/>
    <tableColumn id="8" xr3:uid="{75C0DE8A-7B3D-4852-9F50-269083D84E5B}" name="Column8" headerRowDxfId="88"/>
    <tableColumn id="9" xr3:uid="{2F98A754-69D0-4FEF-BA4E-54E98F791DCD}" name="Column9" headerRowDxfId="87"/>
    <tableColumn id="10" xr3:uid="{1A7A7305-FA80-4345-BE2D-D343E8668DA5}" name="Column10" headerRowDxfId="86"/>
    <tableColumn id="11" xr3:uid="{0D4C6A4B-CD26-4E8C-AB11-FCB94E4D8117}" name="Column11" headerRowDxfId="85"/>
    <tableColumn id="12" xr3:uid="{9914E4E2-BACA-44EF-AE3E-7EDBCFA02941}" name="Column12" headerRowDxfId="84"/>
    <tableColumn id="13" xr3:uid="{EB66ADAD-F3AF-406C-9AAC-F5EE1B501A37}" name="Column13" headerRowDxfId="83" dataDxfId="82"/>
    <tableColumn id="14" xr3:uid="{6CAECC4D-63F2-464A-BDDB-9F5BB69ACAC5}" name="Column14" headerRowDxfId="81" dataDxfId="80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FA6BDA-5143-40D4-8F3B-D386AA1CF337}" name="Annual6" displayName="Annual6" ref="A3:N19" headerRowCount="0" totalsRowShown="0" headerRowDxfId="79">
  <tableColumns count="14">
    <tableColumn id="1" xr3:uid="{067BB7F2-DFAC-409F-B09B-4D64A5CB8104}" name="Column1" headerRowDxfId="78" dataDxfId="77"/>
    <tableColumn id="2" xr3:uid="{C76D39D4-39E4-45BE-81CF-45FF4BE63C13}" name="Column2" headerRowDxfId="76"/>
    <tableColumn id="3" xr3:uid="{4FCDC8B1-FE38-43BD-A22F-2E95B7BC2DFB}" name="Column3" headerRowDxfId="75"/>
    <tableColumn id="4" xr3:uid="{ECD0E4E5-6626-4FA9-B753-D61BF84693ED}" name="Column4" headerRowDxfId="74"/>
    <tableColumn id="5" xr3:uid="{D4FCDCD0-2F46-4961-AF5A-DA14FFB6AA04}" name="Column5" headerRowDxfId="73"/>
    <tableColumn id="6" xr3:uid="{EC92C140-46E6-4D8F-AC27-E9BDB5B5DCB8}" name="Column6" headerRowDxfId="72"/>
    <tableColumn id="7" xr3:uid="{DB7B024B-4351-40A4-A7B9-D613B7AFE6C0}" name="Column7" headerRowDxfId="71"/>
    <tableColumn id="8" xr3:uid="{18553606-E7A6-4184-AF93-7D0849707CCD}" name="Column8" headerRowDxfId="70"/>
    <tableColumn id="9" xr3:uid="{FF9A208D-89F6-4D38-B6E4-C5C42E80F83E}" name="Column9" headerRowDxfId="69"/>
    <tableColumn id="10" xr3:uid="{4112A132-9838-4B2E-BF22-D8AE941BFFDE}" name="Column10" headerRowDxfId="68"/>
    <tableColumn id="11" xr3:uid="{5599DB13-5FF9-483E-B823-CDE95BD594A2}" name="Column11" headerRowDxfId="67"/>
    <tableColumn id="12" xr3:uid="{121107AA-AC92-425D-A228-91EC8BFB58D2}" name="Column12" headerRowDxfId="66"/>
    <tableColumn id="13" xr3:uid="{F1816A45-17AB-4B1D-A259-C17C874F908D}" name="Column13" headerRowDxfId="65" dataDxfId="64"/>
    <tableColumn id="14" xr3:uid="{14E2EE91-59F7-448A-A681-557344F7A9A8}" name="Column14" headerRowDxfId="63" dataDxfId="62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6A3A2F-CEE0-4BCC-A0B4-104F5026AA04}" name="Annual7" displayName="Annual7" ref="A3:N19" headerRowCount="0" totalsRowShown="0" headerRowDxfId="61">
  <tableColumns count="14">
    <tableColumn id="1" xr3:uid="{85D4EC0D-2E63-454D-84E8-B677D4655375}" name="Column1" headerRowDxfId="60" dataDxfId="59"/>
    <tableColumn id="2" xr3:uid="{BDF41285-6DE6-491E-A81F-E94CD7DA2962}" name="Column2" headerRowDxfId="58"/>
    <tableColumn id="3" xr3:uid="{BD1A5B07-665B-49EE-AF29-ABEDF1C4E2D7}" name="Column3" headerRowDxfId="57"/>
    <tableColumn id="4" xr3:uid="{0054D29F-F9C2-47DD-A71C-4C3511E42681}" name="Column4" headerRowDxfId="56"/>
    <tableColumn id="5" xr3:uid="{C744A593-0187-4D81-98DD-BD9D33FE93B9}" name="Column5" headerRowDxfId="55"/>
    <tableColumn id="6" xr3:uid="{EC64A097-0F82-4F7E-8091-5D27BC9450BE}" name="Column6" headerRowDxfId="54"/>
    <tableColumn id="7" xr3:uid="{F718CA78-2421-49C3-858E-93189A39C538}" name="Column7" headerRowDxfId="53"/>
    <tableColumn id="8" xr3:uid="{108B9D94-A83F-4228-AC9A-E009686F18C5}" name="Column8" headerRowDxfId="52"/>
    <tableColumn id="9" xr3:uid="{AAB8FBB0-99C3-441C-B134-2277AE2A5610}" name="Column9" headerRowDxfId="51"/>
    <tableColumn id="10" xr3:uid="{C1C53581-533D-45FE-A358-79A1E62010B1}" name="Column10" headerRowDxfId="50"/>
    <tableColumn id="11" xr3:uid="{4B113546-D6D5-493B-A75B-482A606F1FCE}" name="Column11" headerRowDxfId="49"/>
    <tableColumn id="12" xr3:uid="{DC6F8202-8F2F-4ED6-B2E3-53E284CD2634}" name="Column12" headerRowDxfId="48"/>
    <tableColumn id="13" xr3:uid="{E84DA295-C85C-4A17-BCCD-81D55117BB35}" name="Column13" headerRowDxfId="47" dataDxfId="46"/>
    <tableColumn id="14" xr3:uid="{3D84A1ED-A787-4384-AD4C-FF726CD7D31C}" name="Column14" headerRowDxfId="45" dataDxfId="44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A6EA05-8564-4EE8-824D-0ACA07507EC0}" name="Annual8" displayName="Annual8" ref="A3:N19" headerRowCount="0" totalsRowShown="0" headerRowDxfId="43">
  <tableColumns count="14">
    <tableColumn id="1" xr3:uid="{76DB18F3-A1A6-47CE-A049-8ABFEC55F8CF}" name="Column1" headerRowDxfId="42" dataDxfId="41"/>
    <tableColumn id="2" xr3:uid="{60E97EC9-7EC4-46A1-A11B-C39E0B25E854}" name="Column2" headerRowDxfId="40"/>
    <tableColumn id="3" xr3:uid="{DBBD0A67-7E8C-4D6C-B215-89985973A323}" name="Column3" headerRowDxfId="39"/>
    <tableColumn id="4" xr3:uid="{7DA1AB1F-F7C4-4737-B131-3AF6E19272C3}" name="Column4" headerRowDxfId="38"/>
    <tableColumn id="5" xr3:uid="{F3CAF5C0-9F4D-4BB9-ADFD-88646A1E9BBC}" name="Column5" headerRowDxfId="37"/>
    <tableColumn id="6" xr3:uid="{ED48E575-B35B-4A8F-8B2E-1509ABCF7211}" name="Column6" headerRowDxfId="36"/>
    <tableColumn id="7" xr3:uid="{D6E8AB9B-87DD-4470-8DFE-4F70AE0C40F4}" name="Column7" headerRowDxfId="35"/>
    <tableColumn id="8" xr3:uid="{77095626-AA59-4E22-9810-139F9759B2A4}" name="Column8" headerRowDxfId="34"/>
    <tableColumn id="9" xr3:uid="{9DA45F01-0440-423E-BBC7-9E956AFEC43B}" name="Column9" headerRowDxfId="33"/>
    <tableColumn id="10" xr3:uid="{C494F6FE-A548-48D7-9A34-FE3C7BD8C8AD}" name="Column10" headerRowDxfId="32"/>
    <tableColumn id="11" xr3:uid="{53EEE43D-2048-418E-8102-A8C8C61C4C3B}" name="Column11" headerRowDxfId="31"/>
    <tableColumn id="12" xr3:uid="{B517E42C-F784-4308-B622-CABFA364F42C}" name="Column12" headerRowDxfId="30"/>
    <tableColumn id="13" xr3:uid="{8A800D6B-E1E4-4064-918D-DC290D129789}" name="Column13" headerRowDxfId="29" dataDxfId="28"/>
    <tableColumn id="14" xr3:uid="{44AB24E3-ACDC-44A6-B8EE-D9816C95DB54}" name="Column14" headerRowDxfId="27" dataDxfId="26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9341BF-D198-4CD0-8DAC-6DA790578689}" name="Annual9" displayName="Annual9" ref="A3:N19" headerRowCount="0" totalsRowShown="0" headerRowDxfId="25">
  <tableColumns count="14">
    <tableColumn id="1" xr3:uid="{EC758A5A-558D-40F0-A1F5-0D22080907CF}" name="Column1" headerRowDxfId="24" dataDxfId="23"/>
    <tableColumn id="2" xr3:uid="{86A8D2FE-122A-4FEC-AF88-1582F2E053D1}" name="Column2" headerRowDxfId="22"/>
    <tableColumn id="3" xr3:uid="{71C00E15-9348-4616-8BE5-372AE37373A0}" name="Column3" headerRowDxfId="21"/>
    <tableColumn id="4" xr3:uid="{7F629193-D6DB-4348-A101-1E9F542EABF9}" name="Column4" headerRowDxfId="20"/>
    <tableColumn id="5" xr3:uid="{EA3C7799-DFB8-49C9-8786-29F02EA85E48}" name="Column5" headerRowDxfId="19"/>
    <tableColumn id="6" xr3:uid="{E00E068A-2171-4219-8666-3E85370A15CB}" name="Column6" headerRowDxfId="18"/>
    <tableColumn id="7" xr3:uid="{175B9185-5FC2-48D5-B828-78FC3B5813DC}" name="Column7" headerRowDxfId="17"/>
    <tableColumn id="8" xr3:uid="{21FA5B4F-DF78-44F4-81DF-C690F3F62412}" name="Column8" headerRowDxfId="16"/>
    <tableColumn id="9" xr3:uid="{51EAB724-E4F9-46B8-9C58-3F2AA2BC1E66}" name="Column9" headerRowDxfId="15"/>
    <tableColumn id="10" xr3:uid="{DA650293-11D8-49BF-B85C-9AEF9B601CF6}" name="Column10" headerRowDxfId="14"/>
    <tableColumn id="11" xr3:uid="{14156D41-B509-44BF-9C52-1A21A75F37B4}" name="Column11" headerRowDxfId="13"/>
    <tableColumn id="12" xr3:uid="{C980B8BA-7601-4B69-AB2E-EA083AC6F77B}" name="Column12" headerRowDxfId="12"/>
    <tableColumn id="13" xr3:uid="{AA04A048-E504-4962-91BC-E96450A4D5CC}" name="Column13" headerRowDxfId="11" dataDxfId="10"/>
    <tableColumn id="14" xr3:uid="{88F7F694-75DE-4B4F-B20B-C473111B1023}" name="Column14" headerRowDxfId="9" dataDxfId="8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reener.in/excel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://www.screener.in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creener.in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screener.in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screener.in/excel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screener.in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screener.in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screener.in/excel/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screener.in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screener.in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www.screener.in/excel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screener.in/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screener.in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www.screener.in/excel/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screener.in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screener.in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www.screener.in/excel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screener.in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screener.in/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s://www.screener.in/excel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60C38-AE55-4C79-9F28-E853CE5E7CD6}">
  <dimension ref="B2:V49"/>
  <sheetViews>
    <sheetView showGridLines="0" showRowColHeaders="0" tabSelected="1" zoomScaleNormal="100" workbookViewId="0">
      <selection activeCell="O24" sqref="O24"/>
    </sheetView>
  </sheetViews>
  <sheetFormatPr defaultRowHeight="15" x14ac:dyDescent="0.25"/>
  <cols>
    <col min="1" max="1" width="1.85546875" customWidth="1"/>
    <col min="2" max="2" width="20.5703125" customWidth="1"/>
    <col min="3" max="3" width="9.42578125" customWidth="1"/>
    <col min="4" max="4" width="9.140625" customWidth="1"/>
    <col min="6" max="6" width="13.7109375" customWidth="1"/>
    <col min="8" max="8" width="10.42578125" customWidth="1"/>
    <col min="9" max="9" width="9.5703125" customWidth="1"/>
    <col min="10" max="10" width="10.28515625" customWidth="1"/>
    <col min="11" max="11" width="2" customWidth="1"/>
    <col min="13" max="13" width="9.85546875" customWidth="1"/>
  </cols>
  <sheetData>
    <row r="2" spans="2:22" ht="21" x14ac:dyDescent="0.35">
      <c r="B2" s="2" t="s">
        <v>200</v>
      </c>
      <c r="C2" s="3"/>
      <c r="D2" s="3"/>
      <c r="E2" s="3"/>
      <c r="F2" s="3"/>
      <c r="G2" s="3"/>
      <c r="H2" s="16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2:22" x14ac:dyDescent="0.25">
      <c r="B3" s="14" t="s">
        <v>13</v>
      </c>
    </row>
    <row r="4" spans="2:22" ht="19.5" thickBot="1" x14ac:dyDescent="0.35">
      <c r="B4" s="199" t="s">
        <v>197</v>
      </c>
      <c r="C4" s="199"/>
      <c r="D4" s="199"/>
      <c r="E4" s="199"/>
      <c r="F4" s="199"/>
      <c r="G4" s="199"/>
      <c r="H4" s="199"/>
      <c r="I4" s="199"/>
      <c r="J4" s="199"/>
      <c r="L4" s="200" t="s">
        <v>196</v>
      </c>
      <c r="M4" s="200"/>
      <c r="N4" s="200"/>
      <c r="O4" s="200"/>
      <c r="P4" s="200"/>
      <c r="Q4" s="200"/>
      <c r="R4" s="200"/>
      <c r="S4" s="200"/>
      <c r="T4" s="200"/>
    </row>
    <row r="5" spans="2:22" ht="3" customHeight="1" x14ac:dyDescent="0.25">
      <c r="B5" s="1"/>
      <c r="C5" s="1"/>
      <c r="D5" s="1"/>
      <c r="E5" s="1"/>
      <c r="F5" s="1"/>
      <c r="G5" s="1"/>
      <c r="H5" s="1"/>
      <c r="I5" s="1"/>
      <c r="J5" s="1"/>
    </row>
    <row r="6" spans="2:22" ht="15.75" x14ac:dyDescent="0.25">
      <c r="B6" s="4" t="s">
        <v>198</v>
      </c>
      <c r="C6" s="1"/>
      <c r="D6" s="1"/>
      <c r="E6" s="1"/>
      <c r="F6" s="1"/>
      <c r="G6" s="1"/>
      <c r="H6" s="1"/>
      <c r="I6" s="1"/>
      <c r="J6" s="1"/>
      <c r="L6" s="198" t="s">
        <v>159</v>
      </c>
      <c r="M6" s="198"/>
      <c r="N6" s="198" t="s">
        <v>160</v>
      </c>
      <c r="O6" s="198"/>
      <c r="P6" s="198" t="s">
        <v>161</v>
      </c>
      <c r="Q6" s="198"/>
      <c r="R6" s="198" t="s">
        <v>162</v>
      </c>
      <c r="S6" s="198"/>
      <c r="T6" s="198"/>
    </row>
    <row r="7" spans="2:22" ht="15.75" x14ac:dyDescent="0.25">
      <c r="B7" s="4" t="s">
        <v>199</v>
      </c>
      <c r="C7" s="1"/>
      <c r="D7" s="1"/>
      <c r="E7" s="1"/>
      <c r="F7" s="1"/>
      <c r="G7" s="1"/>
      <c r="H7" s="1"/>
      <c r="I7" s="1"/>
      <c r="J7" s="1"/>
      <c r="L7" s="201" t="s">
        <v>2</v>
      </c>
      <c r="M7" s="201"/>
      <c r="N7" s="189">
        <f>'Indian Comps'!D27</f>
        <v>2.3926902837886459</v>
      </c>
      <c r="O7" s="189"/>
      <c r="P7" s="189">
        <f>'Global Comps'!D27</f>
        <v>0.7267849196567493</v>
      </c>
      <c r="Q7" s="189"/>
      <c r="R7" s="189">
        <f>(N7*0.6)+(P7*0.4)</f>
        <v>1.7263281381358873</v>
      </c>
      <c r="S7" s="189"/>
      <c r="T7" s="189"/>
    </row>
    <row r="8" spans="2:22" ht="15.75" x14ac:dyDescent="0.25">
      <c r="B8" s="4" t="s">
        <v>3</v>
      </c>
      <c r="C8" s="1"/>
      <c r="D8" s="1"/>
      <c r="E8" s="1"/>
      <c r="F8" s="1"/>
      <c r="G8" s="1"/>
      <c r="H8" s="1"/>
      <c r="I8" s="1"/>
      <c r="J8" s="1"/>
      <c r="L8" s="201" t="s">
        <v>4</v>
      </c>
      <c r="M8" s="201"/>
      <c r="N8" s="189">
        <f>'Indian Comps'!E27</f>
        <v>12.508987949111658</v>
      </c>
      <c r="O8" s="189"/>
      <c r="P8" s="189">
        <f>'Global Comps'!E27</f>
        <v>6.2847902015849755</v>
      </c>
      <c r="Q8" s="189"/>
      <c r="R8" s="189">
        <f t="shared" ref="R8:R9" si="0">(N8*0.6)+(P8*0.4)</f>
        <v>10.019308850100984</v>
      </c>
      <c r="S8" s="189"/>
      <c r="T8" s="189"/>
    </row>
    <row r="9" spans="2:22" ht="15" customHeight="1" x14ac:dyDescent="0.25">
      <c r="B9" s="175" t="s">
        <v>188</v>
      </c>
      <c r="C9" s="171">
        <v>668.44</v>
      </c>
      <c r="D9" s="190" t="s">
        <v>189</v>
      </c>
      <c r="E9" s="190"/>
      <c r="F9" s="162"/>
      <c r="G9" s="162"/>
      <c r="H9" s="162"/>
      <c r="I9" s="162"/>
      <c r="L9" s="201" t="s">
        <v>5</v>
      </c>
      <c r="M9" s="201"/>
      <c r="N9" s="189">
        <f>'Indian Comps'!F27</f>
        <v>26.421237761579818</v>
      </c>
      <c r="O9" s="189"/>
      <c r="P9" s="189">
        <f>'Global Comps'!F27</f>
        <v>7.4604966004061382</v>
      </c>
      <c r="Q9" s="189"/>
      <c r="R9" s="189">
        <f t="shared" si="0"/>
        <v>18.836941297110343</v>
      </c>
      <c r="S9" s="189"/>
      <c r="T9" s="189"/>
    </row>
    <row r="10" spans="2:22" x14ac:dyDescent="0.25">
      <c r="B10" s="162"/>
      <c r="C10" s="162"/>
      <c r="D10" s="162"/>
      <c r="E10" s="162"/>
      <c r="F10" s="162"/>
      <c r="G10" s="162"/>
      <c r="H10" s="162"/>
      <c r="I10" s="162"/>
      <c r="M10" s="163" t="s">
        <v>163</v>
      </c>
      <c r="N10" s="164"/>
      <c r="O10" s="164"/>
      <c r="P10" s="164"/>
      <c r="Q10" s="164"/>
      <c r="R10" s="164"/>
      <c r="S10" s="164"/>
      <c r="T10" s="164"/>
      <c r="U10" s="164"/>
      <c r="V10" s="164"/>
    </row>
    <row r="11" spans="2:22" x14ac:dyDescent="0.25">
      <c r="R11" s="195"/>
      <c r="S11" s="195"/>
      <c r="T11" s="195"/>
    </row>
    <row r="12" spans="2:22" ht="18.75" x14ac:dyDescent="0.25">
      <c r="B12" s="188" t="s">
        <v>207</v>
      </c>
      <c r="C12" s="188"/>
      <c r="D12" s="188"/>
      <c r="E12" s="188"/>
      <c r="F12" s="188"/>
      <c r="G12" s="188"/>
      <c r="H12" s="188"/>
      <c r="I12" s="188"/>
      <c r="J12" s="188"/>
      <c r="L12" s="188" t="s">
        <v>190</v>
      </c>
      <c r="M12" s="188"/>
      <c r="N12" s="188"/>
      <c r="O12" s="188"/>
      <c r="P12" s="188"/>
      <c r="Q12" s="188"/>
      <c r="R12" s="188"/>
      <c r="S12" s="188"/>
      <c r="T12" s="188"/>
    </row>
    <row r="13" spans="2:22" ht="3" customHeight="1" x14ac:dyDescent="0.25"/>
    <row r="14" spans="2:22" ht="15" customHeight="1" x14ac:dyDescent="0.25">
      <c r="B14" s="167" t="s">
        <v>178</v>
      </c>
      <c r="C14" s="194" t="s">
        <v>2</v>
      </c>
      <c r="D14" s="194"/>
      <c r="E14" s="194" t="s">
        <v>4</v>
      </c>
      <c r="F14" s="194"/>
      <c r="G14" s="194" t="s">
        <v>5</v>
      </c>
      <c r="H14" s="194"/>
      <c r="I14" s="165" t="s">
        <v>182</v>
      </c>
      <c r="J14" s="165" t="s">
        <v>0</v>
      </c>
      <c r="L14" s="183" t="s">
        <v>195</v>
      </c>
      <c r="M14" s="183"/>
      <c r="N14" s="183"/>
      <c r="O14" s="183"/>
      <c r="P14" s="183"/>
      <c r="Q14" s="183"/>
      <c r="R14" s="183"/>
      <c r="S14" s="183"/>
      <c r="T14" s="183"/>
    </row>
    <row r="15" spans="2:22" x14ac:dyDescent="0.25">
      <c r="B15" s="170" t="s">
        <v>179</v>
      </c>
      <c r="C15" s="181">
        <f>'Indian Comps'!X27</f>
        <v>2773.4918125832219</v>
      </c>
      <c r="D15" s="181"/>
      <c r="E15" s="181">
        <f>'Indian Comps'!Y27</f>
        <v>2753.546269079467</v>
      </c>
      <c r="F15" s="181"/>
      <c r="G15" s="181">
        <f>'Indian Comps'!Z27</f>
        <v>1997.4005022811682</v>
      </c>
      <c r="H15" s="181"/>
      <c r="I15" s="166">
        <f>AVERAGE(C15,E15,G15)</f>
        <v>2508.1461946479526</v>
      </c>
      <c r="J15" s="166">
        <f>MEDIAN(C15,E15,G15)</f>
        <v>2753.546269079467</v>
      </c>
      <c r="L15" s="183"/>
      <c r="M15" s="183"/>
      <c r="N15" s="183"/>
      <c r="O15" s="183"/>
      <c r="P15" s="183"/>
      <c r="Q15" s="183"/>
      <c r="R15" s="183"/>
      <c r="S15" s="183"/>
      <c r="T15" s="183"/>
    </row>
    <row r="16" spans="2:22" ht="15" customHeight="1" x14ac:dyDescent="0.25">
      <c r="B16" s="170" t="s">
        <v>180</v>
      </c>
      <c r="C16" s="181">
        <f>'Global Comps'!X27</f>
        <v>784.39913584445219</v>
      </c>
      <c r="D16" s="181"/>
      <c r="E16" s="181">
        <f>'Global Comps'!Y27</f>
        <v>1479.608202687099</v>
      </c>
      <c r="F16" s="181"/>
      <c r="G16" s="181">
        <f>'Global Comps'!Z27</f>
        <v>564.0008159870232</v>
      </c>
      <c r="H16" s="181"/>
      <c r="I16" s="166">
        <f>AVERAGE(C16,E16,G16)</f>
        <v>942.66938483952481</v>
      </c>
      <c r="J16" s="166">
        <f>MEDIAN(C16,E16,G16)</f>
        <v>784.39913584445219</v>
      </c>
      <c r="L16" s="183" t="s">
        <v>192</v>
      </c>
      <c r="M16" s="183"/>
      <c r="N16" s="183"/>
      <c r="O16" s="183"/>
      <c r="P16" s="183"/>
      <c r="Q16" s="183"/>
      <c r="R16" s="183"/>
      <c r="S16" s="183"/>
      <c r="T16" s="183"/>
    </row>
    <row r="17" spans="2:20" x14ac:dyDescent="0.25">
      <c r="B17" s="170" t="s">
        <v>181</v>
      </c>
      <c r="C17" s="181">
        <f>(('Indian Comps'!H27*Summary!R7)+'Indian Comps'!Q27-'Indian Comps'!P27)/'Indian Comps'!R27</f>
        <v>2144.6203171964917</v>
      </c>
      <c r="D17" s="181"/>
      <c r="E17" s="181">
        <f>((C29*R8)+'Indian Comps'!Q27-'Indian Comps'!P27)/'Indian Comps'!R27</f>
        <v>2134.0854582367347</v>
      </c>
      <c r="F17" s="181"/>
      <c r="G17" s="181">
        <f>(Summary!R9*'Indian Comps'!J28*'Indian Comps'!R28)/'Indian Comps'!R28</f>
        <v>1424.04062776351</v>
      </c>
      <c r="H17" s="181"/>
      <c r="I17" s="166">
        <f>AVERAGE(C17,E17,G17)</f>
        <v>1900.9154677322456</v>
      </c>
      <c r="J17" s="166">
        <f>MEDIAN(C17,E17,G17)</f>
        <v>2134.0854582367347</v>
      </c>
      <c r="L17" s="183"/>
      <c r="M17" s="183"/>
      <c r="N17" s="183"/>
      <c r="O17" s="183"/>
      <c r="P17" s="183"/>
      <c r="Q17" s="183"/>
      <c r="R17" s="183"/>
      <c r="S17" s="183"/>
      <c r="T17" s="183"/>
    </row>
    <row r="18" spans="2:20" ht="15" customHeight="1" x14ac:dyDescent="0.25">
      <c r="D18" s="75"/>
      <c r="E18" s="75"/>
      <c r="F18" s="75"/>
      <c r="G18" s="75"/>
      <c r="H18" s="75"/>
      <c r="L18" s="183" t="s">
        <v>193</v>
      </c>
      <c r="M18" s="183"/>
      <c r="N18" s="183"/>
      <c r="O18" s="183"/>
      <c r="P18" s="183"/>
      <c r="Q18" s="183"/>
      <c r="R18" s="183"/>
      <c r="S18" s="183"/>
      <c r="T18" s="183"/>
    </row>
    <row r="19" spans="2:20" ht="15" customHeight="1" x14ac:dyDescent="0.25">
      <c r="D19" s="75"/>
      <c r="E19" s="75"/>
      <c r="F19" s="75"/>
      <c r="G19" s="75"/>
      <c r="H19" s="75"/>
      <c r="L19" s="183" t="s">
        <v>194</v>
      </c>
      <c r="M19" s="183"/>
      <c r="N19" s="183"/>
      <c r="O19" s="183"/>
      <c r="P19" s="183"/>
      <c r="Q19" s="183"/>
      <c r="R19" s="183"/>
      <c r="S19" s="183"/>
      <c r="T19" s="183"/>
    </row>
    <row r="20" spans="2:20" x14ac:dyDescent="0.25">
      <c r="L20" s="183"/>
      <c r="M20" s="183"/>
      <c r="N20" s="183"/>
      <c r="O20" s="183"/>
      <c r="P20" s="183"/>
      <c r="Q20" s="183"/>
      <c r="R20" s="183"/>
      <c r="S20" s="183"/>
      <c r="T20" s="183"/>
    </row>
    <row r="22" spans="2:20" ht="18.75" x14ac:dyDescent="0.25">
      <c r="B22" s="188" t="s">
        <v>164</v>
      </c>
      <c r="C22" s="188"/>
      <c r="D22" s="188"/>
      <c r="E22" s="188"/>
      <c r="F22" s="188"/>
      <c r="G22" s="188"/>
      <c r="H22" s="188"/>
      <c r="I22" s="188"/>
      <c r="J22" s="188"/>
    </row>
    <row r="23" spans="2:20" ht="3" customHeight="1" x14ac:dyDescent="0.25"/>
    <row r="24" spans="2:20" x14ac:dyDescent="0.25">
      <c r="B24" s="174" t="s">
        <v>165</v>
      </c>
      <c r="C24" s="198" t="s">
        <v>169</v>
      </c>
      <c r="D24" s="198"/>
      <c r="E24" s="198" t="s">
        <v>168</v>
      </c>
      <c r="F24" s="198"/>
      <c r="G24" s="198" t="s">
        <v>167</v>
      </c>
      <c r="H24" s="198"/>
      <c r="I24" s="185" t="s">
        <v>166</v>
      </c>
      <c r="J24" s="185"/>
    </row>
    <row r="25" spans="2:20" x14ac:dyDescent="0.25">
      <c r="B25" s="173" t="s">
        <v>170</v>
      </c>
      <c r="C25" s="182">
        <f>'Indian Comps'!M11*0.7</f>
        <v>52760.609999999986</v>
      </c>
      <c r="D25" s="182"/>
      <c r="E25" s="196">
        <f>P8</f>
        <v>6.2847902015849755</v>
      </c>
      <c r="F25" s="196"/>
      <c r="G25" s="182">
        <f>C25*E25</f>
        <v>331589.36475764617</v>
      </c>
      <c r="H25" s="182"/>
      <c r="I25" s="197">
        <f>G25/'Indian Comps'!$R$26</f>
        <v>900.43788152284742</v>
      </c>
      <c r="J25" s="197"/>
    </row>
    <row r="26" spans="2:20" x14ac:dyDescent="0.25">
      <c r="B26" s="173" t="s">
        <v>171</v>
      </c>
      <c r="C26" s="182">
        <f>'Indian Comps'!M11*0.15</f>
        <v>11305.844999999998</v>
      </c>
      <c r="D26" s="182"/>
      <c r="E26" s="196">
        <f>N8</f>
        <v>12.508987949111658</v>
      </c>
      <c r="F26" s="196"/>
      <c r="G26" s="182">
        <f t="shared" ref="G26:G28" si="1">C26*E26</f>
        <v>141424.67885952425</v>
      </c>
      <c r="H26" s="182"/>
      <c r="I26" s="197">
        <f>G26/'Indian Comps'!$R$26</f>
        <v>384.04168457089395</v>
      </c>
      <c r="J26" s="197"/>
    </row>
    <row r="27" spans="2:20" x14ac:dyDescent="0.25">
      <c r="B27" s="173" t="s">
        <v>172</v>
      </c>
      <c r="C27" s="182">
        <f>'Indian Comps'!M11*0.1</f>
        <v>7537.23</v>
      </c>
      <c r="D27" s="182"/>
      <c r="E27" s="196">
        <f>N8</f>
        <v>12.508987949111658</v>
      </c>
      <c r="F27" s="196"/>
      <c r="G27" s="182">
        <f t="shared" si="1"/>
        <v>94283.119239682856</v>
      </c>
      <c r="H27" s="182"/>
      <c r="I27" s="197">
        <f>G27/'Indian Comps'!$R$26</f>
        <v>256.02778971392934</v>
      </c>
      <c r="J27" s="197"/>
    </row>
    <row r="28" spans="2:20" x14ac:dyDescent="0.25">
      <c r="B28" s="173" t="s">
        <v>173</v>
      </c>
      <c r="C28" s="182">
        <f>'Indian Comps'!M11*0.05</f>
        <v>3768.6149999999998</v>
      </c>
      <c r="D28" s="182"/>
      <c r="E28" s="196">
        <f>R8</f>
        <v>10.019308850100984</v>
      </c>
      <c r="F28" s="196"/>
      <c r="G28" s="182">
        <f t="shared" si="1"/>
        <v>37758.917622123314</v>
      </c>
      <c r="H28" s="182"/>
      <c r="I28" s="197">
        <f>G28/'Indian Comps'!$R$26</f>
        <v>102.53513352911729</v>
      </c>
      <c r="J28" s="197"/>
    </row>
    <row r="29" spans="2:20" x14ac:dyDescent="0.25">
      <c r="B29" s="173" t="s">
        <v>174</v>
      </c>
      <c r="C29" s="182">
        <f>SUM(C25:D28)</f>
        <v>75372.299999999988</v>
      </c>
      <c r="D29" s="182"/>
      <c r="E29" s="182" t="s">
        <v>175</v>
      </c>
      <c r="F29" s="182"/>
      <c r="G29" s="182">
        <f>SUM(G25:H28)</f>
        <v>605056.0804789766</v>
      </c>
      <c r="H29" s="182"/>
      <c r="I29" s="197" t="s">
        <v>175</v>
      </c>
      <c r="J29" s="197"/>
    </row>
    <row r="30" spans="2:20" x14ac:dyDescent="0.25">
      <c r="B30" s="173" t="s">
        <v>176</v>
      </c>
      <c r="C30" s="182" t="s">
        <v>175</v>
      </c>
      <c r="D30" s="182"/>
      <c r="E30" s="182" t="s">
        <v>175</v>
      </c>
      <c r="F30" s="182"/>
      <c r="G30" s="182">
        <f>('Indian Comps'!Q28-'Indian Comps'!P28)</f>
        <v>30706</v>
      </c>
      <c r="H30" s="182"/>
      <c r="I30" s="197" t="s">
        <v>175</v>
      </c>
      <c r="J30" s="197"/>
    </row>
    <row r="31" spans="2:20" x14ac:dyDescent="0.25">
      <c r="B31" s="173" t="s">
        <v>7</v>
      </c>
      <c r="C31" s="182" t="s">
        <v>175</v>
      </c>
      <c r="D31" s="182"/>
      <c r="E31" s="182" t="s">
        <v>175</v>
      </c>
      <c r="F31" s="182"/>
      <c r="G31" s="182">
        <f>G29-G30</f>
        <v>574350.0804789766</v>
      </c>
      <c r="H31" s="182"/>
      <c r="I31" s="197" t="s">
        <v>175</v>
      </c>
      <c r="J31" s="197"/>
    </row>
    <row r="32" spans="2:20" x14ac:dyDescent="0.25">
      <c r="B32" s="172" t="s">
        <v>177</v>
      </c>
      <c r="C32" s="182" t="s">
        <v>175</v>
      </c>
      <c r="D32" s="182"/>
      <c r="E32" s="182" t="s">
        <v>175</v>
      </c>
      <c r="F32" s="182"/>
      <c r="G32" s="182" t="s">
        <v>175</v>
      </c>
      <c r="H32" s="182"/>
      <c r="I32" s="197">
        <f>SUM(I25:J28)</f>
        <v>1643.0424893367879</v>
      </c>
      <c r="J32" s="197"/>
    </row>
    <row r="35" spans="2:20" ht="18.75" x14ac:dyDescent="0.25">
      <c r="B35" s="188" t="s">
        <v>183</v>
      </c>
      <c r="C35" s="188"/>
      <c r="D35" s="188"/>
      <c r="E35" s="188"/>
      <c r="F35" s="188"/>
      <c r="G35" s="188"/>
      <c r="H35" s="188"/>
      <c r="I35" s="188"/>
      <c r="J35" s="188"/>
    </row>
    <row r="36" spans="2:20" ht="3" customHeight="1" x14ac:dyDescent="0.25"/>
    <row r="37" spans="2:20" x14ac:dyDescent="0.25">
      <c r="B37" s="185" t="s">
        <v>6</v>
      </c>
      <c r="C37" s="185"/>
      <c r="D37" s="191" t="s">
        <v>186</v>
      </c>
      <c r="E37" s="192"/>
      <c r="F37" s="193" t="s">
        <v>187</v>
      </c>
      <c r="G37" s="193"/>
    </row>
    <row r="38" spans="2:20" x14ac:dyDescent="0.25">
      <c r="B38" s="184" t="s">
        <v>184</v>
      </c>
      <c r="C38" s="184"/>
      <c r="D38" s="187">
        <f>I17</f>
        <v>1900.9154677322456</v>
      </c>
      <c r="E38" s="187"/>
      <c r="F38" s="186">
        <f>(D38/C9)-1</f>
        <v>1.8438086705347456</v>
      </c>
      <c r="G38" s="186"/>
    </row>
    <row r="39" spans="2:20" x14ac:dyDescent="0.25">
      <c r="B39" s="184" t="s">
        <v>185</v>
      </c>
      <c r="C39" s="184"/>
      <c r="D39" s="187">
        <f>I32</f>
        <v>1643.0424893367879</v>
      </c>
      <c r="E39" s="187"/>
      <c r="F39" s="186">
        <f>(D39/C9)-1</f>
        <v>1.4580253864771522</v>
      </c>
      <c r="G39" s="186"/>
    </row>
    <row r="41" spans="2:20" ht="18.75" x14ac:dyDescent="0.3">
      <c r="B41" s="179" t="s">
        <v>191</v>
      </c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</row>
    <row r="42" spans="2:20" x14ac:dyDescent="0.25">
      <c r="L42" s="178">
        <f>(I15/$C$9)-1</f>
        <v>2.7522383379928677</v>
      </c>
      <c r="M42" s="178">
        <f>(J15/$C$9)-1</f>
        <v>3.1193619009626392</v>
      </c>
      <c r="N42" s="169"/>
    </row>
    <row r="43" spans="2:20" x14ac:dyDescent="0.25">
      <c r="L43" s="178">
        <f>(I16/$C$9)-1</f>
        <v>0.410252804798523</v>
      </c>
      <c r="M43" s="178">
        <f t="shared" ref="M43:M44" si="2">(J16/$C$9)-1</f>
        <v>0.17347725427031913</v>
      </c>
      <c r="N43" s="169"/>
    </row>
    <row r="44" spans="2:20" x14ac:dyDescent="0.25">
      <c r="L44" s="178">
        <f t="shared" ref="L44" si="3">(I17/$C$9)-1</f>
        <v>1.8438086705347456</v>
      </c>
      <c r="M44" s="178">
        <f t="shared" si="2"/>
        <v>2.1926357761904351</v>
      </c>
      <c r="N44" s="169"/>
    </row>
    <row r="45" spans="2:20" x14ac:dyDescent="0.25">
      <c r="L45" s="169"/>
      <c r="M45" s="169"/>
      <c r="N45" s="169"/>
    </row>
    <row r="46" spans="2:20" x14ac:dyDescent="0.25">
      <c r="L46" s="169"/>
      <c r="M46" s="169"/>
      <c r="N46" s="169"/>
    </row>
    <row r="47" spans="2:20" x14ac:dyDescent="0.25">
      <c r="L47" s="180"/>
      <c r="M47" s="180"/>
    </row>
    <row r="48" spans="2:20" x14ac:dyDescent="0.25">
      <c r="L48" s="180"/>
      <c r="M48" s="180"/>
    </row>
    <row r="49" spans="12:13" x14ac:dyDescent="0.25">
      <c r="L49" s="180"/>
      <c r="M49" s="180"/>
    </row>
  </sheetData>
  <mergeCells count="85">
    <mergeCell ref="B4:J4"/>
    <mergeCell ref="P7:Q7"/>
    <mergeCell ref="P8:Q8"/>
    <mergeCell ref="P9:Q9"/>
    <mergeCell ref="R7:T7"/>
    <mergeCell ref="R8:T8"/>
    <mergeCell ref="R9:T9"/>
    <mergeCell ref="L4:T4"/>
    <mergeCell ref="L6:M6"/>
    <mergeCell ref="L7:M7"/>
    <mergeCell ref="L8:M8"/>
    <mergeCell ref="L9:M9"/>
    <mergeCell ref="N6:O6"/>
    <mergeCell ref="P6:Q6"/>
    <mergeCell ref="R6:T6"/>
    <mergeCell ref="N7:O7"/>
    <mergeCell ref="I25:J25"/>
    <mergeCell ref="I26:J26"/>
    <mergeCell ref="I27:J27"/>
    <mergeCell ref="I28:J28"/>
    <mergeCell ref="I29:J29"/>
    <mergeCell ref="I30:J30"/>
    <mergeCell ref="I31:J31"/>
    <mergeCell ref="I32:J32"/>
    <mergeCell ref="G32:H32"/>
    <mergeCell ref="G31:H31"/>
    <mergeCell ref="G30:H30"/>
    <mergeCell ref="G28:H28"/>
    <mergeCell ref="G27:H27"/>
    <mergeCell ref="G29:H29"/>
    <mergeCell ref="G26:H26"/>
    <mergeCell ref="G25:H25"/>
    <mergeCell ref="B12:J12"/>
    <mergeCell ref="C14:D14"/>
    <mergeCell ref="E14:F14"/>
    <mergeCell ref="L12:T12"/>
    <mergeCell ref="R11:T11"/>
    <mergeCell ref="N8:O8"/>
    <mergeCell ref="N9:O9"/>
    <mergeCell ref="D9:E9"/>
    <mergeCell ref="D37:E37"/>
    <mergeCell ref="F37:G37"/>
    <mergeCell ref="G15:H15"/>
    <mergeCell ref="G16:H16"/>
    <mergeCell ref="G14:H14"/>
    <mergeCell ref="G17:H17"/>
    <mergeCell ref="C15:D15"/>
    <mergeCell ref="C16:D16"/>
    <mergeCell ref="C17:D17"/>
    <mergeCell ref="E17:F17"/>
    <mergeCell ref="L18:T18"/>
    <mergeCell ref="L14:T15"/>
    <mergeCell ref="L16:T17"/>
    <mergeCell ref="L19:T20"/>
    <mergeCell ref="B39:C39"/>
    <mergeCell ref="B38:C38"/>
    <mergeCell ref="B37:C37"/>
    <mergeCell ref="E16:F16"/>
    <mergeCell ref="E30:F30"/>
    <mergeCell ref="E31:F31"/>
    <mergeCell ref="F38:G38"/>
    <mergeCell ref="F39:G39"/>
    <mergeCell ref="D38:E38"/>
    <mergeCell ref="D39:E39"/>
    <mergeCell ref="B35:J35"/>
    <mergeCell ref="E32:F32"/>
    <mergeCell ref="C32:D32"/>
    <mergeCell ref="C31:D31"/>
    <mergeCell ref="C30:D30"/>
    <mergeCell ref="E15:F15"/>
    <mergeCell ref="C29:D29"/>
    <mergeCell ref="C28:D28"/>
    <mergeCell ref="C27:D27"/>
    <mergeCell ref="C26:D26"/>
    <mergeCell ref="C25:D25"/>
    <mergeCell ref="E25:F25"/>
    <mergeCell ref="E26:F26"/>
    <mergeCell ref="E27:F27"/>
    <mergeCell ref="E28:F28"/>
    <mergeCell ref="E29:F29"/>
    <mergeCell ref="B22:J22"/>
    <mergeCell ref="E24:F24"/>
    <mergeCell ref="G24:H24"/>
    <mergeCell ref="I24:J24"/>
    <mergeCell ref="C24:D24"/>
  </mergeCells>
  <conditionalFormatting sqref="I32:J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T15">
    <cfRule type="iconSet" priority="1">
      <iconSet iconSet="3ArrowsGray">
        <cfvo type="percent" val="0"/>
        <cfvo type="percent" val="33"/>
        <cfvo type="percent" val="67"/>
      </iconSet>
    </cfRule>
  </conditionalFormatting>
  <conditionalFormatting sqref="N7:T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5FD8-94CB-43E8-BE4E-C413D8FBE5F8}">
  <dimension ref="A1:K93"/>
  <sheetViews>
    <sheetView zoomScale="120" zoomScaleNormal="120" zoomScalePageLayoutView="120" workbookViewId="0">
      <pane xSplit="1" ySplit="1" topLeftCell="B2" activePane="bottomRight" state="frozen"/>
      <selection activeCell="F15" sqref="F15"/>
      <selection pane="topRight" activeCell="F15" sqref="F15"/>
      <selection pane="bottomLeft" activeCell="F15" sqref="F15"/>
      <selection pane="bottomRight" activeCell="B6" sqref="B6"/>
    </sheetView>
  </sheetViews>
  <sheetFormatPr defaultColWidth="8.85546875" defaultRowHeight="15" x14ac:dyDescent="0.25"/>
  <cols>
    <col min="1" max="1" width="27.7109375" style="89" bestFit="1" customWidth="1"/>
    <col min="2" max="11" width="13.42578125" style="89" bestFit="1" customWidth="1"/>
    <col min="12" max="16384" width="8.85546875" style="89"/>
  </cols>
  <sheetData>
    <row r="1" spans="1:11" s="76" customFormat="1" x14ac:dyDescent="0.25">
      <c r="A1" s="76" t="s">
        <v>136</v>
      </c>
      <c r="B1" s="76" t="s">
        <v>135</v>
      </c>
      <c r="E1" s="210" t="str">
        <f>IF(B2&lt;&gt;B3, "A NEW VERSION OF THE WORKSHEET IS AVAILABLE", "")</f>
        <v/>
      </c>
      <c r="F1" s="210"/>
      <c r="G1" s="210"/>
      <c r="H1" s="210"/>
      <c r="I1" s="210"/>
      <c r="J1" s="210"/>
      <c r="K1" s="210"/>
    </row>
    <row r="2" spans="1:11" x14ac:dyDescent="0.25">
      <c r="A2" s="76" t="s">
        <v>134</v>
      </c>
      <c r="B2" s="89">
        <v>2.1</v>
      </c>
      <c r="E2" s="211" t="s">
        <v>133</v>
      </c>
      <c r="F2" s="211"/>
      <c r="G2" s="211"/>
      <c r="H2" s="211"/>
      <c r="I2" s="211"/>
      <c r="J2" s="211"/>
      <c r="K2" s="211"/>
    </row>
    <row r="3" spans="1:11" x14ac:dyDescent="0.25">
      <c r="A3" s="76" t="s">
        <v>132</v>
      </c>
      <c r="B3" s="89">
        <v>2.1</v>
      </c>
    </row>
    <row r="4" spans="1:11" x14ac:dyDescent="0.25">
      <c r="A4" s="76"/>
    </row>
    <row r="5" spans="1:11" x14ac:dyDescent="0.25">
      <c r="A5" s="76" t="s">
        <v>131</v>
      </c>
    </row>
    <row r="6" spans="1:11" x14ac:dyDescent="0.25">
      <c r="A6" s="89" t="s">
        <v>130</v>
      </c>
      <c r="B6" s="89">
        <f>IF(B9&gt;0, B9/B8, 0)</f>
        <v>368.25345930232561</v>
      </c>
    </row>
    <row r="7" spans="1:11" x14ac:dyDescent="0.25">
      <c r="A7" s="89" t="s">
        <v>129</v>
      </c>
      <c r="B7" s="75">
        <v>2</v>
      </c>
    </row>
    <row r="8" spans="1:11" x14ac:dyDescent="0.25">
      <c r="A8" s="89" t="s">
        <v>128</v>
      </c>
      <c r="B8" s="75">
        <v>688</v>
      </c>
    </row>
    <row r="9" spans="1:11" x14ac:dyDescent="0.25">
      <c r="A9" s="89" t="s">
        <v>127</v>
      </c>
      <c r="B9" s="75">
        <v>253358.38</v>
      </c>
    </row>
    <row r="15" spans="1:11" x14ac:dyDescent="0.25">
      <c r="A15" s="76" t="s">
        <v>126</v>
      </c>
    </row>
    <row r="16" spans="1:11" s="93" customFormat="1" x14ac:dyDescent="0.25">
      <c r="A16" s="94" t="s">
        <v>109</v>
      </c>
      <c r="B16" s="82">
        <v>42460</v>
      </c>
      <c r="C16" s="82">
        <v>42825</v>
      </c>
      <c r="D16" s="82">
        <v>43190</v>
      </c>
      <c r="E16" s="82">
        <v>43555</v>
      </c>
      <c r="F16" s="82">
        <v>43921</v>
      </c>
      <c r="G16" s="82">
        <v>44286</v>
      </c>
      <c r="H16" s="82">
        <v>44651</v>
      </c>
      <c r="I16" s="82">
        <v>45016</v>
      </c>
      <c r="J16" s="82">
        <v>45382</v>
      </c>
      <c r="K16" s="82">
        <v>45747</v>
      </c>
    </row>
    <row r="17" spans="1:11" s="77" customFormat="1" x14ac:dyDescent="0.25">
      <c r="A17" s="77" t="s">
        <v>80</v>
      </c>
      <c r="B17" s="75">
        <v>273045.59999999998</v>
      </c>
      <c r="C17" s="75">
        <v>269692.51</v>
      </c>
      <c r="D17" s="75">
        <v>291550.48</v>
      </c>
      <c r="E17" s="75">
        <v>301938.40000000002</v>
      </c>
      <c r="F17" s="75">
        <v>261067.97</v>
      </c>
      <c r="G17" s="75">
        <v>249794.75</v>
      </c>
      <c r="H17" s="75">
        <v>278453.62</v>
      </c>
      <c r="I17" s="75">
        <v>345966.97</v>
      </c>
      <c r="J17" s="75">
        <v>434016</v>
      </c>
      <c r="K17" s="75">
        <v>439695</v>
      </c>
    </row>
    <row r="18" spans="1:11" s="77" customFormat="1" x14ac:dyDescent="0.25">
      <c r="A18" s="89" t="s">
        <v>125</v>
      </c>
      <c r="B18" s="75">
        <v>166134.01</v>
      </c>
      <c r="C18" s="75">
        <v>173294.07999999999</v>
      </c>
      <c r="D18" s="75">
        <v>187896.58</v>
      </c>
      <c r="E18" s="75">
        <v>194267.91</v>
      </c>
      <c r="F18" s="75">
        <v>164899.82</v>
      </c>
      <c r="G18" s="75">
        <v>153607.35999999999</v>
      </c>
      <c r="H18" s="75">
        <v>179295.33</v>
      </c>
      <c r="I18" s="75">
        <v>231251.26</v>
      </c>
      <c r="J18" s="75">
        <v>274321</v>
      </c>
      <c r="K18" s="75">
        <v>268950</v>
      </c>
    </row>
    <row r="19" spans="1:11" s="77" customFormat="1" x14ac:dyDescent="0.25">
      <c r="A19" s="89" t="s">
        <v>124</v>
      </c>
      <c r="B19" s="75">
        <v>2750.99</v>
      </c>
      <c r="C19" s="75">
        <v>7399.92</v>
      </c>
      <c r="D19" s="75">
        <v>2046.58</v>
      </c>
      <c r="E19" s="75">
        <v>-2053.2800000000002</v>
      </c>
      <c r="F19" s="75">
        <v>-2231.19</v>
      </c>
      <c r="G19" s="75">
        <v>-4684.16</v>
      </c>
      <c r="H19" s="75">
        <v>-1590.49</v>
      </c>
      <c r="I19" s="75">
        <v>4781.62</v>
      </c>
      <c r="J19" s="75">
        <v>1566</v>
      </c>
      <c r="K19" s="75">
        <v>-2836</v>
      </c>
    </row>
    <row r="20" spans="1:11" s="77" customFormat="1" x14ac:dyDescent="0.25">
      <c r="A20" s="89" t="s">
        <v>123</v>
      </c>
      <c r="B20" s="75">
        <v>1143.6300000000001</v>
      </c>
      <c r="C20" s="75">
        <v>1159.82</v>
      </c>
      <c r="D20" s="75">
        <v>1308.08</v>
      </c>
      <c r="E20" s="75">
        <v>1585.93</v>
      </c>
      <c r="F20" s="75">
        <v>1264.95</v>
      </c>
      <c r="G20" s="75">
        <v>1112.8699999999999</v>
      </c>
      <c r="H20" s="75">
        <v>2178.29</v>
      </c>
      <c r="I20" s="75">
        <v>2513.33</v>
      </c>
      <c r="J20" s="75">
        <v>2189</v>
      </c>
      <c r="K20" s="75">
        <v>2443</v>
      </c>
    </row>
    <row r="21" spans="1:11" s="77" customFormat="1" x14ac:dyDescent="0.25">
      <c r="A21" s="89" t="s">
        <v>122</v>
      </c>
      <c r="B21" s="75">
        <v>12101.53</v>
      </c>
      <c r="C21" s="75">
        <v>10067.370000000001</v>
      </c>
      <c r="D21" s="75">
        <v>10971.66</v>
      </c>
      <c r="E21" s="75">
        <v>11694.54</v>
      </c>
      <c r="F21" s="75">
        <v>11541.51</v>
      </c>
      <c r="G21" s="75">
        <v>8273.17</v>
      </c>
      <c r="H21" s="75">
        <v>9427.3799999999992</v>
      </c>
      <c r="I21" s="75">
        <v>11765.97</v>
      </c>
      <c r="J21" s="75">
        <v>17446</v>
      </c>
      <c r="K21" s="75">
        <v>18813</v>
      </c>
    </row>
    <row r="22" spans="1:11" s="77" customFormat="1" x14ac:dyDescent="0.25">
      <c r="A22" s="89" t="s">
        <v>121</v>
      </c>
      <c r="B22" s="75">
        <v>28880.89</v>
      </c>
      <c r="C22" s="75">
        <v>28332.89</v>
      </c>
      <c r="D22" s="75">
        <v>30300.09</v>
      </c>
      <c r="E22" s="75">
        <v>33243.870000000003</v>
      </c>
      <c r="F22" s="75">
        <v>30438.6</v>
      </c>
      <c r="G22" s="75">
        <v>27648.48</v>
      </c>
      <c r="H22" s="75">
        <v>30808.52</v>
      </c>
      <c r="I22" s="75">
        <v>33654.699999999997</v>
      </c>
      <c r="J22" s="75">
        <v>41990</v>
      </c>
      <c r="K22" s="75">
        <v>47767</v>
      </c>
    </row>
    <row r="23" spans="1:11" s="77" customFormat="1" x14ac:dyDescent="0.25">
      <c r="A23" s="89" t="s">
        <v>120</v>
      </c>
      <c r="B23" s="75">
        <v>21991.9</v>
      </c>
      <c r="C23" s="75">
        <v>30039.38</v>
      </c>
      <c r="D23" s="75">
        <v>31004.58</v>
      </c>
      <c r="E23" s="75">
        <v>32719.8</v>
      </c>
      <c r="F23" s="75">
        <v>29248.32</v>
      </c>
      <c r="G23" s="75">
        <v>23015.79</v>
      </c>
      <c r="H23" s="75">
        <v>29205.4</v>
      </c>
      <c r="I23" s="75">
        <v>34839.19</v>
      </c>
      <c r="J23" s="75">
        <v>42765</v>
      </c>
      <c r="K23" s="75">
        <v>47099</v>
      </c>
    </row>
    <row r="24" spans="1:11" s="77" customFormat="1" x14ac:dyDescent="0.25">
      <c r="A24" s="89" t="s">
        <v>119</v>
      </c>
      <c r="B24" s="75">
        <v>7149.38</v>
      </c>
      <c r="C24" s="75">
        <v>4610.2</v>
      </c>
      <c r="D24" s="75">
        <v>658.39</v>
      </c>
      <c r="E24" s="75">
        <v>1708.74</v>
      </c>
      <c r="F24" s="75">
        <v>3456.51</v>
      </c>
      <c r="G24" s="75">
        <v>-834.51</v>
      </c>
      <c r="H24" s="75">
        <v>1228.1199999999999</v>
      </c>
      <c r="I24" s="75">
        <v>4908.34</v>
      </c>
      <c r="J24" s="75">
        <v>-953</v>
      </c>
      <c r="K24" s="75">
        <v>-3429</v>
      </c>
    </row>
    <row r="25" spans="1:11" s="77" customFormat="1" x14ac:dyDescent="0.25">
      <c r="A25" s="77" t="s">
        <v>77</v>
      </c>
      <c r="B25" s="75">
        <v>-2669.62</v>
      </c>
      <c r="C25" s="75">
        <v>1869.1</v>
      </c>
      <c r="D25" s="75">
        <v>5932.73</v>
      </c>
      <c r="E25" s="75">
        <v>-26686.25</v>
      </c>
      <c r="F25" s="75">
        <v>101.71</v>
      </c>
      <c r="G25" s="75">
        <v>-11117.83</v>
      </c>
      <c r="H25" s="75">
        <v>2424.0500000000002</v>
      </c>
      <c r="I25" s="75">
        <v>6663.97</v>
      </c>
      <c r="J25" s="75">
        <v>4792</v>
      </c>
      <c r="K25" s="75">
        <v>11774</v>
      </c>
    </row>
    <row r="26" spans="1:11" s="77" customFormat="1" x14ac:dyDescent="0.25">
      <c r="A26" s="77" t="s">
        <v>76</v>
      </c>
      <c r="B26" s="75">
        <v>16710.78</v>
      </c>
      <c r="C26" s="75">
        <v>17904.990000000002</v>
      </c>
      <c r="D26" s="75">
        <v>21553.59</v>
      </c>
      <c r="E26" s="75">
        <v>23590.63</v>
      </c>
      <c r="F26" s="75">
        <v>21425.43</v>
      </c>
      <c r="G26" s="75">
        <v>23546.71</v>
      </c>
      <c r="H26" s="75">
        <v>24835.69</v>
      </c>
      <c r="I26" s="75">
        <v>24860.36</v>
      </c>
      <c r="J26" s="75">
        <v>27239</v>
      </c>
      <c r="K26" s="75">
        <v>23256</v>
      </c>
    </row>
    <row r="27" spans="1:11" s="77" customFormat="1" x14ac:dyDescent="0.25">
      <c r="A27" s="77" t="s">
        <v>75</v>
      </c>
      <c r="B27" s="75">
        <v>4889.08</v>
      </c>
      <c r="C27" s="75">
        <v>4238.01</v>
      </c>
      <c r="D27" s="75">
        <v>4681.79</v>
      </c>
      <c r="E27" s="75">
        <v>5758.6</v>
      </c>
      <c r="F27" s="75">
        <v>7243.33</v>
      </c>
      <c r="G27" s="75">
        <v>8097.17</v>
      </c>
      <c r="H27" s="75">
        <v>9311.86</v>
      </c>
      <c r="I27" s="75">
        <v>10225.48</v>
      </c>
      <c r="J27" s="75">
        <v>7594</v>
      </c>
      <c r="K27" s="75">
        <v>5083</v>
      </c>
    </row>
    <row r="28" spans="1:11" s="77" customFormat="1" x14ac:dyDescent="0.25">
      <c r="A28" s="77" t="s">
        <v>74</v>
      </c>
      <c r="B28" s="75">
        <v>14125.77</v>
      </c>
      <c r="C28" s="75">
        <v>9314.7900000000009</v>
      </c>
      <c r="D28" s="75">
        <v>11155.03</v>
      </c>
      <c r="E28" s="75">
        <v>-31371.15</v>
      </c>
      <c r="F28" s="75">
        <v>-10579.98</v>
      </c>
      <c r="G28" s="75">
        <v>-10474.280000000001</v>
      </c>
      <c r="H28" s="75">
        <v>-7003.41</v>
      </c>
      <c r="I28" s="75">
        <v>3393.93</v>
      </c>
      <c r="J28" s="75">
        <v>27783</v>
      </c>
      <c r="K28" s="75">
        <v>38651</v>
      </c>
    </row>
    <row r="29" spans="1:11" s="77" customFormat="1" x14ac:dyDescent="0.25">
      <c r="A29" s="77" t="s">
        <v>73</v>
      </c>
      <c r="B29" s="75">
        <v>3025.05</v>
      </c>
      <c r="C29" s="75">
        <v>3251.23</v>
      </c>
      <c r="D29" s="75">
        <v>4341.93</v>
      </c>
      <c r="E29" s="75">
        <v>-2437.4499999999998</v>
      </c>
      <c r="F29" s="75">
        <v>395.25</v>
      </c>
      <c r="G29" s="75">
        <v>2541.86</v>
      </c>
      <c r="H29" s="75">
        <v>4231.29</v>
      </c>
      <c r="I29" s="75">
        <v>704.06</v>
      </c>
      <c r="J29" s="75">
        <v>-4024</v>
      </c>
      <c r="K29" s="75">
        <v>10502</v>
      </c>
    </row>
    <row r="30" spans="1:11" s="77" customFormat="1" x14ac:dyDescent="0.25">
      <c r="A30" s="77" t="s">
        <v>72</v>
      </c>
      <c r="B30" s="75">
        <v>11579.31</v>
      </c>
      <c r="C30" s="75">
        <v>7454.36</v>
      </c>
      <c r="D30" s="75">
        <v>8988.91</v>
      </c>
      <c r="E30" s="75">
        <v>-28826.23</v>
      </c>
      <c r="F30" s="75">
        <v>-12070.85</v>
      </c>
      <c r="G30" s="75">
        <v>-13451.39</v>
      </c>
      <c r="H30" s="75">
        <v>-11441.47</v>
      </c>
      <c r="I30" s="75">
        <v>2414.29</v>
      </c>
      <c r="J30" s="75">
        <v>31399</v>
      </c>
      <c r="K30" s="75">
        <v>27830</v>
      </c>
    </row>
    <row r="31" spans="1:11" s="77" customFormat="1" x14ac:dyDescent="0.25">
      <c r="A31" s="77" t="s">
        <v>118</v>
      </c>
      <c r="B31" s="75">
        <v>67.92</v>
      </c>
      <c r="I31" s="75">
        <v>766.02</v>
      </c>
      <c r="J31" s="75">
        <v>2301</v>
      </c>
      <c r="K31" s="75">
        <v>2208</v>
      </c>
    </row>
    <row r="32" spans="1:11" s="77" customFormat="1" x14ac:dyDescent="0.25"/>
    <row r="33" spans="1:11" x14ac:dyDescent="0.25">
      <c r="A33" s="77"/>
    </row>
    <row r="34" spans="1:11" x14ac:dyDescent="0.25">
      <c r="A34" s="77"/>
    </row>
    <row r="35" spans="1:11" x14ac:dyDescent="0.25">
      <c r="A35" s="77"/>
    </row>
    <row r="36" spans="1:11" x14ac:dyDescent="0.25">
      <c r="A36" s="77"/>
    </row>
    <row r="37" spans="1:11" x14ac:dyDescent="0.25">
      <c r="A37" s="77"/>
    </row>
    <row r="38" spans="1:11" x14ac:dyDescent="0.25">
      <c r="A38" s="77"/>
    </row>
    <row r="39" spans="1:11" x14ac:dyDescent="0.25">
      <c r="A39" s="77"/>
    </row>
    <row r="40" spans="1:11" x14ac:dyDescent="0.25">
      <c r="A40" s="76" t="s">
        <v>117</v>
      </c>
    </row>
    <row r="41" spans="1:11" s="93" customFormat="1" x14ac:dyDescent="0.25">
      <c r="A41" s="94" t="s">
        <v>109</v>
      </c>
      <c r="B41" s="82">
        <v>44926</v>
      </c>
      <c r="C41" s="82">
        <v>45016</v>
      </c>
      <c r="D41" s="82">
        <v>45107</v>
      </c>
      <c r="E41" s="82">
        <v>45199</v>
      </c>
      <c r="F41" s="82">
        <v>45291</v>
      </c>
      <c r="G41" s="82">
        <v>45382</v>
      </c>
      <c r="H41" s="82">
        <v>45473</v>
      </c>
      <c r="I41" s="82">
        <v>45565</v>
      </c>
      <c r="J41" s="82">
        <v>45657</v>
      </c>
      <c r="K41" s="82">
        <v>45747</v>
      </c>
    </row>
    <row r="42" spans="1:11" s="77" customFormat="1" x14ac:dyDescent="0.25">
      <c r="A42" s="77" t="s">
        <v>80</v>
      </c>
      <c r="B42" s="75">
        <v>88488.59</v>
      </c>
      <c r="C42" s="75">
        <v>105932.35</v>
      </c>
      <c r="D42" s="75">
        <v>102236</v>
      </c>
      <c r="E42" s="75">
        <v>105129</v>
      </c>
      <c r="F42" s="75">
        <v>110577</v>
      </c>
      <c r="G42" s="75">
        <v>119033</v>
      </c>
      <c r="H42" s="75">
        <v>108048</v>
      </c>
      <c r="I42" s="75">
        <v>101450</v>
      </c>
      <c r="J42" s="75">
        <v>112608</v>
      </c>
      <c r="K42" s="75">
        <v>119503</v>
      </c>
    </row>
    <row r="43" spans="1:11" s="77" customFormat="1" x14ac:dyDescent="0.25">
      <c r="A43" s="77" t="s">
        <v>79</v>
      </c>
      <c r="B43" s="75">
        <v>77668.350000000006</v>
      </c>
      <c r="C43" s="75">
        <v>92817.95</v>
      </c>
      <c r="D43" s="75">
        <v>89019</v>
      </c>
      <c r="E43" s="75">
        <v>91362</v>
      </c>
      <c r="F43" s="75">
        <v>95159</v>
      </c>
      <c r="G43" s="75">
        <v>102348</v>
      </c>
      <c r="H43" s="75">
        <v>92263</v>
      </c>
      <c r="I43" s="75">
        <v>89291</v>
      </c>
      <c r="J43" s="75">
        <v>100185</v>
      </c>
      <c r="K43" s="75">
        <v>102685</v>
      </c>
    </row>
    <row r="44" spans="1:11" s="77" customFormat="1" x14ac:dyDescent="0.25">
      <c r="A44" s="77" t="s">
        <v>77</v>
      </c>
      <c r="B44" s="75">
        <v>1129.98</v>
      </c>
      <c r="C44" s="75">
        <v>1452.86</v>
      </c>
      <c r="D44" s="75">
        <v>895</v>
      </c>
      <c r="E44" s="75">
        <v>1557</v>
      </c>
      <c r="F44" s="75">
        <v>1604</v>
      </c>
      <c r="G44" s="75">
        <v>1412</v>
      </c>
      <c r="H44" s="75">
        <v>1747</v>
      </c>
      <c r="I44" s="75">
        <v>1647</v>
      </c>
      <c r="J44" s="75">
        <v>1700</v>
      </c>
      <c r="K44" s="75">
        <v>1057</v>
      </c>
    </row>
    <row r="45" spans="1:11" s="77" customFormat="1" x14ac:dyDescent="0.25">
      <c r="A45" s="77" t="s">
        <v>76</v>
      </c>
      <c r="B45" s="75">
        <v>6071.78</v>
      </c>
      <c r="C45" s="75">
        <v>7050.2</v>
      </c>
      <c r="D45" s="75">
        <v>6633</v>
      </c>
      <c r="E45" s="75">
        <v>6637</v>
      </c>
      <c r="F45" s="75">
        <v>6850</v>
      </c>
      <c r="G45" s="75">
        <v>7143</v>
      </c>
      <c r="H45" s="75">
        <v>6574</v>
      </c>
      <c r="I45" s="75">
        <v>6005</v>
      </c>
      <c r="J45" s="75">
        <v>5399</v>
      </c>
      <c r="K45" s="75">
        <v>5295</v>
      </c>
    </row>
    <row r="46" spans="1:11" s="77" customFormat="1" x14ac:dyDescent="0.25">
      <c r="A46" s="77" t="s">
        <v>75</v>
      </c>
      <c r="B46" s="75">
        <v>2675.83</v>
      </c>
      <c r="C46" s="75">
        <v>2641.67</v>
      </c>
      <c r="D46" s="75">
        <v>2615</v>
      </c>
      <c r="E46" s="75">
        <v>2652</v>
      </c>
      <c r="F46" s="75">
        <v>2485</v>
      </c>
      <c r="G46" s="75">
        <v>1645</v>
      </c>
      <c r="H46" s="75">
        <v>2088</v>
      </c>
      <c r="I46" s="75">
        <v>2034</v>
      </c>
      <c r="J46" s="75">
        <v>1119</v>
      </c>
      <c r="K46" s="75">
        <v>1076</v>
      </c>
    </row>
    <row r="47" spans="1:11" s="77" customFormat="1" x14ac:dyDescent="0.25">
      <c r="A47" s="77" t="s">
        <v>74</v>
      </c>
      <c r="B47" s="75">
        <v>3202.61</v>
      </c>
      <c r="C47" s="75">
        <v>4875.3900000000003</v>
      </c>
      <c r="D47" s="75">
        <v>4864</v>
      </c>
      <c r="E47" s="75">
        <v>6035</v>
      </c>
      <c r="F47" s="75">
        <v>7687</v>
      </c>
      <c r="G47" s="75">
        <v>9309</v>
      </c>
      <c r="H47" s="75">
        <v>8870</v>
      </c>
      <c r="I47" s="75">
        <v>5767</v>
      </c>
      <c r="J47" s="75">
        <v>7605</v>
      </c>
      <c r="K47" s="75">
        <v>11504</v>
      </c>
    </row>
    <row r="48" spans="1:11" s="77" customFormat="1" x14ac:dyDescent="0.25">
      <c r="A48" s="77" t="s">
        <v>73</v>
      </c>
      <c r="B48" s="75">
        <v>262.83</v>
      </c>
      <c r="C48" s="75">
        <v>-620.65</v>
      </c>
      <c r="D48" s="75">
        <v>1563</v>
      </c>
      <c r="E48" s="75">
        <v>2203</v>
      </c>
      <c r="F48" s="75">
        <v>542</v>
      </c>
      <c r="G48" s="75">
        <v>-8219</v>
      </c>
      <c r="H48" s="75">
        <v>3178</v>
      </c>
      <c r="I48" s="75">
        <v>2317</v>
      </c>
      <c r="J48" s="75">
        <v>2120</v>
      </c>
      <c r="K48" s="75">
        <v>2948</v>
      </c>
    </row>
    <row r="49" spans="1:11" s="77" customFormat="1" x14ac:dyDescent="0.25">
      <c r="A49" s="77" t="s">
        <v>72</v>
      </c>
      <c r="B49" s="75">
        <v>2957.71</v>
      </c>
      <c r="C49" s="75">
        <v>5407.79</v>
      </c>
      <c r="D49" s="75">
        <v>3203</v>
      </c>
      <c r="E49" s="75">
        <v>3764</v>
      </c>
      <c r="F49" s="75">
        <v>7025</v>
      </c>
      <c r="G49" s="75">
        <v>17407</v>
      </c>
      <c r="H49" s="75">
        <v>5566</v>
      </c>
      <c r="I49" s="75">
        <v>3343</v>
      </c>
      <c r="J49" s="75">
        <v>5406</v>
      </c>
      <c r="K49" s="75">
        <v>8470</v>
      </c>
    </row>
    <row r="50" spans="1:11" x14ac:dyDescent="0.25">
      <c r="A50" s="77" t="s">
        <v>78</v>
      </c>
      <c r="B50" s="75">
        <v>10820.24</v>
      </c>
      <c r="C50" s="75">
        <v>13114.4</v>
      </c>
      <c r="D50" s="75">
        <v>13217</v>
      </c>
      <c r="E50" s="75">
        <v>13767</v>
      </c>
      <c r="F50" s="75">
        <v>15418</v>
      </c>
      <c r="G50" s="75">
        <v>16685</v>
      </c>
      <c r="H50" s="75">
        <v>15785</v>
      </c>
      <c r="I50" s="75">
        <v>12159</v>
      </c>
      <c r="J50" s="75">
        <v>12423</v>
      </c>
      <c r="K50" s="75">
        <v>16818</v>
      </c>
    </row>
    <row r="51" spans="1:11" x14ac:dyDescent="0.25">
      <c r="A51" s="77"/>
    </row>
    <row r="52" spans="1:11" x14ac:dyDescent="0.25">
      <c r="A52" s="77"/>
    </row>
    <row r="53" spans="1:11" x14ac:dyDescent="0.25">
      <c r="A53" s="77"/>
    </row>
    <row r="54" spans="1:11" x14ac:dyDescent="0.25">
      <c r="A54" s="77"/>
    </row>
    <row r="55" spans="1:11" x14ac:dyDescent="0.25">
      <c r="A55" s="76" t="s">
        <v>116</v>
      </c>
    </row>
    <row r="56" spans="1:11" s="93" customFormat="1" x14ac:dyDescent="0.25">
      <c r="A56" s="94" t="s">
        <v>109</v>
      </c>
      <c r="B56" s="82">
        <v>42460</v>
      </c>
      <c r="C56" s="82">
        <v>42825</v>
      </c>
      <c r="D56" s="82">
        <v>43190</v>
      </c>
      <c r="E56" s="82">
        <v>43555</v>
      </c>
      <c r="F56" s="82">
        <v>43921</v>
      </c>
      <c r="G56" s="82">
        <v>44286</v>
      </c>
      <c r="H56" s="82">
        <v>44651</v>
      </c>
      <c r="I56" s="82">
        <v>45016</v>
      </c>
      <c r="J56" s="82">
        <v>45382</v>
      </c>
      <c r="K56" s="82">
        <v>45747</v>
      </c>
    </row>
    <row r="57" spans="1:11" x14ac:dyDescent="0.25">
      <c r="A57" s="77" t="s">
        <v>101</v>
      </c>
      <c r="B57" s="75">
        <v>679.18</v>
      </c>
      <c r="C57" s="75">
        <v>679.22</v>
      </c>
      <c r="D57" s="75">
        <v>679.22</v>
      </c>
      <c r="E57" s="75">
        <v>679.22</v>
      </c>
      <c r="F57" s="75">
        <v>719.54</v>
      </c>
      <c r="G57" s="75">
        <v>765.81</v>
      </c>
      <c r="H57" s="75">
        <v>765.88</v>
      </c>
      <c r="I57" s="75">
        <v>766.02</v>
      </c>
      <c r="J57" s="75">
        <v>767</v>
      </c>
      <c r="K57" s="75">
        <v>736</v>
      </c>
    </row>
    <row r="58" spans="1:11" x14ac:dyDescent="0.25">
      <c r="A58" s="77" t="s">
        <v>100</v>
      </c>
      <c r="B58" s="75">
        <v>78273.23</v>
      </c>
      <c r="C58" s="75">
        <v>57382.67</v>
      </c>
      <c r="D58" s="75">
        <v>94748.69</v>
      </c>
      <c r="E58" s="75">
        <v>59500.34</v>
      </c>
      <c r="F58" s="75">
        <v>62358.99</v>
      </c>
      <c r="G58" s="75">
        <v>54480.91</v>
      </c>
      <c r="H58" s="75">
        <v>43795.360000000001</v>
      </c>
      <c r="I58" s="75">
        <v>44555.77</v>
      </c>
      <c r="J58" s="75">
        <v>84151</v>
      </c>
      <c r="K58" s="75">
        <v>115408</v>
      </c>
    </row>
    <row r="59" spans="1:11" x14ac:dyDescent="0.25">
      <c r="A59" s="77" t="s">
        <v>99</v>
      </c>
      <c r="B59" s="75">
        <v>69359.960000000006</v>
      </c>
      <c r="C59" s="75">
        <v>78603.98</v>
      </c>
      <c r="D59" s="75">
        <v>88950.47</v>
      </c>
      <c r="E59" s="75">
        <v>106175.34</v>
      </c>
      <c r="F59" s="75">
        <v>124787.64</v>
      </c>
      <c r="G59" s="75">
        <v>142130.57</v>
      </c>
      <c r="H59" s="75">
        <v>146449.03</v>
      </c>
      <c r="I59" s="75">
        <v>134113.44</v>
      </c>
      <c r="J59" s="75">
        <v>107264</v>
      </c>
      <c r="K59" s="75">
        <v>71540</v>
      </c>
    </row>
    <row r="60" spans="1:11" x14ac:dyDescent="0.25">
      <c r="A60" s="77" t="s">
        <v>98</v>
      </c>
      <c r="B60" s="75">
        <v>114871.75</v>
      </c>
      <c r="C60" s="75">
        <v>135914.49</v>
      </c>
      <c r="D60" s="75">
        <v>142813.43</v>
      </c>
      <c r="E60" s="75">
        <v>139348.59</v>
      </c>
      <c r="F60" s="75">
        <v>132313.22</v>
      </c>
      <c r="G60" s="75">
        <v>144192.62</v>
      </c>
      <c r="H60" s="75">
        <v>138051.22</v>
      </c>
      <c r="I60" s="75">
        <v>155239.20000000001</v>
      </c>
      <c r="J60" s="75">
        <v>177339</v>
      </c>
      <c r="K60" s="75">
        <v>189289</v>
      </c>
    </row>
    <row r="61" spans="1:11" s="76" customFormat="1" x14ac:dyDescent="0.25">
      <c r="A61" s="76" t="s">
        <v>93</v>
      </c>
      <c r="B61" s="75">
        <v>263184.12</v>
      </c>
      <c r="C61" s="75">
        <v>272580.36</v>
      </c>
      <c r="D61" s="75">
        <v>327191.81</v>
      </c>
      <c r="E61" s="75">
        <v>305703.49</v>
      </c>
      <c r="F61" s="75">
        <v>320179.39</v>
      </c>
      <c r="G61" s="75">
        <v>341569.91</v>
      </c>
      <c r="H61" s="75">
        <v>329061.49</v>
      </c>
      <c r="I61" s="75">
        <v>334674.43</v>
      </c>
      <c r="J61" s="75">
        <v>369521</v>
      </c>
      <c r="K61" s="75">
        <v>376973</v>
      </c>
    </row>
    <row r="62" spans="1:11" x14ac:dyDescent="0.25">
      <c r="A62" s="77" t="s">
        <v>97</v>
      </c>
      <c r="B62" s="75">
        <v>107231.76</v>
      </c>
      <c r="C62" s="75">
        <v>95944.08</v>
      </c>
      <c r="D62" s="75">
        <v>121413.86</v>
      </c>
      <c r="E62" s="75">
        <v>111234.47</v>
      </c>
      <c r="F62" s="75">
        <v>127107.14</v>
      </c>
      <c r="G62" s="75">
        <v>138707.60999999999</v>
      </c>
      <c r="H62" s="75">
        <v>138855.45000000001</v>
      </c>
      <c r="I62" s="75">
        <v>132079.76</v>
      </c>
      <c r="J62" s="75">
        <v>121285</v>
      </c>
      <c r="K62" s="75">
        <v>115697</v>
      </c>
    </row>
    <row r="63" spans="1:11" x14ac:dyDescent="0.25">
      <c r="A63" s="77" t="s">
        <v>96</v>
      </c>
      <c r="B63" s="75">
        <v>25918.94</v>
      </c>
      <c r="C63" s="75">
        <v>33698.839999999997</v>
      </c>
      <c r="D63" s="75">
        <v>40033.5</v>
      </c>
      <c r="E63" s="75">
        <v>31883.84</v>
      </c>
      <c r="F63" s="75">
        <v>35622.29</v>
      </c>
      <c r="G63" s="75">
        <v>20963.93</v>
      </c>
      <c r="H63" s="75">
        <v>10251.09</v>
      </c>
      <c r="I63" s="75">
        <v>14274.5</v>
      </c>
      <c r="J63" s="75">
        <v>35698</v>
      </c>
      <c r="K63" s="75">
        <v>65806</v>
      </c>
    </row>
    <row r="64" spans="1:11" x14ac:dyDescent="0.25">
      <c r="A64" s="77" t="s">
        <v>95</v>
      </c>
      <c r="B64" s="75">
        <v>23767.02</v>
      </c>
      <c r="C64" s="75">
        <v>20337.919999999998</v>
      </c>
      <c r="D64" s="75">
        <v>20812.75</v>
      </c>
      <c r="E64" s="75">
        <v>15770.72</v>
      </c>
      <c r="F64" s="75">
        <v>16308.48</v>
      </c>
      <c r="G64" s="75">
        <v>24620.28</v>
      </c>
      <c r="H64" s="75">
        <v>29379.53</v>
      </c>
      <c r="I64" s="75">
        <v>26379.16</v>
      </c>
      <c r="J64" s="75">
        <v>22971</v>
      </c>
      <c r="K64" s="75">
        <v>35656</v>
      </c>
    </row>
    <row r="65" spans="1:11" x14ac:dyDescent="0.25">
      <c r="A65" s="77" t="s">
        <v>94</v>
      </c>
      <c r="B65" s="75">
        <v>106266.4</v>
      </c>
      <c r="C65" s="75">
        <v>122599.52</v>
      </c>
      <c r="D65" s="75">
        <v>144931.70000000001</v>
      </c>
      <c r="E65" s="75">
        <v>146814.46</v>
      </c>
      <c r="F65" s="75">
        <v>141141.48000000001</v>
      </c>
      <c r="G65" s="75">
        <v>157278.09</v>
      </c>
      <c r="H65" s="75">
        <v>150575.42000000001</v>
      </c>
      <c r="I65" s="75">
        <v>161941.01</v>
      </c>
      <c r="J65" s="75">
        <v>189567</v>
      </c>
      <c r="K65" s="75">
        <v>159814</v>
      </c>
    </row>
    <row r="66" spans="1:11" s="76" customFormat="1" x14ac:dyDescent="0.25">
      <c r="A66" s="76" t="s">
        <v>93</v>
      </c>
      <c r="B66" s="75">
        <v>263184.12</v>
      </c>
      <c r="C66" s="75">
        <v>272580.36</v>
      </c>
      <c r="D66" s="75">
        <v>327191.81</v>
      </c>
      <c r="E66" s="75">
        <v>305703.49</v>
      </c>
      <c r="F66" s="75">
        <v>320179.39</v>
      </c>
      <c r="G66" s="75">
        <v>341569.91</v>
      </c>
      <c r="H66" s="75">
        <v>329061.49</v>
      </c>
      <c r="I66" s="75">
        <v>334674.43</v>
      </c>
      <c r="J66" s="75">
        <v>369521</v>
      </c>
      <c r="K66" s="75">
        <v>376973</v>
      </c>
    </row>
    <row r="67" spans="1:11" s="77" customFormat="1" x14ac:dyDescent="0.25">
      <c r="A67" s="77" t="s">
        <v>115</v>
      </c>
      <c r="B67" s="75">
        <v>13570.91</v>
      </c>
      <c r="C67" s="75">
        <v>14075.55</v>
      </c>
      <c r="D67" s="75">
        <v>19893.3</v>
      </c>
      <c r="E67" s="75">
        <v>18996.169999999998</v>
      </c>
      <c r="F67" s="75">
        <v>11172.69</v>
      </c>
      <c r="G67" s="75">
        <v>12679.08</v>
      </c>
      <c r="H67" s="75">
        <v>12442.12</v>
      </c>
      <c r="I67" s="75">
        <v>15737.97</v>
      </c>
      <c r="J67" s="75">
        <v>16952</v>
      </c>
      <c r="K67" s="75">
        <v>13248</v>
      </c>
    </row>
    <row r="68" spans="1:11" x14ac:dyDescent="0.25">
      <c r="A68" s="77" t="s">
        <v>90</v>
      </c>
      <c r="B68" s="75">
        <v>32655.73</v>
      </c>
      <c r="C68" s="75">
        <v>35085.31</v>
      </c>
      <c r="D68" s="75">
        <v>42137.63</v>
      </c>
      <c r="E68" s="75">
        <v>39013.730000000003</v>
      </c>
      <c r="F68" s="75">
        <v>37456.879999999997</v>
      </c>
      <c r="G68" s="75">
        <v>36088.589999999997</v>
      </c>
      <c r="H68" s="75">
        <v>35240.339999999997</v>
      </c>
      <c r="I68" s="75">
        <v>40755.39</v>
      </c>
      <c r="J68" s="75">
        <v>47788</v>
      </c>
      <c r="K68" s="75">
        <v>47269</v>
      </c>
    </row>
    <row r="69" spans="1:11" x14ac:dyDescent="0.25">
      <c r="A69" s="89" t="s">
        <v>114</v>
      </c>
      <c r="B69" s="75">
        <v>30460.400000000001</v>
      </c>
      <c r="C69" s="75">
        <v>36077.879999999997</v>
      </c>
      <c r="D69" s="75">
        <v>34613.910000000003</v>
      </c>
      <c r="E69" s="75">
        <v>32648.82</v>
      </c>
      <c r="F69" s="75">
        <v>33726.97</v>
      </c>
      <c r="G69" s="75">
        <v>46792.46</v>
      </c>
      <c r="H69" s="75">
        <v>40669.19</v>
      </c>
      <c r="I69" s="75">
        <v>37015.56</v>
      </c>
      <c r="J69" s="75">
        <v>45807</v>
      </c>
      <c r="K69" s="75">
        <v>40834</v>
      </c>
    </row>
    <row r="70" spans="1:11" x14ac:dyDescent="0.25">
      <c r="A70" s="89" t="s">
        <v>113</v>
      </c>
      <c r="B70" s="75">
        <v>3395930306</v>
      </c>
      <c r="C70" s="75">
        <v>3396100719</v>
      </c>
      <c r="D70" s="75">
        <v>3396100719</v>
      </c>
      <c r="E70" s="75">
        <v>3396100719</v>
      </c>
      <c r="F70" s="75">
        <v>3597726185</v>
      </c>
      <c r="G70" s="75">
        <v>3829060661</v>
      </c>
      <c r="H70" s="75">
        <v>3829414903</v>
      </c>
      <c r="I70" s="75">
        <v>3830097221</v>
      </c>
      <c r="J70" s="75">
        <v>3832491897</v>
      </c>
      <c r="K70" s="75">
        <v>3681348742</v>
      </c>
    </row>
    <row r="71" spans="1:11" x14ac:dyDescent="0.25">
      <c r="A71" s="89" t="s">
        <v>112</v>
      </c>
    </row>
    <row r="72" spans="1:11" x14ac:dyDescent="0.25">
      <c r="A72" s="89" t="s">
        <v>111</v>
      </c>
      <c r="B72" s="75">
        <v>2</v>
      </c>
      <c r="C72" s="75">
        <v>2</v>
      </c>
      <c r="D72" s="75">
        <v>2</v>
      </c>
      <c r="E72" s="75">
        <v>2</v>
      </c>
      <c r="F72" s="75">
        <v>2</v>
      </c>
      <c r="G72" s="75">
        <v>2</v>
      </c>
      <c r="H72" s="75">
        <v>2</v>
      </c>
      <c r="I72" s="75">
        <v>2</v>
      </c>
      <c r="J72" s="75">
        <v>2</v>
      </c>
      <c r="K72" s="75">
        <v>2</v>
      </c>
    </row>
    <row r="74" spans="1:11" x14ac:dyDescent="0.25">
      <c r="A74" s="77"/>
    </row>
    <row r="75" spans="1:11" x14ac:dyDescent="0.25">
      <c r="A75" s="77"/>
    </row>
    <row r="76" spans="1:11" x14ac:dyDescent="0.25">
      <c r="A76" s="77"/>
    </row>
    <row r="77" spans="1:11" x14ac:dyDescent="0.25">
      <c r="A77" s="77"/>
    </row>
    <row r="78" spans="1:11" x14ac:dyDescent="0.25">
      <c r="A78" s="77"/>
    </row>
    <row r="79" spans="1:11" x14ac:dyDescent="0.25">
      <c r="A79" s="77"/>
    </row>
    <row r="80" spans="1:11" x14ac:dyDescent="0.25">
      <c r="A80" s="76" t="s">
        <v>110</v>
      </c>
    </row>
    <row r="81" spans="1:11" s="93" customFormat="1" x14ac:dyDescent="0.25">
      <c r="A81" s="94" t="s">
        <v>109</v>
      </c>
      <c r="B81" s="82">
        <v>42460</v>
      </c>
      <c r="C81" s="82">
        <v>42825</v>
      </c>
      <c r="D81" s="82">
        <v>43190</v>
      </c>
      <c r="E81" s="82">
        <v>43555</v>
      </c>
      <c r="F81" s="82">
        <v>43921</v>
      </c>
      <c r="G81" s="82">
        <v>44286</v>
      </c>
      <c r="H81" s="82">
        <v>44651</v>
      </c>
      <c r="I81" s="82">
        <v>45016</v>
      </c>
      <c r="J81" s="82">
        <v>45382</v>
      </c>
      <c r="K81" s="82">
        <v>45747</v>
      </c>
    </row>
    <row r="82" spans="1:11" s="76" customFormat="1" x14ac:dyDescent="0.25">
      <c r="A82" s="77" t="s">
        <v>108</v>
      </c>
      <c r="B82" s="75">
        <v>37899.54</v>
      </c>
      <c r="C82" s="75">
        <v>30199.25</v>
      </c>
      <c r="D82" s="75">
        <v>23857.42</v>
      </c>
      <c r="E82" s="75">
        <v>18890.75</v>
      </c>
      <c r="F82" s="75">
        <v>26632.94</v>
      </c>
      <c r="G82" s="75">
        <v>29000.51</v>
      </c>
      <c r="H82" s="75">
        <v>14282.83</v>
      </c>
      <c r="I82" s="75">
        <v>35388.01</v>
      </c>
      <c r="J82" s="75">
        <v>67915</v>
      </c>
      <c r="K82" s="75">
        <v>63102</v>
      </c>
    </row>
    <row r="83" spans="1:11" s="77" customFormat="1" x14ac:dyDescent="0.25">
      <c r="A83" s="77" t="s">
        <v>107</v>
      </c>
      <c r="B83" s="75">
        <v>-36693.9</v>
      </c>
      <c r="C83" s="75">
        <v>-39571.4</v>
      </c>
      <c r="D83" s="75">
        <v>-25139.14</v>
      </c>
      <c r="E83" s="75">
        <v>-20878.07</v>
      </c>
      <c r="F83" s="75">
        <v>-33114.550000000003</v>
      </c>
      <c r="G83" s="75">
        <v>-25672.5</v>
      </c>
      <c r="H83" s="75">
        <v>-4443.66</v>
      </c>
      <c r="I83" s="75">
        <v>-15417.17</v>
      </c>
      <c r="J83" s="75">
        <v>-22781</v>
      </c>
      <c r="K83" s="75">
        <v>-49982</v>
      </c>
    </row>
    <row r="84" spans="1:11" s="77" customFormat="1" x14ac:dyDescent="0.25">
      <c r="A84" s="77" t="s">
        <v>106</v>
      </c>
      <c r="B84" s="75">
        <v>-3795.12</v>
      </c>
      <c r="C84" s="75">
        <v>6205.3</v>
      </c>
      <c r="D84" s="75">
        <v>2011.71</v>
      </c>
      <c r="E84" s="75">
        <v>8830.3700000000008</v>
      </c>
      <c r="F84" s="75">
        <v>3389.61</v>
      </c>
      <c r="G84" s="75">
        <v>9904.2000000000007</v>
      </c>
      <c r="H84" s="75">
        <v>-3380.17</v>
      </c>
      <c r="I84" s="75">
        <v>-26242.9</v>
      </c>
      <c r="J84" s="75">
        <v>-37006</v>
      </c>
      <c r="K84" s="75">
        <v>-18786</v>
      </c>
    </row>
    <row r="85" spans="1:11" s="76" customFormat="1" x14ac:dyDescent="0.25">
      <c r="A85" s="77" t="s">
        <v>105</v>
      </c>
      <c r="B85" s="75">
        <v>-2589.48</v>
      </c>
      <c r="C85" s="75">
        <v>-3166.85</v>
      </c>
      <c r="D85" s="75">
        <v>729.99</v>
      </c>
      <c r="E85" s="75">
        <v>6843.05</v>
      </c>
      <c r="F85" s="75">
        <v>-3092</v>
      </c>
      <c r="G85" s="75">
        <v>13232.21</v>
      </c>
      <c r="H85" s="75">
        <v>6459</v>
      </c>
      <c r="I85" s="75">
        <v>-6272.06</v>
      </c>
      <c r="J85" s="75">
        <v>8128</v>
      </c>
      <c r="K85" s="75">
        <v>-5666</v>
      </c>
    </row>
    <row r="86" spans="1:11" x14ac:dyDescent="0.25">
      <c r="A86" s="77"/>
    </row>
    <row r="87" spans="1:11" x14ac:dyDescent="0.25">
      <c r="A87" s="77"/>
    </row>
    <row r="88" spans="1:11" x14ac:dyDescent="0.25">
      <c r="A88" s="77"/>
    </row>
    <row r="89" spans="1:11" x14ac:dyDescent="0.25">
      <c r="A89" s="77"/>
    </row>
    <row r="90" spans="1:11" s="76" customFormat="1" x14ac:dyDescent="0.25">
      <c r="A90" s="76" t="s">
        <v>104</v>
      </c>
      <c r="B90" s="75">
        <v>386.6</v>
      </c>
      <c r="C90" s="75">
        <v>465.85</v>
      </c>
      <c r="D90" s="75">
        <v>326.85000000000002</v>
      </c>
      <c r="E90" s="75">
        <v>174.25</v>
      </c>
      <c r="F90" s="75">
        <v>71.05</v>
      </c>
      <c r="G90" s="75">
        <v>301.8</v>
      </c>
      <c r="H90" s="75">
        <v>433.75</v>
      </c>
      <c r="I90" s="75">
        <v>420.8</v>
      </c>
      <c r="J90" s="75">
        <v>992.8</v>
      </c>
      <c r="K90" s="75">
        <v>674.45</v>
      </c>
    </row>
    <row r="92" spans="1:11" s="76" customFormat="1" x14ac:dyDescent="0.25">
      <c r="A92" s="76" t="s">
        <v>103</v>
      </c>
    </row>
    <row r="93" spans="1:11" x14ac:dyDescent="0.25">
      <c r="A93" s="89" t="s">
        <v>102</v>
      </c>
      <c r="B93" s="92">
        <v>288.72000000000003</v>
      </c>
      <c r="C93" s="92">
        <v>288.73</v>
      </c>
      <c r="D93" s="92">
        <v>288.73</v>
      </c>
      <c r="E93" s="92">
        <v>288.73</v>
      </c>
      <c r="F93" s="92">
        <v>308.89999999999998</v>
      </c>
      <c r="G93" s="92">
        <v>332.03</v>
      </c>
      <c r="H93" s="92">
        <v>332.07</v>
      </c>
      <c r="I93" s="92">
        <v>332.13</v>
      </c>
      <c r="J93" s="92">
        <v>332.37</v>
      </c>
      <c r="K93" s="92">
        <v>368.13</v>
      </c>
    </row>
  </sheetData>
  <mergeCells count="2">
    <mergeCell ref="E1:K1"/>
    <mergeCell ref="E2:K2"/>
  </mergeCells>
  <conditionalFormatting sqref="E1:K1">
    <cfRule type="cellIs" dxfId="7" priority="1" operator="notEqual">
      <formula>""</formula>
    </cfRule>
  </conditionalFormatting>
  <hyperlinks>
    <hyperlink ref="E1:K1" r:id="rId1" display="https://www.screener.in/excel/" xr:uid="{E3CCAEA5-9014-4F85-9142-92A3B6D5EFBB}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9FD6-BC20-4082-B9C9-CB75172362D6}">
  <dimension ref="A1:N21"/>
  <sheetViews>
    <sheetView workbookViewId="0"/>
  </sheetViews>
  <sheetFormatPr defaultRowHeight="15.75" x14ac:dyDescent="0.25"/>
  <cols>
    <col min="1" max="1" width="16.140625" style="1" bestFit="1" customWidth="1"/>
    <col min="2" max="6" width="11.85546875" style="1" bestFit="1" customWidth="1"/>
    <col min="7" max="7" width="15.7109375" style="1" bestFit="1" customWidth="1"/>
    <col min="8" max="9" width="11.85546875" style="1" bestFit="1" customWidth="1"/>
    <col min="10" max="12" width="13" style="1" bestFit="1" customWidth="1"/>
    <col min="13" max="13" width="15.85546875" style="1" bestFit="1" customWidth="1"/>
    <col min="14" max="14" width="13" style="1" bestFit="1" customWidth="1"/>
    <col min="15" max="16384" width="9.140625" style="1"/>
  </cols>
  <sheetData>
    <row r="1" spans="1:14" x14ac:dyDescent="0.25">
      <c r="A1" s="96" t="str">
        <f>'[8]Data Sheet'!B1</f>
        <v>MARUTI SUZUKI INDIA LTD</v>
      </c>
      <c r="B1" s="96"/>
      <c r="C1" s="96"/>
      <c r="D1" s="96"/>
      <c r="E1" s="96"/>
      <c r="F1" s="96"/>
      <c r="G1" s="96"/>
      <c r="H1" s="1" t="str">
        <f>UPDATE</f>
        <v/>
      </c>
      <c r="I1" s="96"/>
      <c r="J1" s="105"/>
      <c r="K1" s="105"/>
      <c r="L1" s="96"/>
      <c r="M1" s="96" t="s">
        <v>85</v>
      </c>
      <c r="N1" s="96"/>
    </row>
    <row r="3" spans="1:14" x14ac:dyDescent="0.25">
      <c r="A3" s="104" t="s">
        <v>84</v>
      </c>
      <c r="B3" s="103">
        <f>'[8]Data Sheet'!B16</f>
        <v>42460</v>
      </c>
      <c r="C3" s="103">
        <f>'[8]Data Sheet'!C16</f>
        <v>42825</v>
      </c>
      <c r="D3" s="103">
        <f>'[8]Data Sheet'!D16</f>
        <v>43190</v>
      </c>
      <c r="E3" s="103">
        <f>'[8]Data Sheet'!E16</f>
        <v>43555</v>
      </c>
      <c r="F3" s="103">
        <f>'[8]Data Sheet'!F16</f>
        <v>43921</v>
      </c>
      <c r="G3" s="103">
        <f>'[8]Data Sheet'!G16</f>
        <v>44286</v>
      </c>
      <c r="H3" s="103">
        <f>'[8]Data Sheet'!H16</f>
        <v>44651</v>
      </c>
      <c r="I3" s="103">
        <f>'[8]Data Sheet'!I16</f>
        <v>45016</v>
      </c>
      <c r="J3" s="103">
        <f>'[8]Data Sheet'!J16</f>
        <v>45382</v>
      </c>
      <c r="K3" s="103">
        <f>'[8]Data Sheet'!K16</f>
        <v>45747</v>
      </c>
      <c r="L3" s="102" t="s">
        <v>83</v>
      </c>
      <c r="M3" s="102" t="s">
        <v>82</v>
      </c>
      <c r="N3" s="102" t="s">
        <v>81</v>
      </c>
    </row>
    <row r="4" spans="1:14" x14ac:dyDescent="0.25">
      <c r="A4" s="96" t="s">
        <v>80</v>
      </c>
      <c r="B4" s="99">
        <f>'[8]Data Sheet'!B17</f>
        <v>57589</v>
      </c>
      <c r="C4" s="99">
        <f>'[8]Data Sheet'!C17</f>
        <v>68085</v>
      </c>
      <c r="D4" s="99">
        <f>'[8]Data Sheet'!D17</f>
        <v>79809.399999999994</v>
      </c>
      <c r="E4" s="99">
        <f>'[8]Data Sheet'!E17</f>
        <v>86068.5</v>
      </c>
      <c r="F4" s="99">
        <f>'[8]Data Sheet'!F17</f>
        <v>75660</v>
      </c>
      <c r="G4" s="99">
        <f>'[8]Data Sheet'!G17</f>
        <v>70372</v>
      </c>
      <c r="H4" s="99">
        <f>'[8]Data Sheet'!H17</f>
        <v>88329.8</v>
      </c>
      <c r="I4" s="99">
        <f>'[8]Data Sheet'!I17</f>
        <v>118409.9</v>
      </c>
      <c r="J4" s="99">
        <f>'[8]Data Sheet'!J17</f>
        <v>141858.20000000001</v>
      </c>
      <c r="K4" s="99">
        <f>'[8]Data Sheet'!K17</f>
        <v>152913</v>
      </c>
      <c r="L4" s="99">
        <f>SUM([8]Quarters!H4:K4)</f>
        <v>0</v>
      </c>
      <c r="M4" s="99">
        <f>$K4+M23*K4</f>
        <v>152913</v>
      </c>
      <c r="N4" s="99">
        <f>$K4+N23*L4</f>
        <v>152913</v>
      </c>
    </row>
    <row r="5" spans="1:14" x14ac:dyDescent="0.25">
      <c r="A5" s="1" t="s">
        <v>79</v>
      </c>
      <c r="B5" s="100">
        <f>SUM('[8]Data Sheet'!B18,'[8]Data Sheet'!B20:B24, -1*'[8]Data Sheet'!B19)</f>
        <v>48564.900000000009</v>
      </c>
      <c r="C5" s="100">
        <f>SUM('[8]Data Sheet'!C18,'[8]Data Sheet'!C20:C24, -1*'[8]Data Sheet'!C19)</f>
        <v>57663.700000000004</v>
      </c>
      <c r="D5" s="100">
        <f>SUM('[8]Data Sheet'!D18,'[8]Data Sheet'!D20:D24, -1*'[8]Data Sheet'!D19)</f>
        <v>67691.5</v>
      </c>
      <c r="E5" s="100">
        <f>SUM('[8]Data Sheet'!E18,'[8]Data Sheet'!E20:E24, -1*'[8]Data Sheet'!E19)</f>
        <v>75012.2</v>
      </c>
      <c r="F5" s="100">
        <f>SUM('[8]Data Sheet'!F18,'[8]Data Sheet'!F20:F24, -1*'[8]Data Sheet'!F19)</f>
        <v>68305</v>
      </c>
      <c r="G5" s="100">
        <f>SUM('[8]Data Sheet'!G18,'[8]Data Sheet'!G20:G24, -1*'[8]Data Sheet'!G19)</f>
        <v>64961.4</v>
      </c>
      <c r="H5" s="100">
        <f>SUM('[8]Data Sheet'!H18,'[8]Data Sheet'!H20:H24, -1*'[8]Data Sheet'!H19)</f>
        <v>82577.799999999988</v>
      </c>
      <c r="I5" s="100">
        <f>SUM('[8]Data Sheet'!I18,'[8]Data Sheet'!I20:I24, -1*'[8]Data Sheet'!I19)</f>
        <v>105288.4</v>
      </c>
      <c r="J5" s="100">
        <f>SUM('[8]Data Sheet'!J18,'[8]Data Sheet'!J20:J24, -1*'[8]Data Sheet'!J19)</f>
        <v>123231.90000000001</v>
      </c>
      <c r="K5" s="100">
        <f>SUM('[8]Data Sheet'!K18,'[8]Data Sheet'!K20:K24, -1*'[8]Data Sheet'!K19)</f>
        <v>132756.70000000001</v>
      </c>
      <c r="L5" s="100">
        <f>SUM([8]Quarters!H5:K5)</f>
        <v>0</v>
      </c>
      <c r="M5" s="100">
        <f>M4-M6</f>
        <v>152913</v>
      </c>
      <c r="N5" s="100">
        <f>N4-N6</f>
        <v>152913</v>
      </c>
    </row>
    <row r="6" spans="1:14" x14ac:dyDescent="0.25">
      <c r="A6" s="96" t="s">
        <v>78</v>
      </c>
      <c r="B6" s="99">
        <f t="shared" ref="B6:K6" si="0">B4-B5</f>
        <v>9024.0999999999913</v>
      </c>
      <c r="C6" s="99">
        <f t="shared" si="0"/>
        <v>10421.299999999996</v>
      </c>
      <c r="D6" s="99">
        <f t="shared" si="0"/>
        <v>12117.899999999994</v>
      </c>
      <c r="E6" s="99">
        <f t="shared" si="0"/>
        <v>11056.300000000003</v>
      </c>
      <c r="F6" s="99">
        <f t="shared" si="0"/>
        <v>7355</v>
      </c>
      <c r="G6" s="99">
        <f t="shared" si="0"/>
        <v>5410.5999999999985</v>
      </c>
      <c r="H6" s="99">
        <f t="shared" si="0"/>
        <v>5752.0000000000146</v>
      </c>
      <c r="I6" s="99">
        <f t="shared" si="0"/>
        <v>13121.5</v>
      </c>
      <c r="J6" s="99">
        <f t="shared" si="0"/>
        <v>18626.300000000003</v>
      </c>
      <c r="K6" s="99">
        <f t="shared" si="0"/>
        <v>20156.299999999988</v>
      </c>
      <c r="L6" s="99">
        <f>SUM([8]Quarters!H6:K6)</f>
        <v>0</v>
      </c>
      <c r="M6" s="99">
        <f>M4*M24</f>
        <v>0</v>
      </c>
      <c r="N6" s="99">
        <f>N4*N24</f>
        <v>0</v>
      </c>
    </row>
    <row r="7" spans="1:14" x14ac:dyDescent="0.25">
      <c r="A7" s="1" t="s">
        <v>77</v>
      </c>
      <c r="B7" s="100">
        <f>'[8]Data Sheet'!B25</f>
        <v>1464.1</v>
      </c>
      <c r="C7" s="100">
        <f>'[8]Data Sheet'!C25</f>
        <v>2399.1999999999998</v>
      </c>
      <c r="D7" s="100">
        <f>'[8]Data Sheet'!D25</f>
        <v>2154.6</v>
      </c>
      <c r="E7" s="100">
        <f>'[8]Data Sheet'!E25</f>
        <v>2664.2</v>
      </c>
      <c r="F7" s="100">
        <f>'[8]Data Sheet'!F25</f>
        <v>3410.4</v>
      </c>
      <c r="G7" s="100">
        <f>'[8]Data Sheet'!G25</f>
        <v>3046.3</v>
      </c>
      <c r="H7" s="100">
        <f>'[8]Data Sheet'!H25</f>
        <v>1860.8</v>
      </c>
      <c r="I7" s="100">
        <f>'[8]Data Sheet'!I25</f>
        <v>2415</v>
      </c>
      <c r="J7" s="100">
        <f>'[8]Data Sheet'!J25</f>
        <v>4247.6000000000004</v>
      </c>
      <c r="K7" s="100">
        <f>'[8]Data Sheet'!K25</f>
        <v>5266.1</v>
      </c>
      <c r="L7" s="100">
        <f>SUM([8]Quarters!H7:K7)</f>
        <v>0</v>
      </c>
      <c r="M7" s="100">
        <v>0</v>
      </c>
      <c r="N7" s="100">
        <v>0</v>
      </c>
    </row>
    <row r="8" spans="1:14" x14ac:dyDescent="0.25">
      <c r="A8" s="1" t="s">
        <v>76</v>
      </c>
      <c r="B8" s="100">
        <f>'[8]Data Sheet'!B26</f>
        <v>2821.8</v>
      </c>
      <c r="C8" s="100">
        <f>'[8]Data Sheet'!C26</f>
        <v>2603.9</v>
      </c>
      <c r="D8" s="100">
        <f>'[8]Data Sheet'!D26</f>
        <v>2759.8</v>
      </c>
      <c r="E8" s="100">
        <f>'[8]Data Sheet'!E26</f>
        <v>3020.8</v>
      </c>
      <c r="F8" s="100">
        <f>'[8]Data Sheet'!F26</f>
        <v>3528.4</v>
      </c>
      <c r="G8" s="100">
        <f>'[8]Data Sheet'!G26</f>
        <v>3034.1</v>
      </c>
      <c r="H8" s="100">
        <f>'[8]Data Sheet'!H26</f>
        <v>2789</v>
      </c>
      <c r="I8" s="100">
        <f>'[8]Data Sheet'!I26</f>
        <v>4846</v>
      </c>
      <c r="J8" s="100">
        <f>'[8]Data Sheet'!J26</f>
        <v>5255.8</v>
      </c>
      <c r="K8" s="100">
        <f>'[8]Data Sheet'!K26</f>
        <v>5608.2</v>
      </c>
      <c r="L8" s="100">
        <f>SUM([8]Quarters!H8:K8)</f>
        <v>0</v>
      </c>
      <c r="M8" s="100">
        <f>+$L8</f>
        <v>0</v>
      </c>
      <c r="N8" s="100">
        <f>+$L8</f>
        <v>0</v>
      </c>
    </row>
    <row r="9" spans="1:14" x14ac:dyDescent="0.25">
      <c r="A9" s="1" t="s">
        <v>75</v>
      </c>
      <c r="B9" s="100">
        <f>'[8]Data Sheet'!B27</f>
        <v>81.7</v>
      </c>
      <c r="C9" s="100">
        <f>'[8]Data Sheet'!C27</f>
        <v>89.4</v>
      </c>
      <c r="D9" s="100">
        <f>'[8]Data Sheet'!D27</f>
        <v>345.8</v>
      </c>
      <c r="E9" s="100">
        <f>'[8]Data Sheet'!E27</f>
        <v>75.900000000000006</v>
      </c>
      <c r="F9" s="100">
        <f>'[8]Data Sheet'!F27</f>
        <v>134.19999999999999</v>
      </c>
      <c r="G9" s="100">
        <f>'[8]Data Sheet'!G27</f>
        <v>101.8</v>
      </c>
      <c r="H9" s="100">
        <f>'[8]Data Sheet'!H27</f>
        <v>126.6</v>
      </c>
      <c r="I9" s="100">
        <f>'[8]Data Sheet'!I27</f>
        <v>252.3</v>
      </c>
      <c r="J9" s="100">
        <f>'[8]Data Sheet'!J27</f>
        <v>193.6</v>
      </c>
      <c r="K9" s="100">
        <f>'[8]Data Sheet'!K27</f>
        <v>194.2</v>
      </c>
      <c r="L9" s="100">
        <f>SUM([8]Quarters!H9:K9)</f>
        <v>0</v>
      </c>
      <c r="M9" s="100">
        <f>+$L9</f>
        <v>0</v>
      </c>
      <c r="N9" s="100">
        <f>+$L9</f>
        <v>0</v>
      </c>
    </row>
    <row r="10" spans="1:14" x14ac:dyDescent="0.25">
      <c r="A10" s="1" t="s">
        <v>74</v>
      </c>
      <c r="B10" s="100">
        <f>'[8]Data Sheet'!B28</f>
        <v>7584.7</v>
      </c>
      <c r="C10" s="100">
        <f>'[8]Data Sheet'!C28</f>
        <v>10127.200000000001</v>
      </c>
      <c r="D10" s="100">
        <f>'[8]Data Sheet'!D28</f>
        <v>11166.9</v>
      </c>
      <c r="E10" s="100">
        <f>'[8]Data Sheet'!E28</f>
        <v>10623.8</v>
      </c>
      <c r="F10" s="100">
        <f>'[8]Data Sheet'!F28</f>
        <v>7102.8</v>
      </c>
      <c r="G10" s="100">
        <f>'[8]Data Sheet'!G28</f>
        <v>5321</v>
      </c>
      <c r="H10" s="100">
        <f>'[8]Data Sheet'!H28</f>
        <v>4697.2</v>
      </c>
      <c r="I10" s="100">
        <f>'[8]Data Sheet'!I28</f>
        <v>10438.200000000001</v>
      </c>
      <c r="J10" s="100">
        <f>'[8]Data Sheet'!J28</f>
        <v>17424.5</v>
      </c>
      <c r="K10" s="100">
        <f>'[8]Data Sheet'!K28</f>
        <v>19620</v>
      </c>
      <c r="L10" s="100">
        <f>SUM([8]Quarters!H10:K10)</f>
        <v>0</v>
      </c>
      <c r="M10" s="100">
        <f>M6+M7-SUM(M8:M9)</f>
        <v>0</v>
      </c>
      <c r="N10" s="100">
        <f>N6+N7-SUM(N8:N9)</f>
        <v>0</v>
      </c>
    </row>
    <row r="11" spans="1:14" x14ac:dyDescent="0.25">
      <c r="A11" s="1" t="s">
        <v>73</v>
      </c>
      <c r="B11" s="100">
        <f>'[8]Data Sheet'!B29</f>
        <v>2087.5</v>
      </c>
      <c r="C11" s="100">
        <f>'[8]Data Sheet'!C29</f>
        <v>2616.1999999999998</v>
      </c>
      <c r="D11" s="100">
        <f>'[8]Data Sheet'!D29</f>
        <v>3286.2</v>
      </c>
      <c r="E11" s="100">
        <f>'[8]Data Sheet'!E29</f>
        <v>2973.2</v>
      </c>
      <c r="F11" s="100">
        <f>'[8]Data Sheet'!F29</f>
        <v>1425.2</v>
      </c>
      <c r="G11" s="100">
        <f>'[8]Data Sheet'!G29</f>
        <v>931.9</v>
      </c>
      <c r="H11" s="100">
        <f>'[8]Data Sheet'!H29</f>
        <v>817.7</v>
      </c>
      <c r="I11" s="100">
        <f>'[8]Data Sheet'!I29</f>
        <v>2174.5</v>
      </c>
      <c r="J11" s="100">
        <f>'[8]Data Sheet'!J29</f>
        <v>3936.3</v>
      </c>
      <c r="K11" s="100">
        <f>'[8]Data Sheet'!K29</f>
        <v>5119.8</v>
      </c>
      <c r="L11" s="100">
        <f>SUM([8]Quarters!H11:K11)</f>
        <v>0</v>
      </c>
      <c r="M11" s="101">
        <f>IF($L10&gt;0,$L11/$L10,0)</f>
        <v>0</v>
      </c>
      <c r="N11" s="101">
        <f>IF($L10&gt;0,$L11/$L10,0)</f>
        <v>0</v>
      </c>
    </row>
    <row r="12" spans="1:14" x14ac:dyDescent="0.25">
      <c r="A12" s="96" t="s">
        <v>72</v>
      </c>
      <c r="B12" s="99">
        <f>'[8]Data Sheet'!B30</f>
        <v>5497.2</v>
      </c>
      <c r="C12" s="99">
        <f>'[8]Data Sheet'!C30</f>
        <v>7509.9</v>
      </c>
      <c r="D12" s="99">
        <f>'[8]Data Sheet'!D30</f>
        <v>7880</v>
      </c>
      <c r="E12" s="99">
        <f>'[8]Data Sheet'!E30</f>
        <v>7649.1</v>
      </c>
      <c r="F12" s="99">
        <f>'[8]Data Sheet'!F30</f>
        <v>5676</v>
      </c>
      <c r="G12" s="99">
        <f>'[8]Data Sheet'!G30</f>
        <v>4389.1000000000004</v>
      </c>
      <c r="H12" s="99">
        <f>'[8]Data Sheet'!H30</f>
        <v>3879.5</v>
      </c>
      <c r="I12" s="99">
        <f>'[8]Data Sheet'!I30</f>
        <v>8263.7000000000007</v>
      </c>
      <c r="J12" s="99">
        <f>'[8]Data Sheet'!J30</f>
        <v>13488.2</v>
      </c>
      <c r="K12" s="99">
        <f>'[8]Data Sheet'!K30</f>
        <v>14500.2</v>
      </c>
      <c r="L12" s="99">
        <f>SUM([8]Quarters!H12:K12)</f>
        <v>0</v>
      </c>
      <c r="M12" s="99">
        <f>M10-M11*M10</f>
        <v>0</v>
      </c>
      <c r="N12" s="99">
        <f>N10-N11*N10</f>
        <v>0</v>
      </c>
    </row>
    <row r="13" spans="1:14" x14ac:dyDescent="0.25">
      <c r="A13" s="1" t="s">
        <v>43</v>
      </c>
      <c r="B13" s="100">
        <f>IF('[8]Data Sheet'!B93&gt;0,B12/'[8]Data Sheet'!B93,0)</f>
        <v>181.96623634558091</v>
      </c>
      <c r="C13" s="100">
        <f>IF('[8]Data Sheet'!C93&gt;0,C12/'[8]Data Sheet'!C93,0)</f>
        <v>248.58987090367427</v>
      </c>
      <c r="D13" s="100">
        <f>IF('[8]Data Sheet'!D93&gt;0,D12/'[8]Data Sheet'!D93,0)</f>
        <v>260.84078119827871</v>
      </c>
      <c r="E13" s="100">
        <f>IF('[8]Data Sheet'!E93&gt;0,E12/'[8]Data Sheet'!E93,0)</f>
        <v>253.19761668321749</v>
      </c>
      <c r="F13" s="100">
        <f>IF('[8]Data Sheet'!F93&gt;0,F12/'[8]Data Sheet'!F93,0)</f>
        <v>187.88480635551142</v>
      </c>
      <c r="G13" s="100">
        <f>IF('[8]Data Sheet'!G93&gt;0,G12/'[8]Data Sheet'!G93,0)</f>
        <v>145.28632903012249</v>
      </c>
      <c r="H13" s="100">
        <f>IF('[8]Data Sheet'!H93&gt;0,H12/'[8]Data Sheet'!H93,0)</f>
        <v>128.41774246938098</v>
      </c>
      <c r="I13" s="100">
        <f>IF('[8]Data Sheet'!I93&gt;0,I12/'[8]Data Sheet'!I93,0)</f>
        <v>273.54187355180403</v>
      </c>
      <c r="J13" s="100">
        <f>IF('[8]Data Sheet'!J93&gt;0,J12/'[8]Data Sheet'!J93,0)</f>
        <v>429.01399491094151</v>
      </c>
      <c r="K13" s="100">
        <f>IF('[8]Data Sheet'!K93&gt;0,K12/'[8]Data Sheet'!K93,0)</f>
        <v>461.20229007633588</v>
      </c>
      <c r="L13" s="100">
        <f>IF('[8]Data Sheet'!$B6&gt;0,'[8]Profit &amp; Loss'!L12/'[8]Data Sheet'!$B6,0)</f>
        <v>0</v>
      </c>
      <c r="M13" s="100">
        <f>IF('[8]Data Sheet'!$B6&gt;0,'[8]Profit &amp; Loss'!M12/'[8]Data Sheet'!$B6,0)</f>
        <v>0</v>
      </c>
      <c r="N13" s="100">
        <f>IF('[8]Data Sheet'!$B6&gt;0,'[8]Profit &amp; Loss'!N12/'[8]Data Sheet'!$B6,0)</f>
        <v>0</v>
      </c>
    </row>
    <row r="14" spans="1:14" x14ac:dyDescent="0.25">
      <c r="A14" s="1" t="s">
        <v>71</v>
      </c>
      <c r="B14" s="100">
        <f t="shared" ref="B14:K14" si="1">IF(B15&gt;0,B15/B13,"")</f>
        <v>20.423019537218952</v>
      </c>
      <c r="C14" s="100">
        <f t="shared" si="1"/>
        <v>24.199296528582273</v>
      </c>
      <c r="D14" s="100">
        <f t="shared" si="1"/>
        <v>33.971298350253811</v>
      </c>
      <c r="E14" s="100">
        <f t="shared" si="1"/>
        <v>26.353131152684629</v>
      </c>
      <c r="F14" s="100">
        <f t="shared" si="1"/>
        <v>22.824091437632138</v>
      </c>
      <c r="G14" s="100">
        <f t="shared" si="1"/>
        <v>47.211599644574051</v>
      </c>
      <c r="H14" s="100">
        <f t="shared" si="1"/>
        <v>58.88049310478155</v>
      </c>
      <c r="I14" s="100">
        <f t="shared" si="1"/>
        <v>30.314006014255114</v>
      </c>
      <c r="J14" s="100">
        <f t="shared" si="1"/>
        <v>29.370487092421524</v>
      </c>
      <c r="K14" s="100">
        <f t="shared" si="1"/>
        <v>24.982855133032647</v>
      </c>
      <c r="L14" s="100">
        <f>IF(L13&gt;0,L15/L13,0)</f>
        <v>0</v>
      </c>
      <c r="M14" s="100">
        <f>M25</f>
        <v>0</v>
      </c>
      <c r="N14" s="100">
        <f>N25</f>
        <v>0</v>
      </c>
    </row>
    <row r="15" spans="1:14" x14ac:dyDescent="0.25">
      <c r="A15" s="96" t="s">
        <v>30</v>
      </c>
      <c r="B15" s="99">
        <f>'[8]Data Sheet'!B90</f>
        <v>3716.3</v>
      </c>
      <c r="C15" s="99">
        <f>'[8]Data Sheet'!C90</f>
        <v>6015.7</v>
      </c>
      <c r="D15" s="99">
        <f>'[8]Data Sheet'!D90</f>
        <v>8861.1</v>
      </c>
      <c r="E15" s="99">
        <f>'[8]Data Sheet'!E90</f>
        <v>6672.55</v>
      </c>
      <c r="F15" s="99">
        <f>'[8]Data Sheet'!F90</f>
        <v>4288.3</v>
      </c>
      <c r="G15" s="99">
        <f>'[8]Data Sheet'!G90</f>
        <v>6859.2</v>
      </c>
      <c r="H15" s="99">
        <f>'[8]Data Sheet'!H90</f>
        <v>7561.3</v>
      </c>
      <c r="I15" s="99">
        <f>'[8]Data Sheet'!I90</f>
        <v>8292.15</v>
      </c>
      <c r="J15" s="99">
        <f>'[8]Data Sheet'!J90</f>
        <v>12600.35</v>
      </c>
      <c r="K15" s="99">
        <f>'[8]Data Sheet'!K90</f>
        <v>11522.15</v>
      </c>
      <c r="L15" s="99">
        <f>'[8]Data Sheet'!B8</f>
        <v>12642</v>
      </c>
      <c r="M15" s="98">
        <f>M13*M14</f>
        <v>0</v>
      </c>
      <c r="N15" s="97">
        <f>N13*N14</f>
        <v>0</v>
      </c>
    </row>
    <row r="17" spans="1:14" x14ac:dyDescent="0.25">
      <c r="A17" s="96" t="s">
        <v>70</v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</row>
    <row r="18" spans="1:14" x14ac:dyDescent="0.25">
      <c r="A18" s="1" t="s">
        <v>69</v>
      </c>
      <c r="B18" s="95">
        <f>IF('[8]Data Sheet'!B30&gt;0, '[8]Data Sheet'!B31/'[8]Data Sheet'!B30, 0)</f>
        <v>0.19227970603216182</v>
      </c>
      <c r="C18" s="95">
        <f>IF('[8]Data Sheet'!C30&gt;0, '[8]Data Sheet'!C31/'[8]Data Sheet'!C30, 0)</f>
        <v>0.30160188551112532</v>
      </c>
      <c r="D18" s="95">
        <f>IF('[8]Data Sheet'!D30&gt;0, '[8]Data Sheet'!D31/'[8]Data Sheet'!D30, 0)</f>
        <v>0.3065989847715736</v>
      </c>
      <c r="E18" s="95">
        <f>IF('[8]Data Sheet'!E30&gt;0, '[8]Data Sheet'!E31/'[8]Data Sheet'!E30, 0)</f>
        <v>0.31585415277614359</v>
      </c>
      <c r="F18" s="95">
        <f>IF('[8]Data Sheet'!F30&gt;0, '[8]Data Sheet'!F31/'[8]Data Sheet'!F30, 0)</f>
        <v>0.31923890063424948</v>
      </c>
      <c r="G18" s="95">
        <f>IF('[8]Data Sheet'!G30&gt;0, '[8]Data Sheet'!G31/'[8]Data Sheet'!G30, 0)</f>
        <v>0.30963067599280031</v>
      </c>
      <c r="H18" s="95">
        <f>IF('[8]Data Sheet'!H30&gt;0, '[8]Data Sheet'!H31/'[8]Data Sheet'!H30, 0)</f>
        <v>0.46707049877561541</v>
      </c>
      <c r="I18" s="95">
        <f>IF('[8]Data Sheet'!I30&gt;0, '[8]Data Sheet'!I31/'[8]Data Sheet'!I30, 0)</f>
        <v>0.34241320473879733</v>
      </c>
      <c r="J18" s="95">
        <f>IF('[8]Data Sheet'!J30&gt;0, '[8]Data Sheet'!J31/'[8]Data Sheet'!J30, 0)</f>
        <v>0.29136578639106775</v>
      </c>
      <c r="K18" s="95">
        <f>IF('[8]Data Sheet'!K30&gt;0, '[8]Data Sheet'!K31/'[8]Data Sheet'!K30, 0)</f>
        <v>0.29271320395580747</v>
      </c>
    </row>
    <row r="19" spans="1:14" x14ac:dyDescent="0.25">
      <c r="A19" s="1" t="s">
        <v>59</v>
      </c>
      <c r="B19" s="95">
        <f t="shared" ref="B19:L19" si="2">IF(B6&gt;0,B6/B4,0)</f>
        <v>0.15669832780565718</v>
      </c>
      <c r="C19" s="95">
        <f t="shared" si="2"/>
        <v>0.15306308291106699</v>
      </c>
      <c r="D19" s="95">
        <f t="shared" si="2"/>
        <v>0.15183549807416163</v>
      </c>
      <c r="E19" s="95">
        <f t="shared" si="2"/>
        <v>0.12845930857398472</v>
      </c>
      <c r="F19" s="95">
        <f t="shared" si="2"/>
        <v>9.7211208035950306E-2</v>
      </c>
      <c r="G19" s="95">
        <f t="shared" si="2"/>
        <v>7.6885693173421227E-2</v>
      </c>
      <c r="H19" s="95">
        <f t="shared" si="2"/>
        <v>6.5119585915512257E-2</v>
      </c>
      <c r="I19" s="95">
        <f t="shared" si="2"/>
        <v>0.11081421401419983</v>
      </c>
      <c r="J19" s="95">
        <f t="shared" si="2"/>
        <v>0.13130224407189717</v>
      </c>
      <c r="K19" s="95">
        <f t="shared" si="2"/>
        <v>0.13181547677437488</v>
      </c>
      <c r="L19" s="95">
        <f t="shared" si="2"/>
        <v>0</v>
      </c>
    </row>
    <row r="20" spans="1:14" x14ac:dyDescent="0.2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</row>
    <row r="21" spans="1:14" x14ac:dyDescent="0.25"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</row>
  </sheetData>
  <hyperlinks>
    <hyperlink ref="M1" r:id="rId1" xr:uid="{8E5B8558-FF6F-4F64-BF17-286A74177689}"/>
  </hyperlinks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6AB27-2DCA-45C5-9D0F-0D2D63038930}">
  <sheetPr>
    <pageSetUpPr fitToPage="1"/>
  </sheetPr>
  <dimension ref="A1:K24"/>
  <sheetViews>
    <sheetView zoomScaleNormal="100" workbookViewId="0">
      <pane xSplit="1" ySplit="3" topLeftCell="D4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2.85546875" style="106" bestFit="1" customWidth="1"/>
    <col min="2" max="2" width="13.42578125" style="106" customWidth="1"/>
    <col min="3" max="11" width="15.42578125" style="106" customWidth="1"/>
    <col min="12" max="16384" width="8.85546875" style="106"/>
  </cols>
  <sheetData>
    <row r="1" spans="1:11" s="107" customFormat="1" x14ac:dyDescent="0.25">
      <c r="A1" s="107">
        <f>'[8]Profit &amp; Loss'!A1</f>
        <v>0</v>
      </c>
      <c r="E1" s="106" t="str">
        <f>UPDATE</f>
        <v/>
      </c>
      <c r="G1" s="106"/>
      <c r="J1" s="107" t="s">
        <v>85</v>
      </c>
    </row>
    <row r="2" spans="1:11" x14ac:dyDescent="0.25">
      <c r="G2" s="107"/>
      <c r="H2" s="107"/>
    </row>
    <row r="3" spans="1:11" x14ac:dyDescent="0.25">
      <c r="A3" s="113" t="s">
        <v>84</v>
      </c>
      <c r="B3" s="112">
        <f>'[8]Data Sheet'!B56</f>
        <v>42460</v>
      </c>
      <c r="C3" s="112">
        <f>'[8]Data Sheet'!C56</f>
        <v>42825</v>
      </c>
      <c r="D3" s="112">
        <f>'[8]Data Sheet'!D56</f>
        <v>43190</v>
      </c>
      <c r="E3" s="112">
        <f>'[8]Data Sheet'!E56</f>
        <v>43555</v>
      </c>
      <c r="F3" s="112">
        <f>'[8]Data Sheet'!F56</f>
        <v>43921</v>
      </c>
      <c r="G3" s="112">
        <f>'[8]Data Sheet'!G56</f>
        <v>44286</v>
      </c>
      <c r="H3" s="112">
        <f>'[8]Data Sheet'!H56</f>
        <v>44651</v>
      </c>
      <c r="I3" s="112">
        <f>'[8]Data Sheet'!I56</f>
        <v>45016</v>
      </c>
      <c r="J3" s="112">
        <f>'[8]Data Sheet'!J56</f>
        <v>45382</v>
      </c>
      <c r="K3" s="112">
        <f>'[8]Data Sheet'!K56</f>
        <v>45747</v>
      </c>
    </row>
    <row r="4" spans="1:11" x14ac:dyDescent="0.25">
      <c r="A4" s="106" t="s">
        <v>101</v>
      </c>
      <c r="B4" s="110">
        <f>'[8]Data Sheet'!B57</f>
        <v>151</v>
      </c>
      <c r="C4" s="110">
        <f>'[8]Data Sheet'!C57</f>
        <v>151</v>
      </c>
      <c r="D4" s="110">
        <f>'[8]Data Sheet'!D57</f>
        <v>151</v>
      </c>
      <c r="E4" s="110">
        <f>'[8]Data Sheet'!E57</f>
        <v>151</v>
      </c>
      <c r="F4" s="110">
        <f>'[8]Data Sheet'!F57</f>
        <v>151</v>
      </c>
      <c r="G4" s="110">
        <f>'[8]Data Sheet'!G57</f>
        <v>151</v>
      </c>
      <c r="H4" s="110">
        <f>'[8]Data Sheet'!H57</f>
        <v>151</v>
      </c>
      <c r="I4" s="110">
        <f>'[8]Data Sheet'!I57</f>
        <v>157.19999999999999</v>
      </c>
      <c r="J4" s="110">
        <f>'[8]Data Sheet'!J57</f>
        <v>157.19999999999999</v>
      </c>
      <c r="K4" s="110">
        <f>'[8]Data Sheet'!K57</f>
        <v>157.19999999999999</v>
      </c>
    </row>
    <row r="5" spans="1:11" x14ac:dyDescent="0.25">
      <c r="A5" s="106" t="s">
        <v>100</v>
      </c>
      <c r="B5" s="110">
        <f>'[8]Data Sheet'!B58</f>
        <v>30465</v>
      </c>
      <c r="C5" s="110">
        <f>'[8]Data Sheet'!C58</f>
        <v>36924.1</v>
      </c>
      <c r="D5" s="110">
        <f>'[8]Data Sheet'!D58</f>
        <v>42408.4</v>
      </c>
      <c r="E5" s="110">
        <f>'[8]Data Sheet'!E58</f>
        <v>46941.1</v>
      </c>
      <c r="F5" s="110">
        <f>'[8]Data Sheet'!F58</f>
        <v>49262</v>
      </c>
      <c r="G5" s="110">
        <f>'[8]Data Sheet'!G58</f>
        <v>52349.599999999999</v>
      </c>
      <c r="H5" s="110">
        <f>'[8]Data Sheet'!H58</f>
        <v>55182.5</v>
      </c>
      <c r="I5" s="110">
        <f>'[8]Data Sheet'!I58</f>
        <v>74443</v>
      </c>
      <c r="J5" s="110">
        <f>'[8]Data Sheet'!J58</f>
        <v>85478.8</v>
      </c>
      <c r="K5" s="110">
        <f>'[8]Data Sheet'!K58</f>
        <v>96082.7</v>
      </c>
    </row>
    <row r="6" spans="1:11" x14ac:dyDescent="0.25">
      <c r="A6" s="106" t="s">
        <v>99</v>
      </c>
      <c r="B6" s="110">
        <f>'[8]Data Sheet'!B59</f>
        <v>230.9</v>
      </c>
      <c r="C6" s="110">
        <f>'[8]Data Sheet'!C59</f>
        <v>483.6</v>
      </c>
      <c r="D6" s="110">
        <f>'[8]Data Sheet'!D59</f>
        <v>120.8</v>
      </c>
      <c r="E6" s="110">
        <f>'[8]Data Sheet'!E59</f>
        <v>159.6</v>
      </c>
      <c r="F6" s="110">
        <f>'[8]Data Sheet'!F59</f>
        <v>184.1</v>
      </c>
      <c r="G6" s="110">
        <f>'[8]Data Sheet'!G59</f>
        <v>540.9</v>
      </c>
      <c r="H6" s="110">
        <f>'[8]Data Sheet'!H59</f>
        <v>425.5</v>
      </c>
      <c r="I6" s="110">
        <f>'[8]Data Sheet'!I59</f>
        <v>1247.5999999999999</v>
      </c>
      <c r="J6" s="110">
        <f>'[8]Data Sheet'!J59</f>
        <v>118.6</v>
      </c>
      <c r="K6" s="110">
        <f>'[8]Data Sheet'!K59</f>
        <v>87</v>
      </c>
    </row>
    <row r="7" spans="1:11" x14ac:dyDescent="0.25">
      <c r="A7" s="106" t="s">
        <v>98</v>
      </c>
      <c r="B7" s="110">
        <f>'[8]Data Sheet'!B60</f>
        <v>11878.6</v>
      </c>
      <c r="C7" s="110">
        <f>'[8]Data Sheet'!C60</f>
        <v>14401.8</v>
      </c>
      <c r="D7" s="110">
        <f>'[8]Data Sheet'!D60</f>
        <v>17568.2</v>
      </c>
      <c r="E7" s="110">
        <f>'[8]Data Sheet'!E60</f>
        <v>16717</v>
      </c>
      <c r="F7" s="110">
        <f>'[8]Data Sheet'!F60</f>
        <v>14030.6</v>
      </c>
      <c r="G7" s="110">
        <f>'[8]Data Sheet'!G60</f>
        <v>18334.599999999999</v>
      </c>
      <c r="H7" s="110">
        <f>'[8]Data Sheet'!H60</f>
        <v>18896.5</v>
      </c>
      <c r="I7" s="110">
        <f>'[8]Data Sheet'!I60</f>
        <v>24258.2</v>
      </c>
      <c r="J7" s="110">
        <f>'[8]Data Sheet'!J60</f>
        <v>29549.5</v>
      </c>
      <c r="K7" s="110">
        <f>'[8]Data Sheet'!K60</f>
        <v>35644.9</v>
      </c>
    </row>
    <row r="8" spans="1:11" s="107" customFormat="1" x14ac:dyDescent="0.25">
      <c r="A8" s="107" t="s">
        <v>93</v>
      </c>
      <c r="B8" s="111">
        <f>'[8]Data Sheet'!B61</f>
        <v>42725.5</v>
      </c>
      <c r="C8" s="111">
        <f>'[8]Data Sheet'!C61</f>
        <v>51960.5</v>
      </c>
      <c r="D8" s="111">
        <f>'[8]Data Sheet'!D61</f>
        <v>60248.4</v>
      </c>
      <c r="E8" s="111">
        <f>'[8]Data Sheet'!E61</f>
        <v>63968.7</v>
      </c>
      <c r="F8" s="111">
        <f>'[8]Data Sheet'!F61</f>
        <v>63627.7</v>
      </c>
      <c r="G8" s="111">
        <f>'[8]Data Sheet'!G61</f>
        <v>71376.100000000006</v>
      </c>
      <c r="H8" s="111">
        <f>'[8]Data Sheet'!H61</f>
        <v>74655.5</v>
      </c>
      <c r="I8" s="111">
        <f>'[8]Data Sheet'!I61</f>
        <v>100106</v>
      </c>
      <c r="J8" s="111">
        <f>'[8]Data Sheet'!J61</f>
        <v>115304.1</v>
      </c>
      <c r="K8" s="111">
        <f>'[8]Data Sheet'!K61</f>
        <v>131971.79999999999</v>
      </c>
    </row>
    <row r="9" spans="1:11" s="107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s="106" t="s">
        <v>97</v>
      </c>
      <c r="B10" s="110">
        <f>'[8]Data Sheet'!B62</f>
        <v>12529.6</v>
      </c>
      <c r="C10" s="110">
        <f>'[8]Data Sheet'!C62</f>
        <v>13310.7</v>
      </c>
      <c r="D10" s="110">
        <f>'[8]Data Sheet'!D62</f>
        <v>13388.8</v>
      </c>
      <c r="E10" s="110">
        <f>'[8]Data Sheet'!E62</f>
        <v>15437.3</v>
      </c>
      <c r="F10" s="110">
        <f>'[8]Data Sheet'!F62</f>
        <v>15744.4</v>
      </c>
      <c r="G10" s="110">
        <f>'[8]Data Sheet'!G62</f>
        <v>14988.7</v>
      </c>
      <c r="H10" s="110">
        <f>'[8]Data Sheet'!H62</f>
        <v>13747.2</v>
      </c>
      <c r="I10" s="110">
        <f>'[8]Data Sheet'!I62</f>
        <v>27941.4</v>
      </c>
      <c r="J10" s="110">
        <f>'[8]Data Sheet'!J62</f>
        <v>27864.799999999999</v>
      </c>
      <c r="K10" s="110">
        <f>'[8]Data Sheet'!K62</f>
        <v>33384.5</v>
      </c>
    </row>
    <row r="11" spans="1:11" x14ac:dyDescent="0.25">
      <c r="A11" s="106" t="s">
        <v>96</v>
      </c>
      <c r="B11" s="110">
        <f>'[8]Data Sheet'!B63</f>
        <v>1006.9</v>
      </c>
      <c r="C11" s="110">
        <f>'[8]Data Sheet'!C63</f>
        <v>1252.3</v>
      </c>
      <c r="D11" s="110">
        <f>'[8]Data Sheet'!D63</f>
        <v>2132.1</v>
      </c>
      <c r="E11" s="110">
        <f>'[8]Data Sheet'!E63</f>
        <v>1606.9</v>
      </c>
      <c r="F11" s="110">
        <f>'[8]Data Sheet'!F63</f>
        <v>1415.2</v>
      </c>
      <c r="G11" s="110">
        <f>'[8]Data Sheet'!G63</f>
        <v>1496.8</v>
      </c>
      <c r="H11" s="110">
        <f>'[8]Data Sheet'!H63</f>
        <v>2936.5</v>
      </c>
      <c r="I11" s="110">
        <f>'[8]Data Sheet'!I63</f>
        <v>4143</v>
      </c>
      <c r="J11" s="110">
        <f>'[8]Data Sheet'!J63</f>
        <v>7734.8</v>
      </c>
      <c r="K11" s="110">
        <f>'[8]Data Sheet'!K63</f>
        <v>7527.2</v>
      </c>
    </row>
    <row r="12" spans="1:11" x14ac:dyDescent="0.25">
      <c r="A12" s="106" t="s">
        <v>95</v>
      </c>
      <c r="B12" s="110">
        <f>'[8]Data Sheet'!B64</f>
        <v>20675.8</v>
      </c>
      <c r="C12" s="110">
        <f>'[8]Data Sheet'!C64</f>
        <v>29150.6</v>
      </c>
      <c r="D12" s="110">
        <f>'[8]Data Sheet'!D64</f>
        <v>36123.1</v>
      </c>
      <c r="E12" s="110">
        <f>'[8]Data Sheet'!E64</f>
        <v>37503.599999999999</v>
      </c>
      <c r="F12" s="110">
        <f>'[8]Data Sheet'!F64</f>
        <v>37488</v>
      </c>
      <c r="G12" s="110">
        <f>'[8]Data Sheet'!G64</f>
        <v>42944.800000000003</v>
      </c>
      <c r="H12" s="110">
        <f>'[8]Data Sheet'!H64</f>
        <v>42034.7</v>
      </c>
      <c r="I12" s="110">
        <f>'[8]Data Sheet'!I64</f>
        <v>49184.3</v>
      </c>
      <c r="J12" s="110">
        <f>'[8]Data Sheet'!J64</f>
        <v>57296</v>
      </c>
      <c r="K12" s="110">
        <f>'[8]Data Sheet'!K64</f>
        <v>66265.399999999994</v>
      </c>
    </row>
    <row r="13" spans="1:11" x14ac:dyDescent="0.25">
      <c r="A13" s="106" t="s">
        <v>94</v>
      </c>
      <c r="B13" s="110">
        <f>'[8]Data Sheet'!B65</f>
        <v>8513.2000000000007</v>
      </c>
      <c r="C13" s="110">
        <f>'[8]Data Sheet'!C65</f>
        <v>8246.9</v>
      </c>
      <c r="D13" s="110">
        <f>'[8]Data Sheet'!D65</f>
        <v>8604.4</v>
      </c>
      <c r="E13" s="110">
        <f>'[8]Data Sheet'!E65</f>
        <v>9420.9</v>
      </c>
      <c r="F13" s="110">
        <f>'[8]Data Sheet'!F65</f>
        <v>8980.1</v>
      </c>
      <c r="G13" s="110">
        <f>'[8]Data Sheet'!G65</f>
        <v>11945.8</v>
      </c>
      <c r="H13" s="110">
        <f>'[8]Data Sheet'!H65</f>
        <v>15937.1</v>
      </c>
      <c r="I13" s="110">
        <f>'[8]Data Sheet'!I65</f>
        <v>18837.3</v>
      </c>
      <c r="J13" s="110">
        <f>'[8]Data Sheet'!J65</f>
        <v>22408.5</v>
      </c>
      <c r="K13" s="110">
        <f>'[8]Data Sheet'!K65</f>
        <v>24794.7</v>
      </c>
    </row>
    <row r="14" spans="1:11" s="107" customFormat="1" x14ac:dyDescent="0.25">
      <c r="A14" s="107" t="s">
        <v>93</v>
      </c>
      <c r="B14" s="110">
        <f>'[8]Data Sheet'!B66</f>
        <v>42725.5</v>
      </c>
      <c r="C14" s="110">
        <f>'[8]Data Sheet'!C66</f>
        <v>51960.5</v>
      </c>
      <c r="D14" s="110">
        <f>'[8]Data Sheet'!D66</f>
        <v>60248.4</v>
      </c>
      <c r="E14" s="110">
        <f>'[8]Data Sheet'!E66</f>
        <v>63968.7</v>
      </c>
      <c r="F14" s="110">
        <f>'[8]Data Sheet'!F66</f>
        <v>63627.7</v>
      </c>
      <c r="G14" s="110">
        <f>'[8]Data Sheet'!G66</f>
        <v>71376.100000000006</v>
      </c>
      <c r="H14" s="110">
        <f>'[8]Data Sheet'!H66</f>
        <v>74655.5</v>
      </c>
      <c r="I14" s="110">
        <f>'[8]Data Sheet'!I66</f>
        <v>100106</v>
      </c>
      <c r="J14" s="110">
        <f>'[8]Data Sheet'!J66</f>
        <v>115304.1</v>
      </c>
      <c r="K14" s="110">
        <f>'[8]Data Sheet'!K66</f>
        <v>131971.79999999999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s="106" t="s">
        <v>92</v>
      </c>
      <c r="B16" s="109">
        <f t="shared" ref="B16:K16" si="0">B13-B7</f>
        <v>-3365.3999999999996</v>
      </c>
      <c r="C16" s="109">
        <f t="shared" si="0"/>
        <v>-6154.9</v>
      </c>
      <c r="D16" s="109">
        <f t="shared" si="0"/>
        <v>-8963.8000000000011</v>
      </c>
      <c r="E16" s="109">
        <f t="shared" si="0"/>
        <v>-7296.1</v>
      </c>
      <c r="F16" s="109">
        <f t="shared" si="0"/>
        <v>-5050.5</v>
      </c>
      <c r="G16" s="109">
        <f t="shared" si="0"/>
        <v>-6388.7999999999993</v>
      </c>
      <c r="H16" s="109">
        <f t="shared" si="0"/>
        <v>-2959.3999999999996</v>
      </c>
      <c r="I16" s="109">
        <f t="shared" si="0"/>
        <v>-5420.9000000000015</v>
      </c>
      <c r="J16" s="109">
        <f t="shared" si="0"/>
        <v>-7141</v>
      </c>
      <c r="K16" s="109">
        <f t="shared" si="0"/>
        <v>-10850.2</v>
      </c>
    </row>
    <row r="17" spans="1:11" x14ac:dyDescent="0.25">
      <c r="A17" s="106" t="s">
        <v>91</v>
      </c>
      <c r="B17" s="109">
        <f>'[8]Data Sheet'!B67</f>
        <v>1323.4</v>
      </c>
      <c r="C17" s="109">
        <f>'[8]Data Sheet'!C67</f>
        <v>1202.5999999999999</v>
      </c>
      <c r="D17" s="109">
        <f>'[8]Data Sheet'!D67</f>
        <v>1465.4</v>
      </c>
      <c r="E17" s="109">
        <f>'[8]Data Sheet'!E67</f>
        <v>2312.8000000000002</v>
      </c>
      <c r="F17" s="109">
        <f>'[8]Data Sheet'!F67</f>
        <v>1977.7</v>
      </c>
      <c r="G17" s="109">
        <f>'[8]Data Sheet'!G67</f>
        <v>1279.9000000000001</v>
      </c>
      <c r="H17" s="109">
        <f>'[8]Data Sheet'!H67</f>
        <v>2034.5</v>
      </c>
      <c r="I17" s="109">
        <f>'[8]Data Sheet'!I67</f>
        <v>3284.8</v>
      </c>
      <c r="J17" s="109">
        <f>'[8]Data Sheet'!J67</f>
        <v>4596.8</v>
      </c>
      <c r="K17" s="109">
        <f>'[8]Data Sheet'!K67</f>
        <v>6539.7</v>
      </c>
    </row>
    <row r="18" spans="1:11" x14ac:dyDescent="0.25">
      <c r="A18" s="106" t="s">
        <v>90</v>
      </c>
      <c r="B18" s="109">
        <f>'[8]Data Sheet'!B68</f>
        <v>3132.6</v>
      </c>
      <c r="C18" s="109">
        <f>'[8]Data Sheet'!C68</f>
        <v>3263.7</v>
      </c>
      <c r="D18" s="109">
        <f>'[8]Data Sheet'!D68</f>
        <v>3160.2</v>
      </c>
      <c r="E18" s="109">
        <f>'[8]Data Sheet'!E68</f>
        <v>3322.6</v>
      </c>
      <c r="F18" s="109">
        <f>'[8]Data Sheet'!F68</f>
        <v>3213.9</v>
      </c>
      <c r="G18" s="109">
        <f>'[8]Data Sheet'!G68</f>
        <v>3049</v>
      </c>
      <c r="H18" s="109">
        <f>'[8]Data Sheet'!H68</f>
        <v>3532.3</v>
      </c>
      <c r="I18" s="109">
        <f>'[8]Data Sheet'!I68</f>
        <v>5443.5</v>
      </c>
      <c r="J18" s="109">
        <f>'[8]Data Sheet'!J68</f>
        <v>5318.1</v>
      </c>
      <c r="K18" s="109">
        <f>'[8]Data Sheet'!K68</f>
        <v>6913.2</v>
      </c>
    </row>
    <row r="20" spans="1:11" x14ac:dyDescent="0.25">
      <c r="A20" s="106" t="s">
        <v>89</v>
      </c>
      <c r="B20" s="109">
        <f>IF('[8]Profit &amp; Loss'!B4&gt;0,'MARUTI SUZUKI (BS)'!B17/('[8]Profit &amp; Loss'!B4/365),0)</f>
        <v>0</v>
      </c>
      <c r="C20" s="109">
        <f>IF('[8]Profit &amp; Loss'!C4&gt;0,'MARUTI SUZUKI (BS)'!C17/('[8]Profit &amp; Loss'!C4/365),0)</f>
        <v>0</v>
      </c>
      <c r="D20" s="109">
        <f>IF('[8]Profit &amp; Loss'!D4&gt;0,'MARUTI SUZUKI (BS)'!D17/('[8]Profit &amp; Loss'!D4/365),0)</f>
        <v>0</v>
      </c>
      <c r="E20" s="109">
        <f>IF('[8]Profit &amp; Loss'!E4&gt;0,'MARUTI SUZUKI (BS)'!E17/('[8]Profit &amp; Loss'!E4/365),0)</f>
        <v>0</v>
      </c>
      <c r="F20" s="109">
        <f>IF('[8]Profit &amp; Loss'!F4&gt;0,'MARUTI SUZUKI (BS)'!F17/('[8]Profit &amp; Loss'!F4/365),0)</f>
        <v>0</v>
      </c>
      <c r="G20" s="109">
        <f>IF('[8]Profit &amp; Loss'!G4&gt;0,'MARUTI SUZUKI (BS)'!G17/('[8]Profit &amp; Loss'!G4/365),0)</f>
        <v>0</v>
      </c>
      <c r="H20" s="109">
        <f>IF('[8]Profit &amp; Loss'!H4&gt;0,'MARUTI SUZUKI (BS)'!H17/('[8]Profit &amp; Loss'!H4/365),0)</f>
        <v>0</v>
      </c>
      <c r="I20" s="109">
        <f>IF('[8]Profit &amp; Loss'!I4&gt;0,'MARUTI SUZUKI (BS)'!I17/('[8]Profit &amp; Loss'!I4/365),0)</f>
        <v>0</v>
      </c>
      <c r="J20" s="109">
        <f>IF('[8]Profit &amp; Loss'!J4&gt;0,'MARUTI SUZUKI (BS)'!J17/('[8]Profit &amp; Loss'!J4/365),0)</f>
        <v>0</v>
      </c>
      <c r="K20" s="109">
        <f>IF('[8]Profit &amp; Loss'!K4&gt;0,'MARUTI SUZUKI (BS)'!K17/('[8]Profit &amp; Loss'!K4/365),0)</f>
        <v>0</v>
      </c>
    </row>
    <row r="21" spans="1:11" x14ac:dyDescent="0.25">
      <c r="A21" s="106" t="s">
        <v>88</v>
      </c>
      <c r="B21" s="109">
        <f>IF('MARUTI SUZUKI (BS)'!B18&gt;0,'[8]Profit &amp; Loss'!B4/'MARUTI SUZUKI (BS)'!B18,0)</f>
        <v>0</v>
      </c>
      <c r="C21" s="109">
        <f>IF('MARUTI SUZUKI (BS)'!C18&gt;0,'[8]Profit &amp; Loss'!C4/'MARUTI SUZUKI (BS)'!C18,0)</f>
        <v>0</v>
      </c>
      <c r="D21" s="109">
        <f>IF('MARUTI SUZUKI (BS)'!D18&gt;0,'[8]Profit &amp; Loss'!D4/'MARUTI SUZUKI (BS)'!D18,0)</f>
        <v>0</v>
      </c>
      <c r="E21" s="109">
        <f>IF('MARUTI SUZUKI (BS)'!E18&gt;0,'[8]Profit &amp; Loss'!E4/'MARUTI SUZUKI (BS)'!E18,0)</f>
        <v>0</v>
      </c>
      <c r="F21" s="109">
        <f>IF('MARUTI SUZUKI (BS)'!F18&gt;0,'[8]Profit &amp; Loss'!F4/'MARUTI SUZUKI (BS)'!F18,0)</f>
        <v>0</v>
      </c>
      <c r="G21" s="109">
        <f>IF('MARUTI SUZUKI (BS)'!G18&gt;0,'[8]Profit &amp; Loss'!G4/'MARUTI SUZUKI (BS)'!G18,0)</f>
        <v>0</v>
      </c>
      <c r="H21" s="109">
        <f>IF('MARUTI SUZUKI (BS)'!H18&gt;0,'[8]Profit &amp; Loss'!H4/'MARUTI SUZUKI (BS)'!H18,0)</f>
        <v>0</v>
      </c>
      <c r="I21" s="109">
        <f>IF('MARUTI SUZUKI (BS)'!I18&gt;0,'[8]Profit &amp; Loss'!I4/'MARUTI SUZUKI (BS)'!I18,0)</f>
        <v>0</v>
      </c>
      <c r="J21" s="109">
        <f>IF('MARUTI SUZUKI (BS)'!J18&gt;0,'[8]Profit &amp; Loss'!J4/'MARUTI SUZUKI (BS)'!J18,0)</f>
        <v>0</v>
      </c>
      <c r="K21" s="109">
        <f>IF('MARUTI SUZUKI (BS)'!K18&gt;0,'[8]Profit &amp; Loss'!K4/'MARUTI SUZUKI (BS)'!K18,0)</f>
        <v>0</v>
      </c>
    </row>
    <row r="23" spans="1:11" s="107" customFormat="1" x14ac:dyDescent="0.25">
      <c r="A23" s="107" t="s">
        <v>87</v>
      </c>
      <c r="B23" s="108">
        <f>IF(SUM('MARUTI SUZUKI (BS)'!B4:B5)&gt;0,'[8]Profit &amp; Loss'!B12/SUM('MARUTI SUZUKI (BS)'!B4:B5),"")</f>
        <v>0</v>
      </c>
      <c r="C23" s="108">
        <f>IF(SUM('MARUTI SUZUKI (BS)'!C4:C5)&gt;0,'[8]Profit &amp; Loss'!C12/SUM('MARUTI SUZUKI (BS)'!C4:C5),"")</f>
        <v>0</v>
      </c>
      <c r="D23" s="108">
        <f>IF(SUM('MARUTI SUZUKI (BS)'!D4:D5)&gt;0,'[8]Profit &amp; Loss'!D12/SUM('MARUTI SUZUKI (BS)'!D4:D5),"")</f>
        <v>0</v>
      </c>
      <c r="E23" s="108">
        <f>IF(SUM('MARUTI SUZUKI (BS)'!E4:E5)&gt;0,'[8]Profit &amp; Loss'!E12/SUM('MARUTI SUZUKI (BS)'!E4:E5),"")</f>
        <v>0</v>
      </c>
      <c r="F23" s="108">
        <f>IF(SUM('MARUTI SUZUKI (BS)'!F4:F5)&gt;0,'[8]Profit &amp; Loss'!F12/SUM('MARUTI SUZUKI (BS)'!F4:F5),"")</f>
        <v>0</v>
      </c>
      <c r="G23" s="108">
        <f>IF(SUM('MARUTI SUZUKI (BS)'!G4:G5)&gt;0,'[8]Profit &amp; Loss'!G12/SUM('MARUTI SUZUKI (BS)'!G4:G5),"")</f>
        <v>0</v>
      </c>
      <c r="H23" s="108">
        <f>IF(SUM('MARUTI SUZUKI (BS)'!H4:H5)&gt;0,'[8]Profit &amp; Loss'!H12/SUM('MARUTI SUZUKI (BS)'!H4:H5),"")</f>
        <v>0</v>
      </c>
      <c r="I23" s="108">
        <f>IF(SUM('MARUTI SUZUKI (BS)'!I4:I5)&gt;0,'[8]Profit &amp; Loss'!I12/SUM('MARUTI SUZUKI (BS)'!I4:I5),"")</f>
        <v>0</v>
      </c>
      <c r="J23" s="108">
        <f>IF(SUM('MARUTI SUZUKI (BS)'!J4:J5)&gt;0,'[8]Profit &amp; Loss'!J12/SUM('MARUTI SUZUKI (BS)'!J4:J5),"")</f>
        <v>0</v>
      </c>
      <c r="K23" s="108">
        <f>IF(SUM('MARUTI SUZUKI (BS)'!K4:K5)&gt;0,'[8]Profit &amp; Loss'!K12/SUM('MARUTI SUZUKI (BS)'!K4:K5),"")</f>
        <v>0</v>
      </c>
    </row>
    <row r="24" spans="1:11" s="107" customFormat="1" x14ac:dyDescent="0.25">
      <c r="A24" s="107" t="s">
        <v>86</v>
      </c>
      <c r="B24" s="108"/>
      <c r="C24" s="108">
        <f>IF((B4+B5+B6+C4+C5+C6)&gt;0,('[8]Profit &amp; Loss'!C10+'[8]Profit &amp; Loss'!C9)*2/(B4+B5+B6+C4+C5+C6),"")</f>
        <v>0</v>
      </c>
      <c r="D24" s="108">
        <f>IF((C4+C5+C6+D4+D5+D6)&gt;0,('[8]Profit &amp; Loss'!D10+'[8]Profit &amp; Loss'!D9)*2/(C4+C5+C6+D4+D5+D6),"")</f>
        <v>0</v>
      </c>
      <c r="E24" s="108">
        <f>IF((D4+D5+D6+E4+E5+E6)&gt;0,('[8]Profit &amp; Loss'!E10+'[8]Profit &amp; Loss'!E9)*2/(D4+D5+D6+E4+E5+E6),"")</f>
        <v>0</v>
      </c>
      <c r="F24" s="108">
        <f>IF((E4+E5+E6+F4+F5+F6)&gt;0,('[8]Profit &amp; Loss'!F10+'[8]Profit &amp; Loss'!F9)*2/(E4+E5+E6+F4+F5+F6),"")</f>
        <v>0</v>
      </c>
      <c r="G24" s="108">
        <f>IF((F4+F5+F6+G4+G5+G6)&gt;0,('[8]Profit &amp; Loss'!G10+'[8]Profit &amp; Loss'!G9)*2/(F4+F5+F6+G4+G5+G6),"")</f>
        <v>0</v>
      </c>
      <c r="H24" s="108">
        <f>IF((G4+G5+G6+H4+H5+H6)&gt;0,('[8]Profit &amp; Loss'!H10+'[8]Profit &amp; Loss'!H9)*2/(G4+G5+G6+H4+H5+H6),"")</f>
        <v>0</v>
      </c>
      <c r="I24" s="108">
        <f>IF((H4+H5+H6+I4+I5+I6)&gt;0,('[8]Profit &amp; Loss'!I10+'[8]Profit &amp; Loss'!I9)*2/(H4+H5+H6+I4+I5+I6),"")</f>
        <v>0</v>
      </c>
      <c r="J24" s="108">
        <f>IF((I4+I5+I6+J4+J5+J6)&gt;0,('[8]Profit &amp; Loss'!J10+'[8]Profit &amp; Loss'!J9)*2/(I4+I5+I6+J4+J5+J6),"")</f>
        <v>0</v>
      </c>
      <c r="K24" s="108">
        <f>IF((J4+J5+J6+K4+K5+K6)&gt;0,('[8]Profit &amp; Loss'!K10+'[8]Profit &amp; Loss'!K9)*2/(J4+J5+J6+K4+K5+K6),"")</f>
        <v>0</v>
      </c>
    </row>
  </sheetData>
  <hyperlinks>
    <hyperlink ref="J1" r:id="rId1" xr:uid="{34460BDF-F922-4E4C-8FC3-99D788E19491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1DF8-40D2-4756-A349-A8D3F201B6C6}">
  <dimension ref="A1:K93"/>
  <sheetViews>
    <sheetView zoomScaleNormal="100" zoomScalePageLayoutView="120" workbookViewId="0">
      <pane xSplit="1" ySplit="1" topLeftCell="B65" activePane="bottomRight" state="frozen"/>
      <selection activeCell="F15" sqref="F15"/>
      <selection pane="topRight" activeCell="F15" sqref="F15"/>
      <selection pane="bottomLeft" activeCell="F15" sqref="F15"/>
      <selection pane="bottomRight" activeCell="B6" sqref="B6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137</v>
      </c>
      <c r="E1" s="210" t="str">
        <f>IF(B2&lt;&gt;B3, "A NEW VERSION OF THE WORKSHEET IS AVAILABLE", "")</f>
        <v/>
      </c>
      <c r="F1" s="210"/>
      <c r="G1" s="210"/>
      <c r="H1" s="210"/>
      <c r="I1" s="210"/>
      <c r="J1" s="210"/>
      <c r="K1" s="210"/>
    </row>
    <row r="2" spans="1:11" x14ac:dyDescent="0.25">
      <c r="A2" s="115" t="s">
        <v>134</v>
      </c>
      <c r="B2" s="109">
        <v>2.1</v>
      </c>
      <c r="E2" s="211" t="s">
        <v>133</v>
      </c>
      <c r="F2" s="211"/>
      <c r="G2" s="211"/>
      <c r="H2" s="211"/>
      <c r="I2" s="211"/>
      <c r="J2" s="211"/>
      <c r="K2" s="211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31.440257079576014</v>
      </c>
    </row>
    <row r="7" spans="1:11" x14ac:dyDescent="0.25">
      <c r="A7" s="109" t="s">
        <v>129</v>
      </c>
      <c r="B7" s="106">
        <v>5</v>
      </c>
    </row>
    <row r="8" spans="1:11" x14ac:dyDescent="0.25">
      <c r="A8" s="109" t="s">
        <v>128</v>
      </c>
      <c r="B8" s="106">
        <v>12642</v>
      </c>
    </row>
    <row r="9" spans="1:11" x14ac:dyDescent="0.25">
      <c r="A9" s="109" t="s">
        <v>127</v>
      </c>
      <c r="B9" s="106">
        <v>397467.73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12">
        <v>42460</v>
      </c>
      <c r="C16" s="112">
        <v>42825</v>
      </c>
      <c r="D16" s="112">
        <v>43190</v>
      </c>
      <c r="E16" s="112">
        <v>43555</v>
      </c>
      <c r="F16" s="112">
        <v>43921</v>
      </c>
      <c r="G16" s="112">
        <v>44286</v>
      </c>
      <c r="H16" s="112">
        <v>44651</v>
      </c>
      <c r="I16" s="112">
        <v>45016</v>
      </c>
      <c r="J16" s="112">
        <v>45382</v>
      </c>
      <c r="K16" s="112">
        <v>45747</v>
      </c>
    </row>
    <row r="17" spans="1:11" s="116" customFormat="1" x14ac:dyDescent="0.25">
      <c r="A17" s="116" t="s">
        <v>80</v>
      </c>
      <c r="B17" s="106">
        <v>57589</v>
      </c>
      <c r="C17" s="106">
        <v>68085</v>
      </c>
      <c r="D17" s="106">
        <v>79809.399999999994</v>
      </c>
      <c r="E17" s="106">
        <v>86068.5</v>
      </c>
      <c r="F17" s="106">
        <v>75660</v>
      </c>
      <c r="G17" s="106">
        <v>70372</v>
      </c>
      <c r="H17" s="106">
        <v>88329.8</v>
      </c>
      <c r="I17" s="106">
        <v>118409.9</v>
      </c>
      <c r="J17" s="106">
        <v>141858.20000000001</v>
      </c>
      <c r="K17" s="106">
        <v>152913</v>
      </c>
    </row>
    <row r="18" spans="1:11" s="116" customFormat="1" x14ac:dyDescent="0.25">
      <c r="A18" s="109" t="s">
        <v>125</v>
      </c>
      <c r="B18" s="106">
        <v>38701.199999999997</v>
      </c>
      <c r="C18" s="106">
        <v>47121.5</v>
      </c>
      <c r="D18" s="106">
        <v>54945.3</v>
      </c>
      <c r="E18" s="106">
        <v>59346.6</v>
      </c>
      <c r="F18" s="106">
        <v>53402</v>
      </c>
      <c r="G18" s="106">
        <v>50550.5</v>
      </c>
      <c r="H18" s="106">
        <v>66137.100000000006</v>
      </c>
      <c r="I18" s="106">
        <v>86066.9</v>
      </c>
      <c r="J18" s="106">
        <v>100119.5</v>
      </c>
      <c r="K18" s="106">
        <v>108718.3</v>
      </c>
    </row>
    <row r="19" spans="1:11" s="116" customFormat="1" x14ac:dyDescent="0.25">
      <c r="A19" s="109" t="s">
        <v>124</v>
      </c>
      <c r="B19" s="106">
        <v>-4.8</v>
      </c>
      <c r="C19" s="106">
        <v>379.3</v>
      </c>
      <c r="D19" s="106">
        <v>-40.799999999999997</v>
      </c>
      <c r="E19" s="106">
        <v>-211.6</v>
      </c>
      <c r="F19" s="106">
        <v>238.7</v>
      </c>
      <c r="G19" s="106">
        <v>-273.60000000000002</v>
      </c>
      <c r="H19" s="106">
        <v>93.1</v>
      </c>
      <c r="I19" s="106">
        <v>580.5</v>
      </c>
      <c r="J19" s="106">
        <v>378.6</v>
      </c>
      <c r="K19" s="106">
        <v>1227.5</v>
      </c>
    </row>
    <row r="20" spans="1:11" s="116" customFormat="1" x14ac:dyDescent="0.25">
      <c r="A20" s="109" t="s">
        <v>123</v>
      </c>
      <c r="B20" s="106">
        <v>694.1</v>
      </c>
      <c r="C20" s="106">
        <v>518.6</v>
      </c>
      <c r="D20" s="106">
        <v>673.4</v>
      </c>
      <c r="E20" s="106">
        <v>863.3</v>
      </c>
      <c r="F20" s="106">
        <v>699.5</v>
      </c>
      <c r="G20" s="106">
        <v>476.6</v>
      </c>
      <c r="H20" s="106">
        <v>630.9</v>
      </c>
      <c r="I20" s="106">
        <v>1091.9000000000001</v>
      </c>
      <c r="J20" s="106">
        <v>1033.4000000000001</v>
      </c>
    </row>
    <row r="21" spans="1:11" s="116" customFormat="1" x14ac:dyDescent="0.25">
      <c r="A21" s="109" t="s">
        <v>122</v>
      </c>
      <c r="B21" s="106">
        <v>427.8</v>
      </c>
      <c r="C21" s="106">
        <v>382.9</v>
      </c>
      <c r="D21" s="106">
        <v>462.1</v>
      </c>
      <c r="E21" s="106">
        <v>475.7</v>
      </c>
      <c r="F21" s="106">
        <v>378.1</v>
      </c>
      <c r="G21" s="106">
        <v>683.3</v>
      </c>
      <c r="H21" s="106">
        <v>852.5</v>
      </c>
      <c r="I21" s="106">
        <v>843.8</v>
      </c>
      <c r="J21" s="106">
        <v>939.3</v>
      </c>
    </row>
    <row r="22" spans="1:11" s="116" customFormat="1" x14ac:dyDescent="0.25">
      <c r="A22" s="109" t="s">
        <v>121</v>
      </c>
      <c r="B22" s="106">
        <v>2000.3</v>
      </c>
      <c r="C22" s="106">
        <v>2360.3000000000002</v>
      </c>
      <c r="D22" s="106">
        <v>2863.4</v>
      </c>
      <c r="E22" s="106">
        <v>3285</v>
      </c>
      <c r="F22" s="106">
        <v>3416.2</v>
      </c>
      <c r="G22" s="106">
        <v>3431.6</v>
      </c>
      <c r="H22" s="106">
        <v>4051.4</v>
      </c>
      <c r="I22" s="106">
        <v>5308.5</v>
      </c>
      <c r="J22" s="106">
        <v>6301.6</v>
      </c>
      <c r="K22" s="106">
        <v>7026</v>
      </c>
    </row>
    <row r="23" spans="1:11" s="116" customFormat="1" x14ac:dyDescent="0.25">
      <c r="A23" s="109" t="s">
        <v>120</v>
      </c>
      <c r="B23" s="106">
        <v>5367.3</v>
      </c>
      <c r="C23" s="106">
        <v>6111.3</v>
      </c>
      <c r="D23" s="106">
        <v>6755.3</v>
      </c>
      <c r="E23" s="106">
        <v>8390.2999999999993</v>
      </c>
      <c r="F23" s="106">
        <v>8456.2999999999993</v>
      </c>
      <c r="G23" s="106">
        <v>7924</v>
      </c>
      <c r="H23" s="106">
        <v>9119.1</v>
      </c>
      <c r="I23" s="106">
        <v>10316.299999999999</v>
      </c>
      <c r="J23" s="106">
        <v>12082.6</v>
      </c>
    </row>
    <row r="24" spans="1:11" s="116" customFormat="1" x14ac:dyDescent="0.25">
      <c r="A24" s="109" t="s">
        <v>119</v>
      </c>
      <c r="B24" s="106">
        <v>1369.4</v>
      </c>
      <c r="C24" s="106">
        <v>1548.4</v>
      </c>
      <c r="D24" s="106">
        <v>1951.2</v>
      </c>
      <c r="E24" s="106">
        <v>2439.6999999999998</v>
      </c>
      <c r="F24" s="106">
        <v>2191.6</v>
      </c>
      <c r="G24" s="106">
        <v>1621.8</v>
      </c>
      <c r="H24" s="106">
        <v>1879.9</v>
      </c>
      <c r="I24" s="106">
        <v>2241.5</v>
      </c>
      <c r="J24" s="106">
        <v>3134.1</v>
      </c>
      <c r="K24" s="106">
        <v>18239.900000000001</v>
      </c>
    </row>
    <row r="25" spans="1:11" s="116" customFormat="1" x14ac:dyDescent="0.25">
      <c r="A25" s="116" t="s">
        <v>77</v>
      </c>
      <c r="B25" s="106">
        <v>1464.1</v>
      </c>
      <c r="C25" s="106">
        <v>2399.1999999999998</v>
      </c>
      <c r="D25" s="106">
        <v>2154.6</v>
      </c>
      <c r="E25" s="106">
        <v>2664.2</v>
      </c>
      <c r="F25" s="106">
        <v>3410.4</v>
      </c>
      <c r="G25" s="106">
        <v>3046.3</v>
      </c>
      <c r="H25" s="106">
        <v>1860.8</v>
      </c>
      <c r="I25" s="106">
        <v>2415</v>
      </c>
      <c r="J25" s="106">
        <v>4247.6000000000004</v>
      </c>
      <c r="K25" s="106">
        <v>5266.1</v>
      </c>
    </row>
    <row r="26" spans="1:11" s="116" customFormat="1" x14ac:dyDescent="0.25">
      <c r="A26" s="116" t="s">
        <v>76</v>
      </c>
      <c r="B26" s="106">
        <v>2821.8</v>
      </c>
      <c r="C26" s="106">
        <v>2603.9</v>
      </c>
      <c r="D26" s="106">
        <v>2759.8</v>
      </c>
      <c r="E26" s="106">
        <v>3020.8</v>
      </c>
      <c r="F26" s="106">
        <v>3528.4</v>
      </c>
      <c r="G26" s="106">
        <v>3034.1</v>
      </c>
      <c r="H26" s="106">
        <v>2789</v>
      </c>
      <c r="I26" s="106">
        <v>4846</v>
      </c>
      <c r="J26" s="106">
        <v>5255.8</v>
      </c>
      <c r="K26" s="106">
        <v>5608.2</v>
      </c>
    </row>
    <row r="27" spans="1:11" s="116" customFormat="1" x14ac:dyDescent="0.25">
      <c r="A27" s="116" t="s">
        <v>75</v>
      </c>
      <c r="B27" s="106">
        <v>81.7</v>
      </c>
      <c r="C27" s="106">
        <v>89.4</v>
      </c>
      <c r="D27" s="106">
        <v>345.8</v>
      </c>
      <c r="E27" s="106">
        <v>75.900000000000006</v>
      </c>
      <c r="F27" s="106">
        <v>134.19999999999999</v>
      </c>
      <c r="G27" s="106">
        <v>101.8</v>
      </c>
      <c r="H27" s="106">
        <v>126.6</v>
      </c>
      <c r="I27" s="106">
        <v>252.3</v>
      </c>
      <c r="J27" s="106">
        <v>193.6</v>
      </c>
      <c r="K27" s="106">
        <v>194.2</v>
      </c>
    </row>
    <row r="28" spans="1:11" s="116" customFormat="1" x14ac:dyDescent="0.25">
      <c r="A28" s="116" t="s">
        <v>74</v>
      </c>
      <c r="B28" s="106">
        <v>7584.7</v>
      </c>
      <c r="C28" s="106">
        <v>10127.200000000001</v>
      </c>
      <c r="D28" s="106">
        <v>11166.9</v>
      </c>
      <c r="E28" s="106">
        <v>10623.8</v>
      </c>
      <c r="F28" s="106">
        <v>7102.8</v>
      </c>
      <c r="G28" s="106">
        <v>5321</v>
      </c>
      <c r="H28" s="106">
        <v>4697.2</v>
      </c>
      <c r="I28" s="106">
        <v>10438.200000000001</v>
      </c>
      <c r="J28" s="106">
        <v>17424.5</v>
      </c>
      <c r="K28" s="106">
        <v>19620</v>
      </c>
    </row>
    <row r="29" spans="1:11" s="116" customFormat="1" x14ac:dyDescent="0.25">
      <c r="A29" s="116" t="s">
        <v>73</v>
      </c>
      <c r="B29" s="106">
        <v>2087.5</v>
      </c>
      <c r="C29" s="106">
        <v>2616.1999999999998</v>
      </c>
      <c r="D29" s="106">
        <v>3286.2</v>
      </c>
      <c r="E29" s="106">
        <v>2973.2</v>
      </c>
      <c r="F29" s="106">
        <v>1425.2</v>
      </c>
      <c r="G29" s="106">
        <v>931.9</v>
      </c>
      <c r="H29" s="106">
        <v>817.7</v>
      </c>
      <c r="I29" s="106">
        <v>2174.5</v>
      </c>
      <c r="J29" s="106">
        <v>3936.3</v>
      </c>
      <c r="K29" s="106">
        <v>5119.8</v>
      </c>
    </row>
    <row r="30" spans="1:11" s="116" customFormat="1" x14ac:dyDescent="0.25">
      <c r="A30" s="116" t="s">
        <v>72</v>
      </c>
      <c r="B30" s="106">
        <v>5497.2</v>
      </c>
      <c r="C30" s="106">
        <v>7509.9</v>
      </c>
      <c r="D30" s="106">
        <v>7880</v>
      </c>
      <c r="E30" s="106">
        <v>7649.1</v>
      </c>
      <c r="F30" s="106">
        <v>5676</v>
      </c>
      <c r="G30" s="106">
        <v>4389.1000000000004</v>
      </c>
      <c r="H30" s="106">
        <v>3879.5</v>
      </c>
      <c r="I30" s="106">
        <v>8263.7000000000007</v>
      </c>
      <c r="J30" s="106">
        <v>13488.2</v>
      </c>
      <c r="K30" s="106">
        <v>14500.2</v>
      </c>
    </row>
    <row r="31" spans="1:11" s="116" customFormat="1" x14ac:dyDescent="0.25">
      <c r="A31" s="116" t="s">
        <v>118</v>
      </c>
      <c r="B31" s="106">
        <v>1057</v>
      </c>
      <c r="C31" s="106">
        <v>2265</v>
      </c>
      <c r="D31" s="106">
        <v>2416</v>
      </c>
      <c r="E31" s="106">
        <v>2416</v>
      </c>
      <c r="F31" s="106">
        <v>1812</v>
      </c>
      <c r="G31" s="106">
        <v>1359</v>
      </c>
      <c r="H31" s="106">
        <v>1812</v>
      </c>
      <c r="I31" s="106">
        <v>2829.6</v>
      </c>
      <c r="J31" s="106">
        <v>3930</v>
      </c>
      <c r="K31" s="106">
        <v>4244.3999999999996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12">
        <v>44926</v>
      </c>
      <c r="C41" s="112">
        <v>45016</v>
      </c>
      <c r="D41" s="112">
        <v>45107</v>
      </c>
      <c r="E41" s="112">
        <v>45199</v>
      </c>
      <c r="F41" s="112">
        <v>45291</v>
      </c>
      <c r="G41" s="112">
        <v>45382</v>
      </c>
      <c r="H41" s="112">
        <v>45473</v>
      </c>
      <c r="I41" s="112">
        <v>45565</v>
      </c>
      <c r="J41" s="112">
        <v>45657</v>
      </c>
      <c r="K41" s="112">
        <v>45747</v>
      </c>
    </row>
    <row r="42" spans="1:11" s="116" customFormat="1" x14ac:dyDescent="0.25">
      <c r="A42" s="116" t="s">
        <v>80</v>
      </c>
      <c r="B42" s="106">
        <v>29251.1</v>
      </c>
      <c r="C42" s="106">
        <v>32213.5</v>
      </c>
      <c r="D42" s="106">
        <v>32534.799999999999</v>
      </c>
      <c r="E42" s="106">
        <v>37339.4</v>
      </c>
      <c r="F42" s="106">
        <v>33512.800000000003</v>
      </c>
      <c r="G42" s="106">
        <v>38471.199999999997</v>
      </c>
      <c r="H42" s="106">
        <v>35779.4</v>
      </c>
      <c r="I42" s="106">
        <v>37449.199999999997</v>
      </c>
      <c r="J42" s="106">
        <v>38764.300000000003</v>
      </c>
      <c r="K42" s="106">
        <v>40920.1</v>
      </c>
    </row>
    <row r="43" spans="1:11" s="116" customFormat="1" x14ac:dyDescent="0.25">
      <c r="A43" s="116" t="s">
        <v>79</v>
      </c>
      <c r="B43" s="106">
        <v>25878</v>
      </c>
      <c r="C43" s="106">
        <v>28319.8</v>
      </c>
      <c r="D43" s="106">
        <v>29014.9</v>
      </c>
      <c r="E43" s="106">
        <v>32027.9</v>
      </c>
      <c r="F43" s="106">
        <v>29072.799999999999</v>
      </c>
      <c r="G43" s="106">
        <v>33250.1</v>
      </c>
      <c r="H43" s="106">
        <v>30672.799999999999</v>
      </c>
      <c r="I43" s="106">
        <v>32450.400000000001</v>
      </c>
      <c r="J43" s="106">
        <v>33687.800000000003</v>
      </c>
      <c r="K43" s="106">
        <v>36076.1</v>
      </c>
    </row>
    <row r="44" spans="1:11" s="116" customFormat="1" x14ac:dyDescent="0.25">
      <c r="A44" s="116" t="s">
        <v>77</v>
      </c>
      <c r="B44" s="106">
        <v>892.9</v>
      </c>
      <c r="C44" s="106">
        <v>850.4</v>
      </c>
      <c r="D44" s="106">
        <v>1109.7</v>
      </c>
      <c r="E44" s="106">
        <v>957.8</v>
      </c>
      <c r="F44" s="106">
        <v>1052.9000000000001</v>
      </c>
      <c r="G44" s="106">
        <v>1261</v>
      </c>
      <c r="H44" s="106">
        <v>1118.0999999999999</v>
      </c>
      <c r="I44" s="106">
        <v>1570.5</v>
      </c>
      <c r="J44" s="106">
        <v>1124.8</v>
      </c>
      <c r="K44" s="106">
        <v>1583.1</v>
      </c>
    </row>
    <row r="45" spans="1:11" s="116" customFormat="1" x14ac:dyDescent="0.25">
      <c r="A45" s="116" t="s">
        <v>76</v>
      </c>
      <c r="B45" s="106">
        <v>1209.3</v>
      </c>
      <c r="C45" s="106">
        <v>1239.9000000000001</v>
      </c>
      <c r="D45" s="106">
        <v>1314.1</v>
      </c>
      <c r="E45" s="106">
        <v>1341.9</v>
      </c>
      <c r="F45" s="106">
        <v>1301.5</v>
      </c>
      <c r="G45" s="106">
        <v>1298.3</v>
      </c>
      <c r="H45" s="106">
        <v>1331.7</v>
      </c>
      <c r="I45" s="106">
        <v>1385.7</v>
      </c>
      <c r="J45" s="106">
        <v>1429</v>
      </c>
      <c r="K45" s="106">
        <v>1461.8</v>
      </c>
    </row>
    <row r="46" spans="1:11" s="116" customFormat="1" x14ac:dyDescent="0.25">
      <c r="A46" s="116" t="s">
        <v>75</v>
      </c>
      <c r="B46" s="106">
        <v>29.6</v>
      </c>
      <c r="C46" s="106">
        <v>163.5</v>
      </c>
      <c r="D46" s="106">
        <v>46.5</v>
      </c>
      <c r="E46" s="106">
        <v>35.1</v>
      </c>
      <c r="F46" s="106">
        <v>35.799999999999997</v>
      </c>
      <c r="G46" s="106">
        <v>76.2</v>
      </c>
      <c r="H46" s="106">
        <v>57.3</v>
      </c>
      <c r="I46" s="106">
        <v>43</v>
      </c>
      <c r="J46" s="106">
        <v>46.3</v>
      </c>
      <c r="K46" s="106">
        <v>47.6</v>
      </c>
    </row>
    <row r="47" spans="1:11" s="116" customFormat="1" x14ac:dyDescent="0.25">
      <c r="A47" s="116" t="s">
        <v>74</v>
      </c>
      <c r="B47" s="106">
        <v>3027.1</v>
      </c>
      <c r="C47" s="106">
        <v>3340.7</v>
      </c>
      <c r="D47" s="106">
        <v>3269</v>
      </c>
      <c r="E47" s="106">
        <v>4892.3</v>
      </c>
      <c r="F47" s="106">
        <v>4155.6000000000004</v>
      </c>
      <c r="G47" s="106">
        <v>5107.6000000000004</v>
      </c>
      <c r="H47" s="106">
        <v>4835.7</v>
      </c>
      <c r="I47" s="106">
        <v>5140.6000000000004</v>
      </c>
      <c r="J47" s="106">
        <v>4726</v>
      </c>
      <c r="K47" s="106">
        <v>4917.7</v>
      </c>
    </row>
    <row r="48" spans="1:11" s="116" customFormat="1" x14ac:dyDescent="0.25">
      <c r="A48" s="116" t="s">
        <v>73</v>
      </c>
      <c r="B48" s="106">
        <v>621</v>
      </c>
      <c r="C48" s="106">
        <v>653</v>
      </c>
      <c r="D48" s="106">
        <v>726.1</v>
      </c>
      <c r="E48" s="106">
        <v>1106.0999999999999</v>
      </c>
      <c r="F48" s="106">
        <v>948.8</v>
      </c>
      <c r="G48" s="106">
        <v>1155.3</v>
      </c>
      <c r="H48" s="106">
        <v>1076</v>
      </c>
      <c r="I48" s="106">
        <v>2038.1</v>
      </c>
      <c r="J48" s="106">
        <v>999.1</v>
      </c>
      <c r="K48" s="106">
        <v>1006.6</v>
      </c>
    </row>
    <row r="49" spans="1:11" s="116" customFormat="1" x14ac:dyDescent="0.25">
      <c r="A49" s="116" t="s">
        <v>72</v>
      </c>
      <c r="B49" s="106">
        <v>2406.1</v>
      </c>
      <c r="C49" s="106">
        <v>2687.7</v>
      </c>
      <c r="D49" s="106">
        <v>2542.9</v>
      </c>
      <c r="E49" s="106">
        <v>3786.2</v>
      </c>
      <c r="F49" s="106">
        <v>3206.8</v>
      </c>
      <c r="G49" s="106">
        <v>3952.3</v>
      </c>
      <c r="H49" s="106">
        <v>3759.7</v>
      </c>
      <c r="I49" s="106">
        <v>3102.5</v>
      </c>
      <c r="J49" s="106">
        <v>3726.9</v>
      </c>
      <c r="K49" s="106">
        <v>3911.1</v>
      </c>
    </row>
    <row r="50" spans="1:11" x14ac:dyDescent="0.25">
      <c r="A50" s="116" t="s">
        <v>78</v>
      </c>
      <c r="B50" s="106">
        <v>3373.1</v>
      </c>
      <c r="C50" s="106">
        <v>3893.7</v>
      </c>
      <c r="D50" s="106">
        <v>3519.9</v>
      </c>
      <c r="E50" s="106">
        <v>5311.5</v>
      </c>
      <c r="F50" s="106">
        <v>4440</v>
      </c>
      <c r="G50" s="106">
        <v>5221.1000000000004</v>
      </c>
      <c r="H50" s="106">
        <v>5106.6000000000004</v>
      </c>
      <c r="I50" s="106">
        <v>4998.8</v>
      </c>
      <c r="J50" s="106">
        <v>5076.5</v>
      </c>
      <c r="K50" s="106">
        <v>4844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12">
        <v>42460</v>
      </c>
      <c r="C56" s="112">
        <v>42825</v>
      </c>
      <c r="D56" s="112">
        <v>43190</v>
      </c>
      <c r="E56" s="112">
        <v>43555</v>
      </c>
      <c r="F56" s="112">
        <v>43921</v>
      </c>
      <c r="G56" s="112">
        <v>44286</v>
      </c>
      <c r="H56" s="112">
        <v>44651</v>
      </c>
      <c r="I56" s="112">
        <v>45016</v>
      </c>
      <c r="J56" s="112">
        <v>45382</v>
      </c>
      <c r="K56" s="112">
        <v>45747</v>
      </c>
    </row>
    <row r="57" spans="1:11" x14ac:dyDescent="0.25">
      <c r="A57" s="116" t="s">
        <v>101</v>
      </c>
      <c r="B57" s="106">
        <v>151</v>
      </c>
      <c r="C57" s="106">
        <v>151</v>
      </c>
      <c r="D57" s="106">
        <v>151</v>
      </c>
      <c r="E57" s="106">
        <v>151</v>
      </c>
      <c r="F57" s="106">
        <v>151</v>
      </c>
      <c r="G57" s="106">
        <v>151</v>
      </c>
      <c r="H57" s="106">
        <v>151</v>
      </c>
      <c r="I57" s="106">
        <v>157.19999999999999</v>
      </c>
      <c r="J57" s="106">
        <v>157.19999999999999</v>
      </c>
      <c r="K57" s="106">
        <v>157.19999999999999</v>
      </c>
    </row>
    <row r="58" spans="1:11" x14ac:dyDescent="0.25">
      <c r="A58" s="116" t="s">
        <v>100</v>
      </c>
      <c r="B58" s="106">
        <v>30465</v>
      </c>
      <c r="C58" s="106">
        <v>36924.1</v>
      </c>
      <c r="D58" s="106">
        <v>42408.4</v>
      </c>
      <c r="E58" s="106">
        <v>46941.1</v>
      </c>
      <c r="F58" s="106">
        <v>49262</v>
      </c>
      <c r="G58" s="106">
        <v>52349.599999999999</v>
      </c>
      <c r="H58" s="106">
        <v>55182.5</v>
      </c>
      <c r="I58" s="106">
        <v>74443</v>
      </c>
      <c r="J58" s="106">
        <v>85478.8</v>
      </c>
      <c r="K58" s="106">
        <v>96082.7</v>
      </c>
    </row>
    <row r="59" spans="1:11" x14ac:dyDescent="0.25">
      <c r="A59" s="116" t="s">
        <v>99</v>
      </c>
      <c r="B59" s="106">
        <v>230.9</v>
      </c>
      <c r="C59" s="106">
        <v>483.6</v>
      </c>
      <c r="D59" s="106">
        <v>120.8</v>
      </c>
      <c r="E59" s="106">
        <v>159.6</v>
      </c>
      <c r="F59" s="106">
        <v>184.1</v>
      </c>
      <c r="G59" s="106">
        <v>540.9</v>
      </c>
      <c r="H59" s="106">
        <v>425.5</v>
      </c>
      <c r="I59" s="106">
        <v>1247.5999999999999</v>
      </c>
      <c r="J59" s="106">
        <v>118.6</v>
      </c>
      <c r="K59" s="106">
        <v>87</v>
      </c>
    </row>
    <row r="60" spans="1:11" x14ac:dyDescent="0.25">
      <c r="A60" s="116" t="s">
        <v>98</v>
      </c>
      <c r="B60" s="106">
        <v>11878.6</v>
      </c>
      <c r="C60" s="106">
        <v>14401.8</v>
      </c>
      <c r="D60" s="106">
        <v>17568.2</v>
      </c>
      <c r="E60" s="106">
        <v>16717</v>
      </c>
      <c r="F60" s="106">
        <v>14030.6</v>
      </c>
      <c r="G60" s="106">
        <v>18334.599999999999</v>
      </c>
      <c r="H60" s="106">
        <v>18896.5</v>
      </c>
      <c r="I60" s="106">
        <v>24258.2</v>
      </c>
      <c r="J60" s="106">
        <v>29549.5</v>
      </c>
      <c r="K60" s="106">
        <v>35644.9</v>
      </c>
    </row>
    <row r="61" spans="1:11" s="115" customFormat="1" x14ac:dyDescent="0.25">
      <c r="A61" s="115" t="s">
        <v>93</v>
      </c>
      <c r="B61" s="106">
        <v>42725.5</v>
      </c>
      <c r="C61" s="106">
        <v>51960.5</v>
      </c>
      <c r="D61" s="106">
        <v>60248.4</v>
      </c>
      <c r="E61" s="106">
        <v>63968.7</v>
      </c>
      <c r="F61" s="106">
        <v>63627.7</v>
      </c>
      <c r="G61" s="106">
        <v>71376.100000000006</v>
      </c>
      <c r="H61" s="106">
        <v>74655.5</v>
      </c>
      <c r="I61" s="106">
        <v>100106</v>
      </c>
      <c r="J61" s="106">
        <v>115304.1</v>
      </c>
      <c r="K61" s="106">
        <v>131971.79999999999</v>
      </c>
    </row>
    <row r="62" spans="1:11" x14ac:dyDescent="0.25">
      <c r="A62" s="116" t="s">
        <v>97</v>
      </c>
      <c r="B62" s="106">
        <v>12529.6</v>
      </c>
      <c r="C62" s="106">
        <v>13310.7</v>
      </c>
      <c r="D62" s="106">
        <v>13388.8</v>
      </c>
      <c r="E62" s="106">
        <v>15437.3</v>
      </c>
      <c r="F62" s="106">
        <v>15744.4</v>
      </c>
      <c r="G62" s="106">
        <v>14988.7</v>
      </c>
      <c r="H62" s="106">
        <v>13747.2</v>
      </c>
      <c r="I62" s="106">
        <v>27941.4</v>
      </c>
      <c r="J62" s="106">
        <v>27864.799999999999</v>
      </c>
      <c r="K62" s="106">
        <v>33384.5</v>
      </c>
    </row>
    <row r="63" spans="1:11" x14ac:dyDescent="0.25">
      <c r="A63" s="116" t="s">
        <v>96</v>
      </c>
      <c r="B63" s="106">
        <v>1006.9</v>
      </c>
      <c r="C63" s="106">
        <v>1252.3</v>
      </c>
      <c r="D63" s="106">
        <v>2132.1</v>
      </c>
      <c r="E63" s="106">
        <v>1606.9</v>
      </c>
      <c r="F63" s="106">
        <v>1415.2</v>
      </c>
      <c r="G63" s="106">
        <v>1496.8</v>
      </c>
      <c r="H63" s="106">
        <v>2936.5</v>
      </c>
      <c r="I63" s="106">
        <v>4143</v>
      </c>
      <c r="J63" s="106">
        <v>7734.8</v>
      </c>
      <c r="K63" s="106">
        <v>7527.2</v>
      </c>
    </row>
    <row r="64" spans="1:11" x14ac:dyDescent="0.25">
      <c r="A64" s="116" t="s">
        <v>95</v>
      </c>
      <c r="B64" s="106">
        <v>20675.8</v>
      </c>
      <c r="C64" s="106">
        <v>29150.6</v>
      </c>
      <c r="D64" s="106">
        <v>36123.1</v>
      </c>
      <c r="E64" s="106">
        <v>37503.599999999999</v>
      </c>
      <c r="F64" s="106">
        <v>37488</v>
      </c>
      <c r="G64" s="106">
        <v>42944.800000000003</v>
      </c>
      <c r="H64" s="106">
        <v>42034.7</v>
      </c>
      <c r="I64" s="106">
        <v>49184.3</v>
      </c>
      <c r="J64" s="106">
        <v>57296</v>
      </c>
      <c r="K64" s="106">
        <v>66265.399999999994</v>
      </c>
    </row>
    <row r="65" spans="1:11" x14ac:dyDescent="0.25">
      <c r="A65" s="116" t="s">
        <v>94</v>
      </c>
      <c r="B65" s="106">
        <v>8513.2000000000007</v>
      </c>
      <c r="C65" s="106">
        <v>8246.9</v>
      </c>
      <c r="D65" s="106">
        <v>8604.4</v>
      </c>
      <c r="E65" s="106">
        <v>9420.9</v>
      </c>
      <c r="F65" s="106">
        <v>8980.1</v>
      </c>
      <c r="G65" s="106">
        <v>11945.8</v>
      </c>
      <c r="H65" s="106">
        <v>15937.1</v>
      </c>
      <c r="I65" s="106">
        <v>18837.3</v>
      </c>
      <c r="J65" s="106">
        <v>22408.5</v>
      </c>
      <c r="K65" s="106">
        <v>24794.7</v>
      </c>
    </row>
    <row r="66" spans="1:11" s="115" customFormat="1" x14ac:dyDescent="0.25">
      <c r="A66" s="115" t="s">
        <v>93</v>
      </c>
      <c r="B66" s="106">
        <v>42725.5</v>
      </c>
      <c r="C66" s="106">
        <v>51960.5</v>
      </c>
      <c r="D66" s="106">
        <v>60248.4</v>
      </c>
      <c r="E66" s="106">
        <v>63968.7</v>
      </c>
      <c r="F66" s="106">
        <v>63627.7</v>
      </c>
      <c r="G66" s="106">
        <v>71376.100000000006</v>
      </c>
      <c r="H66" s="106">
        <v>74655.5</v>
      </c>
      <c r="I66" s="106">
        <v>100106</v>
      </c>
      <c r="J66" s="106">
        <v>115304.1</v>
      </c>
      <c r="K66" s="106">
        <v>131971.79999999999</v>
      </c>
    </row>
    <row r="67" spans="1:11" s="116" customFormat="1" x14ac:dyDescent="0.25">
      <c r="A67" s="116" t="s">
        <v>115</v>
      </c>
      <c r="B67" s="106">
        <v>1323.4</v>
      </c>
      <c r="C67" s="106">
        <v>1202.5999999999999</v>
      </c>
      <c r="D67" s="106">
        <v>1465.4</v>
      </c>
      <c r="E67" s="106">
        <v>2312.8000000000002</v>
      </c>
      <c r="F67" s="106">
        <v>1977.7</v>
      </c>
      <c r="G67" s="106">
        <v>1279.9000000000001</v>
      </c>
      <c r="H67" s="106">
        <v>2034.5</v>
      </c>
      <c r="I67" s="106">
        <v>3284.8</v>
      </c>
      <c r="J67" s="106">
        <v>4596.8</v>
      </c>
      <c r="K67" s="106">
        <v>6539.7</v>
      </c>
    </row>
    <row r="68" spans="1:11" x14ac:dyDescent="0.25">
      <c r="A68" s="116" t="s">
        <v>90</v>
      </c>
      <c r="B68" s="106">
        <v>3132.6</v>
      </c>
      <c r="C68" s="106">
        <v>3263.7</v>
      </c>
      <c r="D68" s="106">
        <v>3160.2</v>
      </c>
      <c r="E68" s="106">
        <v>3322.6</v>
      </c>
      <c r="F68" s="106">
        <v>3213.9</v>
      </c>
      <c r="G68" s="106">
        <v>3049</v>
      </c>
      <c r="H68" s="106">
        <v>3532.3</v>
      </c>
      <c r="I68" s="106">
        <v>5443.5</v>
      </c>
      <c r="J68" s="106">
        <v>5318.1</v>
      </c>
      <c r="K68" s="106">
        <v>6913.2</v>
      </c>
    </row>
    <row r="69" spans="1:11" x14ac:dyDescent="0.25">
      <c r="A69" s="109" t="s">
        <v>114</v>
      </c>
      <c r="B69" s="106">
        <v>50.7</v>
      </c>
      <c r="C69" s="106">
        <v>23.5</v>
      </c>
      <c r="D69" s="106">
        <v>74</v>
      </c>
      <c r="E69" s="106">
        <v>187.8</v>
      </c>
      <c r="F69" s="106">
        <v>29</v>
      </c>
      <c r="G69" s="106">
        <v>3047.1</v>
      </c>
      <c r="H69" s="106">
        <v>3042.2</v>
      </c>
      <c r="I69" s="106">
        <v>2748.5</v>
      </c>
      <c r="J69" s="106">
        <v>2827.4</v>
      </c>
      <c r="K69" s="106">
        <v>552.9</v>
      </c>
    </row>
    <row r="70" spans="1:11" x14ac:dyDescent="0.25">
      <c r="A70" s="109" t="s">
        <v>113</v>
      </c>
      <c r="B70" s="106">
        <v>302080060</v>
      </c>
      <c r="C70" s="106">
        <v>302080060</v>
      </c>
      <c r="D70" s="106">
        <v>302080060</v>
      </c>
      <c r="E70" s="106">
        <v>302080060</v>
      </c>
      <c r="F70" s="106">
        <v>302080060</v>
      </c>
      <c r="G70" s="106">
        <v>302080060</v>
      </c>
      <c r="H70" s="106">
        <v>302080060</v>
      </c>
      <c r="I70" s="106">
        <v>302080060</v>
      </c>
      <c r="J70" s="106">
        <v>314402574</v>
      </c>
    </row>
    <row r="71" spans="1:11" x14ac:dyDescent="0.25">
      <c r="A71" s="109" t="s">
        <v>112</v>
      </c>
    </row>
    <row r="72" spans="1:11" x14ac:dyDescent="0.25">
      <c r="A72" s="109" t="s">
        <v>111</v>
      </c>
      <c r="B72" s="106">
        <v>5</v>
      </c>
      <c r="C72" s="106">
        <v>5</v>
      </c>
      <c r="D72" s="106">
        <v>5</v>
      </c>
      <c r="E72" s="106">
        <v>5</v>
      </c>
      <c r="F72" s="106">
        <v>5</v>
      </c>
      <c r="G72" s="106">
        <v>5</v>
      </c>
      <c r="H72" s="106">
        <v>5</v>
      </c>
      <c r="I72" s="106">
        <v>5</v>
      </c>
      <c r="J72" s="106">
        <v>5</v>
      </c>
      <c r="K72" s="106">
        <v>5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12">
        <v>42460</v>
      </c>
      <c r="C81" s="112">
        <v>42825</v>
      </c>
      <c r="D81" s="112">
        <v>43190</v>
      </c>
      <c r="E81" s="112">
        <v>43555</v>
      </c>
      <c r="F81" s="112">
        <v>43921</v>
      </c>
      <c r="G81" s="112">
        <v>44286</v>
      </c>
      <c r="H81" s="112">
        <v>44651</v>
      </c>
      <c r="I81" s="112">
        <v>45016</v>
      </c>
      <c r="J81" s="112">
        <v>45382</v>
      </c>
      <c r="K81" s="112">
        <v>45747</v>
      </c>
    </row>
    <row r="82" spans="1:11" s="115" customFormat="1" x14ac:dyDescent="0.25">
      <c r="A82" s="116" t="s">
        <v>108</v>
      </c>
      <c r="B82" s="106">
        <v>8482.5</v>
      </c>
      <c r="C82" s="106">
        <v>10282</v>
      </c>
      <c r="D82" s="106">
        <v>11787.9</v>
      </c>
      <c r="E82" s="106">
        <v>6600.9</v>
      </c>
      <c r="F82" s="106">
        <v>3495.8</v>
      </c>
      <c r="G82" s="106">
        <v>8856.2000000000007</v>
      </c>
      <c r="H82" s="106">
        <v>1840.5</v>
      </c>
      <c r="I82" s="106">
        <v>10814.6</v>
      </c>
      <c r="J82" s="106">
        <v>16801.099999999999</v>
      </c>
      <c r="K82" s="106">
        <v>16136.2</v>
      </c>
    </row>
    <row r="83" spans="1:11" s="116" customFormat="1" x14ac:dyDescent="0.25">
      <c r="A83" s="116" t="s">
        <v>107</v>
      </c>
      <c r="B83" s="106">
        <v>-7230.4</v>
      </c>
      <c r="C83" s="106">
        <v>-9173.2000000000007</v>
      </c>
      <c r="D83" s="106">
        <v>-8301.7000000000007</v>
      </c>
      <c r="E83" s="106">
        <v>-3539.9</v>
      </c>
      <c r="F83" s="106">
        <v>-556.6</v>
      </c>
      <c r="G83" s="106">
        <v>-7291.3</v>
      </c>
      <c r="H83" s="106">
        <v>-239.2</v>
      </c>
      <c r="I83" s="106">
        <v>-8820.5</v>
      </c>
      <c r="J83" s="106">
        <v>-11864.8</v>
      </c>
      <c r="K83" s="106">
        <v>-14456.1</v>
      </c>
    </row>
    <row r="84" spans="1:11" s="116" customFormat="1" x14ac:dyDescent="0.25">
      <c r="A84" s="116" t="s">
        <v>106</v>
      </c>
      <c r="B84" s="106">
        <v>-1236.5999999999999</v>
      </c>
      <c r="C84" s="106">
        <v>-1129.3</v>
      </c>
      <c r="D84" s="106">
        <v>-3436.1</v>
      </c>
      <c r="E84" s="106">
        <v>-2947.9</v>
      </c>
      <c r="F84" s="106">
        <v>-3104.3</v>
      </c>
      <c r="G84" s="106">
        <v>-1544.9</v>
      </c>
      <c r="H84" s="106">
        <v>-1607</v>
      </c>
      <c r="I84" s="106">
        <v>-1213.9000000000001</v>
      </c>
      <c r="J84" s="106">
        <v>-4062</v>
      </c>
      <c r="K84" s="106">
        <v>-4155.1000000000004</v>
      </c>
    </row>
    <row r="85" spans="1:11" s="115" customFormat="1" x14ac:dyDescent="0.25">
      <c r="A85" s="116" t="s">
        <v>105</v>
      </c>
      <c r="B85" s="106">
        <v>15.5</v>
      </c>
      <c r="C85" s="106">
        <v>-20.5</v>
      </c>
      <c r="D85" s="106">
        <v>50.1</v>
      </c>
      <c r="E85" s="106">
        <v>113.1</v>
      </c>
      <c r="F85" s="106">
        <v>-165.1</v>
      </c>
      <c r="G85" s="106">
        <v>20</v>
      </c>
      <c r="H85" s="106">
        <v>-5.7</v>
      </c>
      <c r="I85" s="106">
        <v>780.2</v>
      </c>
      <c r="J85" s="106">
        <v>874.3</v>
      </c>
      <c r="K85" s="106">
        <v>-2475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B90" s="106">
        <v>3716.3</v>
      </c>
      <c r="C90" s="106">
        <v>6015.7</v>
      </c>
      <c r="D90" s="106">
        <v>8861.1</v>
      </c>
      <c r="E90" s="106">
        <v>6672.55</v>
      </c>
      <c r="F90" s="106">
        <v>4288.3</v>
      </c>
      <c r="G90" s="106">
        <v>6859.2</v>
      </c>
      <c r="H90" s="106">
        <v>7561.3</v>
      </c>
      <c r="I90" s="106">
        <v>8292.15</v>
      </c>
      <c r="J90" s="106">
        <v>12600.35</v>
      </c>
      <c r="K90" s="106">
        <v>11522.15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v>30.21</v>
      </c>
      <c r="C93" s="114">
        <v>30.21</v>
      </c>
      <c r="D93" s="114">
        <v>30.21</v>
      </c>
      <c r="E93" s="114">
        <v>30.21</v>
      </c>
      <c r="F93" s="114">
        <v>30.21</v>
      </c>
      <c r="G93" s="114">
        <v>30.21</v>
      </c>
      <c r="H93" s="114">
        <v>30.21</v>
      </c>
      <c r="I93" s="114">
        <v>30.21</v>
      </c>
      <c r="J93" s="114">
        <v>31.44</v>
      </c>
      <c r="K93" s="114">
        <v>31.44</v>
      </c>
    </row>
  </sheetData>
  <mergeCells count="2">
    <mergeCell ref="E1:K1"/>
    <mergeCell ref="E2:K2"/>
  </mergeCells>
  <conditionalFormatting sqref="E1:K1">
    <cfRule type="cellIs" dxfId="6" priority="1" operator="notEqual">
      <formula>""</formula>
    </cfRule>
  </conditionalFormatting>
  <hyperlinks>
    <hyperlink ref="E1:K1" r:id="rId1" display="https://www.screener.in/excel/" xr:uid="{A889DF20-8469-40B2-AE0E-A4A311E17D24}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82871-8CBF-46FE-9F03-9258F06E0C27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B5" activePane="bottomRight" state="frozen"/>
      <selection activeCell="D17" sqref="D17"/>
      <selection pane="topRight" activeCell="D17" sqref="D17"/>
      <selection pane="bottomLeft" activeCell="D17" sqref="D17"/>
      <selection pane="bottomRight"/>
    </sheetView>
  </sheetViews>
  <sheetFormatPr defaultColWidth="8.85546875" defaultRowHeight="15" x14ac:dyDescent="0.25"/>
  <cols>
    <col min="1" max="1" width="20.7109375" style="106" customWidth="1"/>
    <col min="2" max="6" width="13.42578125" style="106" customWidth="1"/>
    <col min="7" max="7" width="14.85546875" style="106" bestFit="1" customWidth="1"/>
    <col min="8" max="11" width="13.42578125" style="106" customWidth="1"/>
    <col min="12" max="12" width="13.28515625" style="106" customWidth="1"/>
    <col min="13" max="14" width="12.140625" style="106" customWidth="1"/>
    <col min="15" max="16384" width="8.85546875" style="106"/>
  </cols>
  <sheetData>
    <row r="1" spans="1:14" s="107" customFormat="1" x14ac:dyDescent="0.25">
      <c r="A1" s="107" t="str">
        <f>'[5]Data Sheet'!B1</f>
        <v>MAHINDRA &amp; MAHINDRA LTD</v>
      </c>
      <c r="H1" s="106">
        <f>UPDATE</f>
        <v>0</v>
      </c>
      <c r="J1" s="123"/>
      <c r="K1" s="123"/>
      <c r="M1" s="107" t="s">
        <v>85</v>
      </c>
    </row>
    <row r="3" spans="1:14" s="107" customFormat="1" x14ac:dyDescent="0.25">
      <c r="A3" s="113" t="s">
        <v>84</v>
      </c>
      <c r="B3" s="112">
        <f>'[5]Data Sheet'!B16</f>
        <v>42460</v>
      </c>
      <c r="C3" s="112">
        <f>'[5]Data Sheet'!C16</f>
        <v>42825</v>
      </c>
      <c r="D3" s="112">
        <f>'[5]Data Sheet'!D16</f>
        <v>43190</v>
      </c>
      <c r="E3" s="112">
        <f>'[5]Data Sheet'!E16</f>
        <v>43555</v>
      </c>
      <c r="F3" s="112">
        <f>'[5]Data Sheet'!F16</f>
        <v>43921</v>
      </c>
      <c r="G3" s="112">
        <f>'[5]Data Sheet'!G16</f>
        <v>44286</v>
      </c>
      <c r="H3" s="112">
        <f>'[5]Data Sheet'!H16</f>
        <v>44651</v>
      </c>
      <c r="I3" s="112">
        <f>'[5]Data Sheet'!I16</f>
        <v>45016</v>
      </c>
      <c r="J3" s="112">
        <f>'[5]Data Sheet'!J16</f>
        <v>45382</v>
      </c>
      <c r="K3" s="112">
        <f>'[5]Data Sheet'!K16</f>
        <v>45747</v>
      </c>
      <c r="L3" s="121" t="s">
        <v>83</v>
      </c>
      <c r="M3" s="121" t="s">
        <v>82</v>
      </c>
      <c r="N3" s="121" t="s">
        <v>81</v>
      </c>
    </row>
    <row r="4" spans="1:14" s="107" customFormat="1" x14ac:dyDescent="0.25">
      <c r="A4" s="107" t="s">
        <v>80</v>
      </c>
      <c r="B4" s="115">
        <f>'[5]Data Sheet'!B17</f>
        <v>75841.42</v>
      </c>
      <c r="C4" s="115">
        <f>'[5]Data Sheet'!C17</f>
        <v>83773.05</v>
      </c>
      <c r="D4" s="115">
        <f>'[5]Data Sheet'!D17</f>
        <v>92093.95</v>
      </c>
      <c r="E4" s="115">
        <f>'[5]Data Sheet'!E17</f>
        <v>104720.68</v>
      </c>
      <c r="F4" s="115">
        <f>'[5]Data Sheet'!F17</f>
        <v>75381.929999999993</v>
      </c>
      <c r="G4" s="115">
        <f>'[5]Data Sheet'!G17</f>
        <v>74277.78</v>
      </c>
      <c r="H4" s="115">
        <f>'[5]Data Sheet'!H17</f>
        <v>90170.57</v>
      </c>
      <c r="I4" s="115">
        <f>'[5]Data Sheet'!I17</f>
        <v>121268.55</v>
      </c>
      <c r="J4" s="115">
        <f>'[5]Data Sheet'!J17</f>
        <v>139078.26999999999</v>
      </c>
      <c r="K4" s="115">
        <f>'[5]Data Sheet'!K17</f>
        <v>159210.82</v>
      </c>
      <c r="L4" s="115">
        <f>SUM([5]Quarters!H4:K4)</f>
        <v>0</v>
      </c>
      <c r="M4" s="115">
        <f>$K4+M23*K4</f>
        <v>192431.05779815</v>
      </c>
      <c r="N4" s="115">
        <f>$K4+N23*L4</f>
        <v>159210.82</v>
      </c>
    </row>
    <row r="5" spans="1:14" x14ac:dyDescent="0.25">
      <c r="A5" s="106" t="s">
        <v>79</v>
      </c>
      <c r="B5" s="116">
        <f>SUM('[5]Data Sheet'!B18,'[5]Data Sheet'!B20:B24, -1*'[5]Data Sheet'!B19)</f>
        <v>65758.98000000001</v>
      </c>
      <c r="C5" s="116">
        <f>SUM('[5]Data Sheet'!C18,'[5]Data Sheet'!C20:C24, -1*'[5]Data Sheet'!C19)</f>
        <v>73038.22</v>
      </c>
      <c r="D5" s="116">
        <f>SUM('[5]Data Sheet'!D18,'[5]Data Sheet'!D20:D24, -1*'[5]Data Sheet'!D19)</f>
        <v>78867.850000000006</v>
      </c>
      <c r="E5" s="116">
        <f>SUM('[5]Data Sheet'!E18,'[5]Data Sheet'!E20:E24, -1*'[5]Data Sheet'!E19)</f>
        <v>89514.17</v>
      </c>
      <c r="F5" s="116">
        <f>SUM('[5]Data Sheet'!F18,'[5]Data Sheet'!F20:F24, -1*'[5]Data Sheet'!F19)</f>
        <v>65224.180000000008</v>
      </c>
      <c r="G5" s="116">
        <f>SUM('[5]Data Sheet'!G18,'[5]Data Sheet'!G20:G24, -1*'[5]Data Sheet'!G19)</f>
        <v>62790.759999999995</v>
      </c>
      <c r="H5" s="116">
        <f>SUM('[5]Data Sheet'!H18,'[5]Data Sheet'!H20:H24, -1*'[5]Data Sheet'!H19)</f>
        <v>75487.719999999987</v>
      </c>
      <c r="I5" s="116">
        <f>SUM('[5]Data Sheet'!I18,'[5]Data Sheet'!I20:I24, -1*'[5]Data Sheet'!I19)</f>
        <v>100983.25999999998</v>
      </c>
      <c r="J5" s="116">
        <f>SUM('[5]Data Sheet'!J18,'[5]Data Sheet'!J20:J24, -1*'[5]Data Sheet'!J19)</f>
        <v>114186.34</v>
      </c>
      <c r="K5" s="116">
        <f>SUM('[5]Data Sheet'!K18,'[5]Data Sheet'!K20:K24, -1*'[5]Data Sheet'!K19)</f>
        <v>128692.63</v>
      </c>
      <c r="L5" s="116">
        <f>SUM([5]Quarters!H5:K5)</f>
        <v>0</v>
      </c>
      <c r="M5" s="116">
        <f>M4-M6</f>
        <v>157713.18728871376</v>
      </c>
      <c r="N5" s="116">
        <f>N4-N6</f>
        <v>159210.82</v>
      </c>
    </row>
    <row r="6" spans="1:14" s="107" customFormat="1" x14ac:dyDescent="0.25">
      <c r="A6" s="107" t="s">
        <v>78</v>
      </c>
      <c r="B6" s="115">
        <f t="shared" ref="B6:K6" si="0">B4-B5</f>
        <v>10082.439999999988</v>
      </c>
      <c r="C6" s="115">
        <f t="shared" si="0"/>
        <v>10734.830000000002</v>
      </c>
      <c r="D6" s="115">
        <f t="shared" si="0"/>
        <v>13226.099999999991</v>
      </c>
      <c r="E6" s="115">
        <f t="shared" si="0"/>
        <v>15206.509999999995</v>
      </c>
      <c r="F6" s="115">
        <f t="shared" si="0"/>
        <v>10157.749999999985</v>
      </c>
      <c r="G6" s="115">
        <f t="shared" si="0"/>
        <v>11487.020000000004</v>
      </c>
      <c r="H6" s="115">
        <f t="shared" si="0"/>
        <v>14682.85000000002</v>
      </c>
      <c r="I6" s="115">
        <f t="shared" si="0"/>
        <v>20285.290000000023</v>
      </c>
      <c r="J6" s="115">
        <f t="shared" si="0"/>
        <v>24891.929999999993</v>
      </c>
      <c r="K6" s="115">
        <f t="shared" si="0"/>
        <v>30518.190000000002</v>
      </c>
      <c r="L6" s="115">
        <f>SUM([5]Quarters!H6:K6)</f>
        <v>0</v>
      </c>
      <c r="M6" s="115">
        <f>M4*M24</f>
        <v>34717.870509436238</v>
      </c>
      <c r="N6" s="115">
        <f>N4*N24</f>
        <v>0</v>
      </c>
    </row>
    <row r="7" spans="1:14" x14ac:dyDescent="0.25">
      <c r="A7" s="106" t="s">
        <v>77</v>
      </c>
      <c r="B7" s="116">
        <f>'[5]Data Sheet'!B25</f>
        <v>1398.83</v>
      </c>
      <c r="C7" s="116">
        <f>'[5]Data Sheet'!C25</f>
        <v>2076.61</v>
      </c>
      <c r="D7" s="116">
        <f>'[5]Data Sheet'!D25</f>
        <v>4366.41</v>
      </c>
      <c r="E7" s="116">
        <f>'[5]Data Sheet'!E25</f>
        <v>2676.45</v>
      </c>
      <c r="F7" s="116">
        <f>'[5]Data Sheet'!F25</f>
        <v>884.69</v>
      </c>
      <c r="G7" s="116">
        <f>'[5]Data Sheet'!G25</f>
        <v>1151.51</v>
      </c>
      <c r="H7" s="116">
        <f>'[5]Data Sheet'!H25</f>
        <v>3204.47</v>
      </c>
      <c r="I7" s="116">
        <f>'[5]Data Sheet'!I25</f>
        <v>3961.45</v>
      </c>
      <c r="J7" s="116">
        <f>'[5]Data Sheet'!J25</f>
        <v>3297.85</v>
      </c>
      <c r="K7" s="116">
        <f>'[5]Data Sheet'!K25</f>
        <v>3718.47</v>
      </c>
      <c r="L7" s="116">
        <f>SUM([5]Quarters!H7:K7)</f>
        <v>0</v>
      </c>
      <c r="M7" s="116">
        <v>0</v>
      </c>
      <c r="N7" s="116">
        <v>0</v>
      </c>
    </row>
    <row r="8" spans="1:14" x14ac:dyDescent="0.25">
      <c r="A8" s="106" t="s">
        <v>76</v>
      </c>
      <c r="B8" s="116">
        <f>'[5]Data Sheet'!B26</f>
        <v>2441.65</v>
      </c>
      <c r="C8" s="116">
        <f>'[5]Data Sheet'!C26</f>
        <v>2812.72</v>
      </c>
      <c r="D8" s="116">
        <f>'[5]Data Sheet'!D26</f>
        <v>3279.9</v>
      </c>
      <c r="E8" s="116">
        <f>'[5]Data Sheet'!E26</f>
        <v>3990.77</v>
      </c>
      <c r="F8" s="116">
        <f>'[5]Data Sheet'!F26</f>
        <v>3366.68</v>
      </c>
      <c r="G8" s="116">
        <f>'[5]Data Sheet'!G26</f>
        <v>3378.11</v>
      </c>
      <c r="H8" s="116">
        <f>'[5]Data Sheet'!H26</f>
        <v>3507.5</v>
      </c>
      <c r="I8" s="116">
        <f>'[5]Data Sheet'!I26</f>
        <v>4356.8100000000004</v>
      </c>
      <c r="J8" s="116">
        <f>'[5]Data Sheet'!J26</f>
        <v>4723.78</v>
      </c>
      <c r="K8" s="116">
        <f>'[5]Data Sheet'!K26</f>
        <v>6073.65</v>
      </c>
      <c r="L8" s="116">
        <f>SUM([5]Quarters!H8:K8)</f>
        <v>0</v>
      </c>
      <c r="M8" s="116">
        <f>+$L8</f>
        <v>0</v>
      </c>
      <c r="N8" s="116">
        <f>+$L8</f>
        <v>0</v>
      </c>
    </row>
    <row r="9" spans="1:14" x14ac:dyDescent="0.25">
      <c r="A9" s="106" t="s">
        <v>75</v>
      </c>
      <c r="B9" s="116">
        <f>'[5]Data Sheet'!B27</f>
        <v>3367.59</v>
      </c>
      <c r="C9" s="116">
        <f>'[5]Data Sheet'!C27</f>
        <v>3648.46</v>
      </c>
      <c r="D9" s="116">
        <f>'[5]Data Sheet'!D27</f>
        <v>3987.09</v>
      </c>
      <c r="E9" s="116">
        <f>'[5]Data Sheet'!E27</f>
        <v>5021.3500000000004</v>
      </c>
      <c r="F9" s="116">
        <f>'[5]Data Sheet'!F27</f>
        <v>6021.15</v>
      </c>
      <c r="G9" s="116">
        <f>'[5]Data Sheet'!G27</f>
        <v>6102.22</v>
      </c>
      <c r="H9" s="116">
        <f>'[5]Data Sheet'!H27</f>
        <v>5018.05</v>
      </c>
      <c r="I9" s="116">
        <f>'[5]Data Sheet'!I27</f>
        <v>5829.7</v>
      </c>
      <c r="J9" s="116">
        <f>'[5]Data Sheet'!J27</f>
        <v>7488.21</v>
      </c>
      <c r="K9" s="116">
        <f>'[5]Data Sheet'!K27</f>
        <v>9083.39</v>
      </c>
      <c r="L9" s="116">
        <f>SUM([5]Quarters!H9:K9)</f>
        <v>0</v>
      </c>
      <c r="M9" s="116">
        <f>+$L9</f>
        <v>0</v>
      </c>
      <c r="N9" s="116">
        <f>+$L9</f>
        <v>0</v>
      </c>
    </row>
    <row r="10" spans="1:14" x14ac:dyDescent="0.25">
      <c r="A10" s="106" t="s">
        <v>74</v>
      </c>
      <c r="B10" s="116">
        <f>'[5]Data Sheet'!B28</f>
        <v>5672.03</v>
      </c>
      <c r="C10" s="116">
        <f>'[5]Data Sheet'!C28</f>
        <v>6350.26</v>
      </c>
      <c r="D10" s="116">
        <f>'[5]Data Sheet'!D28</f>
        <v>10325.52</v>
      </c>
      <c r="E10" s="116">
        <f>'[5]Data Sheet'!E28</f>
        <v>8870.84</v>
      </c>
      <c r="F10" s="116">
        <f>'[5]Data Sheet'!F28</f>
        <v>1654.61</v>
      </c>
      <c r="G10" s="116">
        <f>'[5]Data Sheet'!G28</f>
        <v>3158.2</v>
      </c>
      <c r="H10" s="116">
        <f>'[5]Data Sheet'!H28</f>
        <v>9361.77</v>
      </c>
      <c r="I10" s="116">
        <f>'[5]Data Sheet'!I28</f>
        <v>14060.23</v>
      </c>
      <c r="J10" s="116">
        <f>'[5]Data Sheet'!J28</f>
        <v>15977.79</v>
      </c>
      <c r="K10" s="116">
        <f>'[5]Data Sheet'!K28</f>
        <v>19079.62</v>
      </c>
      <c r="L10" s="116">
        <f>SUM([5]Quarters!H10:K10)</f>
        <v>0</v>
      </c>
      <c r="M10" s="116">
        <f>M6+M7-SUM(M8:M9)</f>
        <v>34717.870509436238</v>
      </c>
      <c r="N10" s="116">
        <f>N6+N7-SUM(N8:N9)</f>
        <v>0</v>
      </c>
    </row>
    <row r="11" spans="1:14" x14ac:dyDescent="0.25">
      <c r="A11" s="106" t="s">
        <v>73</v>
      </c>
      <c r="B11" s="116">
        <f>'[5]Data Sheet'!B29</f>
        <v>2117.5300000000002</v>
      </c>
      <c r="C11" s="116">
        <f>'[5]Data Sheet'!C29</f>
        <v>2299.73</v>
      </c>
      <c r="D11" s="116">
        <f>'[5]Data Sheet'!D29</f>
        <v>2367.73</v>
      </c>
      <c r="E11" s="116">
        <f>'[5]Data Sheet'!E29</f>
        <v>2853.99</v>
      </c>
      <c r="F11" s="116">
        <f>'[5]Data Sheet'!F29</f>
        <v>1975.61</v>
      </c>
      <c r="G11" s="116">
        <f>'[5]Data Sheet'!G29</f>
        <v>1645.81</v>
      </c>
      <c r="H11" s="116">
        <f>'[5]Data Sheet'!H29</f>
        <v>2108.7600000000002</v>
      </c>
      <c r="I11" s="116">
        <f>'[5]Data Sheet'!I29</f>
        <v>2685.75</v>
      </c>
      <c r="J11" s="116">
        <f>'[5]Data Sheet'!J29</f>
        <v>3707.97</v>
      </c>
      <c r="K11" s="116">
        <f>'[5]Data Sheet'!K29</f>
        <v>5006.45</v>
      </c>
      <c r="L11" s="116">
        <f>SUM([5]Quarters!H11:K11)</f>
        <v>0</v>
      </c>
      <c r="M11" s="122">
        <f>IF($L10&gt;0,$L11/$L10,0)</f>
        <v>0</v>
      </c>
      <c r="N11" s="122">
        <f>IF($L10&gt;0,$L11/$L10,0)</f>
        <v>0</v>
      </c>
    </row>
    <row r="12" spans="1:14" s="107" customFormat="1" x14ac:dyDescent="0.25">
      <c r="A12" s="107" t="s">
        <v>72</v>
      </c>
      <c r="B12" s="115">
        <f>'[5]Data Sheet'!B30</f>
        <v>3148.43</v>
      </c>
      <c r="C12" s="115">
        <f>'[5]Data Sheet'!C30</f>
        <v>3698.04</v>
      </c>
      <c r="D12" s="115">
        <f>'[5]Data Sheet'!D30</f>
        <v>7510.39</v>
      </c>
      <c r="E12" s="115">
        <f>'[5]Data Sheet'!E30</f>
        <v>5315.46</v>
      </c>
      <c r="F12" s="115">
        <f>'[5]Data Sheet'!F30</f>
        <v>127.04</v>
      </c>
      <c r="G12" s="115">
        <f>'[5]Data Sheet'!G30</f>
        <v>1812.49</v>
      </c>
      <c r="H12" s="115">
        <f>'[5]Data Sheet'!H30</f>
        <v>6577.32</v>
      </c>
      <c r="I12" s="115">
        <f>'[5]Data Sheet'!I30</f>
        <v>10281.5</v>
      </c>
      <c r="J12" s="115">
        <f>'[5]Data Sheet'!J30</f>
        <v>11268.64</v>
      </c>
      <c r="K12" s="115">
        <f>'[5]Data Sheet'!K30</f>
        <v>12929.1</v>
      </c>
      <c r="L12" s="115">
        <f>SUM([5]Quarters!H12:K12)</f>
        <v>0</v>
      </c>
      <c r="M12" s="115">
        <f>M10-M11*M10</f>
        <v>34717.870509436238</v>
      </c>
      <c r="N12" s="115">
        <f>N10-N11*N10</f>
        <v>0</v>
      </c>
    </row>
    <row r="13" spans="1:14" x14ac:dyDescent="0.25">
      <c r="A13" s="106" t="s">
        <v>43</v>
      </c>
      <c r="B13" s="116">
        <f>IF('[5]Data Sheet'!B93&gt;0,B12/'[5]Data Sheet'!B93,0)</f>
        <v>25.345596522299147</v>
      </c>
      <c r="C13" s="116">
        <f>IF('[5]Data Sheet'!C93&gt;0,C12/'[5]Data Sheet'!C93,0)</f>
        <v>29.770085332474643</v>
      </c>
      <c r="D13" s="116">
        <f>IF('[5]Data Sheet'!D93&gt;0,D12/'[5]Data Sheet'!D93,0)</f>
        <v>60.411759974259979</v>
      </c>
      <c r="E13" s="116">
        <f>IF('[5]Data Sheet'!E93&gt;0,E12/'[5]Data Sheet'!E93,0)</f>
        <v>42.756274131274132</v>
      </c>
      <c r="F13" s="116">
        <f>IF('[5]Data Sheet'!F93&gt;0,F12/'[5]Data Sheet'!F93,0)</f>
        <v>1.0218790218790219</v>
      </c>
      <c r="G13" s="116">
        <f>IF('[5]Data Sheet'!G93&gt;0,G12/'[5]Data Sheet'!G93,0)</f>
        <v>14.579231016731018</v>
      </c>
      <c r="H13" s="116">
        <f>IF('[5]Data Sheet'!H93&gt;0,H12/'[5]Data Sheet'!H93,0)</f>
        <v>52.906370656370655</v>
      </c>
      <c r="I13" s="116">
        <f>IF('[5]Data Sheet'!I93&gt;0,I12/'[5]Data Sheet'!I93,0)</f>
        <v>82.681946119823081</v>
      </c>
      <c r="J13" s="116">
        <f>IF('[5]Data Sheet'!J93&gt;0,J12/'[5]Data Sheet'!J93,0)</f>
        <v>90.620345798150382</v>
      </c>
      <c r="K13" s="116">
        <f>IF('[5]Data Sheet'!K93&gt;0,K12/'[5]Data Sheet'!K93,0)</f>
        <v>103.97346200241255</v>
      </c>
      <c r="L13" s="116">
        <f>IF('[5]Data Sheet'!$B6&gt;0,'M &amp; M (IS) '!L12/'[5]Data Sheet'!$B6,0)</f>
        <v>0</v>
      </c>
      <c r="M13" s="116">
        <f>IF('[5]Data Sheet'!$B6&gt;0,'M &amp; M (IS) '!M12/'[5]Data Sheet'!$B6,0)</f>
        <v>0</v>
      </c>
      <c r="N13" s="116">
        <f>IF('[5]Data Sheet'!$B6&gt;0,'M &amp; M (IS) '!N12/'[5]Data Sheet'!$B6,0)</f>
        <v>0</v>
      </c>
    </row>
    <row r="14" spans="1:14" x14ac:dyDescent="0.25">
      <c r="A14" s="106" t="s">
        <v>71</v>
      </c>
      <c r="B14" s="116">
        <f t="shared" ref="B14:K14" si="1">IF(B15&gt;0,B15/B13,"")</f>
        <v>23.883833212108893</v>
      </c>
      <c r="C14" s="116">
        <f t="shared" si="1"/>
        <v>21.613979026727673</v>
      </c>
      <c r="D14" s="116">
        <f t="shared" si="1"/>
        <v>12.231062301691388</v>
      </c>
      <c r="E14" s="116">
        <f t="shared" si="1"/>
        <v>15.761429490580307</v>
      </c>
      <c r="F14" s="116">
        <f t="shared" si="1"/>
        <v>278.8490554156171</v>
      </c>
      <c r="G14" s="116">
        <f t="shared" si="1"/>
        <v>54.546772671849219</v>
      </c>
      <c r="H14" s="116">
        <f t="shared" si="1"/>
        <v>15.24485595957016</v>
      </c>
      <c r="I14" s="116">
        <f t="shared" si="1"/>
        <v>14.013942031804698</v>
      </c>
      <c r="J14" s="116">
        <f t="shared" si="1"/>
        <v>21.202192323119736</v>
      </c>
      <c r="K14" s="116">
        <f t="shared" si="1"/>
        <v>25.639234749518529</v>
      </c>
      <c r="L14" s="116">
        <f>IF(L13&gt;0,L15/L13,0)</f>
        <v>0</v>
      </c>
      <c r="M14" s="116">
        <f>M25</f>
        <v>20.285123034814323</v>
      </c>
      <c r="N14" s="116">
        <f>N25</f>
        <v>0</v>
      </c>
    </row>
    <row r="15" spans="1:14" s="107" customFormat="1" x14ac:dyDescent="0.25">
      <c r="A15" s="107" t="s">
        <v>30</v>
      </c>
      <c r="B15" s="115">
        <f>'[5]Data Sheet'!B90</f>
        <v>605.35</v>
      </c>
      <c r="C15" s="115">
        <f>'[5]Data Sheet'!C90</f>
        <v>643.45000000000005</v>
      </c>
      <c r="D15" s="115">
        <f>'[5]Data Sheet'!D90</f>
        <v>738.9</v>
      </c>
      <c r="E15" s="115">
        <f>'[5]Data Sheet'!E90</f>
        <v>673.9</v>
      </c>
      <c r="F15" s="115">
        <f>'[5]Data Sheet'!F90</f>
        <v>284.95</v>
      </c>
      <c r="G15" s="115">
        <f>'[5]Data Sheet'!G90</f>
        <v>795.25</v>
      </c>
      <c r="H15" s="115">
        <f>'[5]Data Sheet'!H90</f>
        <v>806.55</v>
      </c>
      <c r="I15" s="115">
        <f>'[5]Data Sheet'!I90</f>
        <v>1158.7</v>
      </c>
      <c r="J15" s="115">
        <f>'[5]Data Sheet'!J90</f>
        <v>1921.35</v>
      </c>
      <c r="K15" s="115">
        <f>'[5]Data Sheet'!K90</f>
        <v>2665.8</v>
      </c>
      <c r="L15" s="115">
        <f>'[5]Data Sheet'!B8</f>
        <v>3203.3</v>
      </c>
      <c r="M15" s="85">
        <f>M13*M14</f>
        <v>0</v>
      </c>
      <c r="N15" s="84">
        <f>N13*N14</f>
        <v>0</v>
      </c>
    </row>
    <row r="17" spans="1:14" s="107" customFormat="1" x14ac:dyDescent="0.25">
      <c r="A17" s="107" t="s">
        <v>70</v>
      </c>
    </row>
    <row r="18" spans="1:14" x14ac:dyDescent="0.25">
      <c r="A18" s="106" t="s">
        <v>69</v>
      </c>
      <c r="B18" s="120">
        <f>IF('[5]Data Sheet'!B30&gt;0, '[5]Data Sheet'!B31/'[5]Data Sheet'!B30, 0)</f>
        <v>0.20612178133228309</v>
      </c>
      <c r="C18" s="120">
        <f>IF('[5]Data Sheet'!C30&gt;0, '[5]Data Sheet'!C31/'[5]Data Sheet'!C30, 0)</f>
        <v>0.2183399855058355</v>
      </c>
      <c r="D18" s="120">
        <f>IF('[5]Data Sheet'!D30&gt;0, '[5]Data Sheet'!D31/'[5]Data Sheet'!D30, 0)</f>
        <v>0.10847639070674094</v>
      </c>
      <c r="E18" s="120">
        <f>IF('[5]Data Sheet'!E30&gt;0, '[5]Data Sheet'!E31/'[5]Data Sheet'!E30, 0)</f>
        <v>0.17396989159922188</v>
      </c>
      <c r="F18" s="120">
        <f>IF('[5]Data Sheet'!F30&gt;0, '[5]Data Sheet'!F31/'[5]Data Sheet'!F30, 0)</f>
        <v>2.0506139798488663</v>
      </c>
      <c r="G18" s="120">
        <f>IF('[5]Data Sheet'!G30&gt;0, '[5]Data Sheet'!G31/'[5]Data Sheet'!G30, 0)</f>
        <v>0.53600847452951461</v>
      </c>
      <c r="H18" s="120">
        <f>IF('[5]Data Sheet'!H30&gt;0, '[5]Data Sheet'!H31/'[5]Data Sheet'!H30, 0)</f>
        <v>0.1952923075051845</v>
      </c>
      <c r="I18" s="120">
        <f>IF('[5]Data Sheet'!I30&gt;0, '[5]Data Sheet'!I31/'[5]Data Sheet'!I30, 0)</f>
        <v>0.17601128240042796</v>
      </c>
      <c r="J18" s="120">
        <f>IF('[5]Data Sheet'!J30&gt;0, '[5]Data Sheet'!J31/'[5]Data Sheet'!J30, 0)</f>
        <v>0.2087332632864303</v>
      </c>
      <c r="K18" s="120">
        <f>IF('[5]Data Sheet'!K30&gt;0, '[5]Data Sheet'!K31/'[5]Data Sheet'!K30, 0)</f>
        <v>0.21844057204291092</v>
      </c>
    </row>
    <row r="19" spans="1:14" x14ac:dyDescent="0.25">
      <c r="A19" s="106" t="s">
        <v>59</v>
      </c>
      <c r="B19" s="120">
        <f t="shared" ref="B19:L19" si="2">IF(B6&gt;0,B6/B4,0)</f>
        <v>0.1329410762614939</v>
      </c>
      <c r="C19" s="120">
        <f t="shared" si="2"/>
        <v>0.12814180694149255</v>
      </c>
      <c r="D19" s="120">
        <f t="shared" si="2"/>
        <v>0.143615297204648</v>
      </c>
      <c r="E19" s="120">
        <f t="shared" si="2"/>
        <v>0.14521019153045986</v>
      </c>
      <c r="F19" s="120">
        <f t="shared" si="2"/>
        <v>0.13475046340681363</v>
      </c>
      <c r="G19" s="120">
        <f t="shared" si="2"/>
        <v>0.15464947929246142</v>
      </c>
      <c r="H19" s="120">
        <f t="shared" si="2"/>
        <v>0.16283417083866741</v>
      </c>
      <c r="I19" s="120">
        <f t="shared" si="2"/>
        <v>0.16727576935652336</v>
      </c>
      <c r="J19" s="120">
        <f t="shared" si="2"/>
        <v>0.17897785182401243</v>
      </c>
      <c r="K19" s="120">
        <f t="shared" si="2"/>
        <v>0.19168414558759261</v>
      </c>
      <c r="L19" s="120">
        <f t="shared" si="2"/>
        <v>0</v>
      </c>
    </row>
    <row r="20" spans="1:14" x14ac:dyDescent="0.25"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 spans="1:14" x14ac:dyDescent="0.25"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</row>
    <row r="22" spans="1:14" s="107" customFormat="1" x14ac:dyDescent="0.25">
      <c r="A22" s="113"/>
      <c r="B22" s="112"/>
      <c r="C22" s="112"/>
      <c r="D22" s="112"/>
      <c r="E22" s="112"/>
      <c r="F22" s="112"/>
      <c r="G22" s="112" t="s">
        <v>68</v>
      </c>
      <c r="H22" s="112" t="s">
        <v>67</v>
      </c>
      <c r="I22" s="112" t="s">
        <v>66</v>
      </c>
      <c r="J22" s="112" t="s">
        <v>65</v>
      </c>
      <c r="K22" s="112" t="s">
        <v>64</v>
      </c>
      <c r="L22" s="121" t="s">
        <v>63</v>
      </c>
      <c r="M22" s="121" t="s">
        <v>62</v>
      </c>
      <c r="N22" s="121" t="s">
        <v>61</v>
      </c>
    </row>
    <row r="23" spans="1:14" s="107" customFormat="1" x14ac:dyDescent="0.25">
      <c r="A23" s="106"/>
      <c r="B23" s="106"/>
      <c r="C23" s="106"/>
      <c r="D23" s="106"/>
      <c r="E23" s="106"/>
      <c r="F23" s="106"/>
      <c r="G23" s="106" t="s">
        <v>60</v>
      </c>
      <c r="H23" s="120">
        <f>IF(B4=0,"",POWER($K4/B4,1/9)-1)</f>
        <v>8.588822750317493E-2</v>
      </c>
      <c r="I23" s="120">
        <f>IF(D4=0,"",POWER($K4/D4,1/7)-1)</f>
        <v>8.1341991942898151E-2</v>
      </c>
      <c r="J23" s="120">
        <f>IF(F4=0,"",POWER($K4/F4,1/5)-1)</f>
        <v>0.16129101353708974</v>
      </c>
      <c r="K23" s="120">
        <f>IF(H4=0,"",POWER($K4/H4, 1/3)-1)</f>
        <v>0.20865565417067744</v>
      </c>
      <c r="L23" s="120">
        <f>IF(ISERROR(MAX(IF(J4=0,"",(K4-J4)/J4),IF(K4=0,"",(L4-K4)/K4))),"",MAX(IF(J4=0,"",(K4-J4)/J4),IF(K4=0,"",(L4-K4)/K4)))</f>
        <v>0.14475697749188293</v>
      </c>
      <c r="M23" s="119">
        <f>MAX(K23:L23)</f>
        <v>0.20865565417067744</v>
      </c>
      <c r="N23" s="119">
        <f>MIN(H23:L23)</f>
        <v>8.1341991942898151E-2</v>
      </c>
    </row>
    <row r="24" spans="1:14" x14ac:dyDescent="0.25">
      <c r="G24" s="106" t="s">
        <v>59</v>
      </c>
      <c r="H24" s="120">
        <f>IF(SUM(B4:$K$4)=0,"",SUMPRODUCT(B19:$K$19,B4:$K$4)/SUM(B4:$K$4))</f>
        <v>0.15876177187895513</v>
      </c>
      <c r="I24" s="120">
        <f>IF(SUM(E4:$K$4)=0,"",SUMPRODUCT(E19:$K$19,E4:$K$4)/SUM(E4:$K$4))</f>
        <v>0.16650714309458112</v>
      </c>
      <c r="J24" s="120">
        <f>IF(SUM(G4:$K$4)=0,"",SUMPRODUCT(G19:$K$19,G4:$K$4)/SUM(G4:$K$4))</f>
        <v>0.17442506026350868</v>
      </c>
      <c r="K24" s="120">
        <f>IF(SUM(I4:$K$4)=0, "", SUMPRODUCT(I19:$K$19,I4:$K$4)/SUM(I4:$K$4))</f>
        <v>0.18041718892307626</v>
      </c>
      <c r="L24" s="120">
        <f>L19</f>
        <v>0</v>
      </c>
      <c r="M24" s="119">
        <f>MAX(K24:L24)</f>
        <v>0.18041718892307626</v>
      </c>
      <c r="N24" s="119">
        <f>MIN(H24:L24)</f>
        <v>0</v>
      </c>
    </row>
    <row r="25" spans="1:14" x14ac:dyDescent="0.25">
      <c r="G25" s="106" t="s">
        <v>58</v>
      </c>
      <c r="H25" s="116">
        <f>IF(ISERROR(AVERAGEIF(B14:$L14,"&gt;0")),"",AVERAGEIF(B14:$L14,"&gt;0"))</f>
        <v>48.298635718258772</v>
      </c>
      <c r="I25" s="116">
        <f>IF(ISERROR(AVERAGEIF(E14:$L14,"&gt;0")),"",AVERAGEIF(E14:$L14,"&gt;0"))</f>
        <v>60.751068948865679</v>
      </c>
      <c r="J25" s="116">
        <f>IF(ISERROR(AVERAGEIF(G14:$L14,"&gt;0")),"",AVERAGEIF(G14:$L14,"&gt;0"))</f>
        <v>26.129399547172465</v>
      </c>
      <c r="K25" s="116">
        <f>IF(ISERROR(AVERAGEIF(I14:$L14,"&gt;0")),"",AVERAGEIF(I14:$L14,"&gt;0"))</f>
        <v>20.285123034814323</v>
      </c>
      <c r="L25" s="116">
        <f>L14</f>
        <v>0</v>
      </c>
      <c r="M25" s="115">
        <f>MAX(K25:L25)</f>
        <v>20.285123034814323</v>
      </c>
      <c r="N25" s="115">
        <f>MIN(H25:L25)</f>
        <v>0</v>
      </c>
    </row>
  </sheetData>
  <hyperlinks>
    <hyperlink ref="M1" r:id="rId1" xr:uid="{5E85DDE2-C4EC-44E0-B134-ADE86C22BDC9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A25F-BC23-4A98-A863-B3B0943E099A}">
  <sheetPr>
    <pageSetUpPr fitToPage="1"/>
  </sheetPr>
  <dimension ref="A1:K24"/>
  <sheetViews>
    <sheetView zoomScale="125" workbookViewId="0">
      <pane xSplit="1" ySplit="3" topLeftCell="B4" activePane="bottomRight" state="frozen"/>
      <selection activeCell="D17" sqref="D17"/>
      <selection pane="topRight" activeCell="D17" sqref="D17"/>
      <selection pane="bottomLeft" activeCell="D17" sqref="D17"/>
      <selection pane="bottomRight" activeCell="D17" sqref="D17"/>
    </sheetView>
  </sheetViews>
  <sheetFormatPr defaultColWidth="8.85546875" defaultRowHeight="15" x14ac:dyDescent="0.25"/>
  <cols>
    <col min="1" max="1" width="22.85546875" style="106" bestFit="1" customWidth="1"/>
    <col min="2" max="2" width="13.42578125" style="106" customWidth="1"/>
    <col min="3" max="11" width="15.42578125" style="106" customWidth="1"/>
    <col min="12" max="16384" width="8.85546875" style="106"/>
  </cols>
  <sheetData>
    <row r="1" spans="1:11" s="107" customFormat="1" x14ac:dyDescent="0.25">
      <c r="A1" s="107">
        <f>'[5]Profit &amp; Loss'!A1</f>
        <v>0</v>
      </c>
      <c r="E1" s="106">
        <f>UPDATE</f>
        <v>0</v>
      </c>
      <c r="G1" s="106"/>
      <c r="J1" s="107" t="s">
        <v>85</v>
      </c>
    </row>
    <row r="2" spans="1:11" x14ac:dyDescent="0.25">
      <c r="G2" s="107"/>
      <c r="H2" s="107"/>
    </row>
    <row r="3" spans="1:11" x14ac:dyDescent="0.25">
      <c r="A3" s="113" t="s">
        <v>84</v>
      </c>
      <c r="B3" s="112">
        <f>'[5]Data Sheet'!B56</f>
        <v>42460</v>
      </c>
      <c r="C3" s="112">
        <f>'[5]Data Sheet'!C56</f>
        <v>42825</v>
      </c>
      <c r="D3" s="112">
        <f>'[5]Data Sheet'!D56</f>
        <v>43190</v>
      </c>
      <c r="E3" s="112">
        <f>'[5]Data Sheet'!E56</f>
        <v>43555</v>
      </c>
      <c r="F3" s="112">
        <f>'[5]Data Sheet'!F56</f>
        <v>43921</v>
      </c>
      <c r="G3" s="112">
        <f>'[5]Data Sheet'!G56</f>
        <v>44286</v>
      </c>
      <c r="H3" s="112">
        <f>'[5]Data Sheet'!H56</f>
        <v>44651</v>
      </c>
      <c r="I3" s="112">
        <f>'[5]Data Sheet'!I56</f>
        <v>45016</v>
      </c>
      <c r="J3" s="112">
        <f>'[5]Data Sheet'!J56</f>
        <v>45382</v>
      </c>
      <c r="K3" s="112">
        <f>'[5]Data Sheet'!K56</f>
        <v>45747</v>
      </c>
    </row>
    <row r="4" spans="1:11" x14ac:dyDescent="0.25">
      <c r="A4" s="106" t="s">
        <v>101</v>
      </c>
      <c r="B4" s="110">
        <f>'[5]Data Sheet'!B57</f>
        <v>270.39999999999998</v>
      </c>
      <c r="C4" s="110">
        <f>'[5]Data Sheet'!C57</f>
        <v>310.55</v>
      </c>
      <c r="D4" s="110">
        <f>'[5]Data Sheet'!D57</f>
        <v>543.13</v>
      </c>
      <c r="E4" s="110">
        <f>'[5]Data Sheet'!E57</f>
        <v>543.96</v>
      </c>
      <c r="F4" s="110">
        <f>'[5]Data Sheet'!F57</f>
        <v>554.28</v>
      </c>
      <c r="G4" s="110">
        <f>'[5]Data Sheet'!G57</f>
        <v>555.15</v>
      </c>
      <c r="H4" s="110">
        <f>'[5]Data Sheet'!H57</f>
        <v>556.05999999999995</v>
      </c>
      <c r="I4" s="110">
        <f>'[5]Data Sheet'!I57</f>
        <v>556.82000000000005</v>
      </c>
      <c r="J4" s="110">
        <f>'[5]Data Sheet'!J57</f>
        <v>557.38</v>
      </c>
      <c r="K4" s="110">
        <f>'[5]Data Sheet'!K57</f>
        <v>558.15</v>
      </c>
    </row>
    <row r="5" spans="1:11" x14ac:dyDescent="0.25">
      <c r="A5" s="106" t="s">
        <v>100</v>
      </c>
      <c r="B5" s="110">
        <f>'[5]Data Sheet'!B58</f>
        <v>26222.25</v>
      </c>
      <c r="C5" s="110">
        <f>'[5]Data Sheet'!C58</f>
        <v>29467.1</v>
      </c>
      <c r="D5" s="110">
        <f>'[5]Data Sheet'!D58</f>
        <v>36232.06</v>
      </c>
      <c r="E5" s="110">
        <f>'[5]Data Sheet'!E58</f>
        <v>39439.449999999997</v>
      </c>
      <c r="F5" s="110">
        <f>'[5]Data Sheet'!F58</f>
        <v>39415.03</v>
      </c>
      <c r="G5" s="110">
        <f>'[5]Data Sheet'!G58</f>
        <v>41026.769999999997</v>
      </c>
      <c r="H5" s="110">
        <f>'[5]Data Sheet'!H58</f>
        <v>46566.58</v>
      </c>
      <c r="I5" s="110">
        <f>'[5]Data Sheet'!I58</f>
        <v>55808.97</v>
      </c>
      <c r="J5" s="110">
        <f>'[5]Data Sheet'!J58</f>
        <v>65633.17</v>
      </c>
      <c r="K5" s="110">
        <f>'[5]Data Sheet'!K58</f>
        <v>76480.710000000006</v>
      </c>
    </row>
    <row r="6" spans="1:11" x14ac:dyDescent="0.25">
      <c r="A6" s="106" t="s">
        <v>99</v>
      </c>
      <c r="B6" s="110">
        <f>'[5]Data Sheet'!B59</f>
        <v>41552.93</v>
      </c>
      <c r="C6" s="110">
        <f>'[5]Data Sheet'!C59</f>
        <v>48761.91</v>
      </c>
      <c r="D6" s="110">
        <f>'[5]Data Sheet'!D59</f>
        <v>55897.919999999998</v>
      </c>
      <c r="E6" s="110">
        <f>'[5]Data Sheet'!E59</f>
        <v>70848.3</v>
      </c>
      <c r="F6" s="110">
        <f>'[5]Data Sheet'!F59</f>
        <v>82092.28</v>
      </c>
      <c r="G6" s="110">
        <f>'[5]Data Sheet'!G59</f>
        <v>80624.83</v>
      </c>
      <c r="H6" s="110">
        <f>'[5]Data Sheet'!H59</f>
        <v>77605.210000000006</v>
      </c>
      <c r="I6" s="110">
        <f>'[5]Data Sheet'!I59</f>
        <v>92246.85</v>
      </c>
      <c r="J6" s="110">
        <f>'[5]Data Sheet'!J59</f>
        <v>108647.25</v>
      </c>
      <c r="K6" s="110">
        <f>'[5]Data Sheet'!K59</f>
        <v>124949.31</v>
      </c>
    </row>
    <row r="7" spans="1:11" x14ac:dyDescent="0.25">
      <c r="A7" s="106" t="s">
        <v>98</v>
      </c>
      <c r="B7" s="110">
        <f>'[5]Data Sheet'!B60</f>
        <v>31806.240000000002</v>
      </c>
      <c r="C7" s="110">
        <f>'[5]Data Sheet'!C60</f>
        <v>35295.919999999998</v>
      </c>
      <c r="D7" s="110">
        <f>'[5]Data Sheet'!D60</f>
        <v>43696.2</v>
      </c>
      <c r="E7" s="110">
        <f>'[5]Data Sheet'!E60</f>
        <v>51056.95</v>
      </c>
      <c r="F7" s="110">
        <f>'[5]Data Sheet'!F60</f>
        <v>43654.54</v>
      </c>
      <c r="G7" s="110">
        <f>'[5]Data Sheet'!G60</f>
        <v>42761.58</v>
      </c>
      <c r="H7" s="110">
        <f>'[5]Data Sheet'!H60</f>
        <v>47660.639999999999</v>
      </c>
      <c r="I7" s="110">
        <f>'[5]Data Sheet'!I60</f>
        <v>55670.49</v>
      </c>
      <c r="J7" s="110">
        <f>'[5]Data Sheet'!J60</f>
        <v>59883.94</v>
      </c>
      <c r="K7" s="110">
        <f>'[5]Data Sheet'!K60</f>
        <v>75598.100000000006</v>
      </c>
    </row>
    <row r="8" spans="1:11" s="107" customFormat="1" x14ac:dyDescent="0.25">
      <c r="A8" s="107" t="s">
        <v>93</v>
      </c>
      <c r="B8" s="111">
        <f>'[5]Data Sheet'!B61</f>
        <v>99851.82</v>
      </c>
      <c r="C8" s="111">
        <f>'[5]Data Sheet'!C61</f>
        <v>113835.48</v>
      </c>
      <c r="D8" s="111">
        <f>'[5]Data Sheet'!D61</f>
        <v>136369.31</v>
      </c>
      <c r="E8" s="111">
        <f>'[5]Data Sheet'!E61</f>
        <v>161888.66</v>
      </c>
      <c r="F8" s="111">
        <f>'[5]Data Sheet'!F61</f>
        <v>165716.13</v>
      </c>
      <c r="G8" s="111">
        <f>'[5]Data Sheet'!G61</f>
        <v>164968.32999999999</v>
      </c>
      <c r="H8" s="111">
        <f>'[5]Data Sheet'!H61</f>
        <v>172388.49</v>
      </c>
      <c r="I8" s="111">
        <f>'[5]Data Sheet'!I61</f>
        <v>204283.13</v>
      </c>
      <c r="J8" s="111">
        <f>'[5]Data Sheet'!J61</f>
        <v>234721.74</v>
      </c>
      <c r="K8" s="111">
        <f>'[5]Data Sheet'!K61</f>
        <v>277586.27</v>
      </c>
    </row>
    <row r="9" spans="1:11" s="107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s="106" t="s">
        <v>97</v>
      </c>
      <c r="B10" s="110">
        <f>'[5]Data Sheet'!B62</f>
        <v>20584.71</v>
      </c>
      <c r="C10" s="110">
        <f>'[5]Data Sheet'!C62</f>
        <v>20989.01</v>
      </c>
      <c r="D10" s="110">
        <f>'[5]Data Sheet'!D62</f>
        <v>26181.9</v>
      </c>
      <c r="E10" s="110">
        <f>'[5]Data Sheet'!E62</f>
        <v>28982.74</v>
      </c>
      <c r="F10" s="110">
        <f>'[5]Data Sheet'!F62</f>
        <v>29689.27</v>
      </c>
      <c r="G10" s="110">
        <f>'[5]Data Sheet'!G62</f>
        <v>21379.68</v>
      </c>
      <c r="H10" s="110">
        <f>'[5]Data Sheet'!H62</f>
        <v>26018.49</v>
      </c>
      <c r="I10" s="110">
        <f>'[5]Data Sheet'!I62</f>
        <v>27139.98</v>
      </c>
      <c r="J10" s="110">
        <f>'[5]Data Sheet'!J62</f>
        <v>28129.41</v>
      </c>
      <c r="K10" s="110">
        <f>'[5]Data Sheet'!K62</f>
        <v>39281.440000000002</v>
      </c>
    </row>
    <row r="11" spans="1:11" x14ac:dyDescent="0.25">
      <c r="A11" s="106" t="s">
        <v>96</v>
      </c>
      <c r="B11" s="110">
        <f>'[5]Data Sheet'!B63</f>
        <v>2371.35</v>
      </c>
      <c r="C11" s="110">
        <f>'[5]Data Sheet'!C63</f>
        <v>4278.9399999999996</v>
      </c>
      <c r="D11" s="110">
        <f>'[5]Data Sheet'!D63</f>
        <v>4269.47</v>
      </c>
      <c r="E11" s="110">
        <f>'[5]Data Sheet'!E63</f>
        <v>4759.84</v>
      </c>
      <c r="F11" s="110">
        <f>'[5]Data Sheet'!F63</f>
        <v>6856.48</v>
      </c>
      <c r="G11" s="110">
        <f>'[5]Data Sheet'!G63</f>
        <v>7872.61</v>
      </c>
      <c r="H11" s="110">
        <f>'[5]Data Sheet'!H63</f>
        <v>6702.81</v>
      </c>
      <c r="I11" s="110">
        <f>'[5]Data Sheet'!I63</f>
        <v>3968.58</v>
      </c>
      <c r="J11" s="110">
        <f>'[5]Data Sheet'!J63</f>
        <v>8039.3</v>
      </c>
      <c r="K11" s="110">
        <f>'[5]Data Sheet'!K63</f>
        <v>3652.56</v>
      </c>
    </row>
    <row r="12" spans="1:11" x14ac:dyDescent="0.25">
      <c r="A12" s="106" t="s">
        <v>95</v>
      </c>
      <c r="B12" s="110">
        <f>'[5]Data Sheet'!B64</f>
        <v>11602.58</v>
      </c>
      <c r="C12" s="110">
        <f>'[5]Data Sheet'!C64</f>
        <v>14662.44</v>
      </c>
      <c r="D12" s="110">
        <f>'[5]Data Sheet'!D64</f>
        <v>16017.61</v>
      </c>
      <c r="E12" s="110">
        <f>'[5]Data Sheet'!E64</f>
        <v>18268.099999999999</v>
      </c>
      <c r="F12" s="110">
        <f>'[5]Data Sheet'!F64</f>
        <v>19210.34</v>
      </c>
      <c r="G12" s="110">
        <f>'[5]Data Sheet'!G64</f>
        <v>28777.66</v>
      </c>
      <c r="H12" s="110">
        <f>'[5]Data Sheet'!H64</f>
        <v>30060.43</v>
      </c>
      <c r="I12" s="110">
        <f>'[5]Data Sheet'!I64</f>
        <v>35272.42</v>
      </c>
      <c r="J12" s="110">
        <f>'[5]Data Sheet'!J64</f>
        <v>35208.1</v>
      </c>
      <c r="K12" s="110">
        <f>'[5]Data Sheet'!K64</f>
        <v>41308.57</v>
      </c>
    </row>
    <row r="13" spans="1:11" x14ac:dyDescent="0.25">
      <c r="A13" s="106" t="s">
        <v>94</v>
      </c>
      <c r="B13" s="110">
        <f>'[5]Data Sheet'!B65</f>
        <v>65293.18</v>
      </c>
      <c r="C13" s="110">
        <f>'[5]Data Sheet'!C65</f>
        <v>73905.09</v>
      </c>
      <c r="D13" s="110">
        <f>'[5]Data Sheet'!D65</f>
        <v>89900.33</v>
      </c>
      <c r="E13" s="110">
        <f>'[5]Data Sheet'!E65</f>
        <v>109877.98</v>
      </c>
      <c r="F13" s="110">
        <f>'[5]Data Sheet'!F65</f>
        <v>109960.04</v>
      </c>
      <c r="G13" s="110">
        <f>'[5]Data Sheet'!G65</f>
        <v>106938.38</v>
      </c>
      <c r="H13" s="110">
        <f>'[5]Data Sheet'!H65</f>
        <v>109606.76</v>
      </c>
      <c r="I13" s="110">
        <f>'[5]Data Sheet'!I65</f>
        <v>137902.15</v>
      </c>
      <c r="J13" s="110">
        <f>'[5]Data Sheet'!J65</f>
        <v>163344.93</v>
      </c>
      <c r="K13" s="110">
        <f>'[5]Data Sheet'!K65</f>
        <v>193343.7</v>
      </c>
    </row>
    <row r="14" spans="1:11" s="107" customFormat="1" x14ac:dyDescent="0.25">
      <c r="A14" s="107" t="s">
        <v>93</v>
      </c>
      <c r="B14" s="110">
        <f>'[5]Data Sheet'!B66</f>
        <v>99851.82</v>
      </c>
      <c r="C14" s="110">
        <f>'[5]Data Sheet'!C66</f>
        <v>113835.48</v>
      </c>
      <c r="D14" s="110">
        <f>'[5]Data Sheet'!D66</f>
        <v>136369.31</v>
      </c>
      <c r="E14" s="110">
        <f>'[5]Data Sheet'!E66</f>
        <v>161888.66</v>
      </c>
      <c r="F14" s="110">
        <f>'[5]Data Sheet'!F66</f>
        <v>165716.13</v>
      </c>
      <c r="G14" s="110">
        <f>'[5]Data Sheet'!G66</f>
        <v>164968.32999999999</v>
      </c>
      <c r="H14" s="110">
        <f>'[5]Data Sheet'!H66</f>
        <v>172388.49</v>
      </c>
      <c r="I14" s="110">
        <f>'[5]Data Sheet'!I66</f>
        <v>204283.13</v>
      </c>
      <c r="J14" s="110">
        <f>'[5]Data Sheet'!J66</f>
        <v>234721.74</v>
      </c>
      <c r="K14" s="110">
        <f>'[5]Data Sheet'!K66</f>
        <v>277586.27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s="106" t="s">
        <v>92</v>
      </c>
      <c r="B16" s="109">
        <f t="shared" ref="B16:K16" si="0">B13-B7</f>
        <v>33486.94</v>
      </c>
      <c r="C16" s="109">
        <f t="shared" si="0"/>
        <v>38609.17</v>
      </c>
      <c r="D16" s="109">
        <f t="shared" si="0"/>
        <v>46204.130000000005</v>
      </c>
      <c r="E16" s="109">
        <f t="shared" si="0"/>
        <v>58821.03</v>
      </c>
      <c r="F16" s="109">
        <f t="shared" si="0"/>
        <v>66305.5</v>
      </c>
      <c r="G16" s="109">
        <f t="shared" si="0"/>
        <v>64176.800000000003</v>
      </c>
      <c r="H16" s="109">
        <f t="shared" si="0"/>
        <v>61946.119999999995</v>
      </c>
      <c r="I16" s="109">
        <f t="shared" si="0"/>
        <v>82231.66</v>
      </c>
      <c r="J16" s="109">
        <f t="shared" si="0"/>
        <v>103460.98999999999</v>
      </c>
      <c r="K16" s="109">
        <f t="shared" si="0"/>
        <v>117745.60000000001</v>
      </c>
    </row>
    <row r="17" spans="1:11" x14ac:dyDescent="0.25">
      <c r="A17" s="106" t="s">
        <v>91</v>
      </c>
      <c r="B17" s="109">
        <f>'[5]Data Sheet'!B67</f>
        <v>5817.6</v>
      </c>
      <c r="C17" s="109">
        <f>'[5]Data Sheet'!C67</f>
        <v>7199.26</v>
      </c>
      <c r="D17" s="109">
        <f>'[5]Data Sheet'!D67</f>
        <v>8489.82</v>
      </c>
      <c r="E17" s="109">
        <f>'[5]Data Sheet'!E67</f>
        <v>8677.89</v>
      </c>
      <c r="F17" s="109">
        <f>'[5]Data Sheet'!F67</f>
        <v>6928.28</v>
      </c>
      <c r="G17" s="109">
        <f>'[5]Data Sheet'!G67</f>
        <v>6007.76</v>
      </c>
      <c r="H17" s="109">
        <f>'[5]Data Sheet'!H67</f>
        <v>6373.95</v>
      </c>
      <c r="I17" s="109">
        <f>'[5]Data Sheet'!I67</f>
        <v>7028.02</v>
      </c>
      <c r="J17" s="109">
        <f>'[5]Data Sheet'!J67</f>
        <v>7459.4</v>
      </c>
      <c r="K17" s="109">
        <f>'[5]Data Sheet'!K67</f>
        <v>8279.7000000000007</v>
      </c>
    </row>
    <row r="18" spans="1:11" x14ac:dyDescent="0.25">
      <c r="A18" s="106" t="s">
        <v>90</v>
      </c>
      <c r="B18" s="109">
        <f>'[5]Data Sheet'!B68</f>
        <v>9116.1200000000008</v>
      </c>
      <c r="C18" s="109">
        <f>'[5]Data Sheet'!C68</f>
        <v>8886.01</v>
      </c>
      <c r="D18" s="109">
        <f>'[5]Data Sheet'!D68</f>
        <v>9335.57</v>
      </c>
      <c r="E18" s="109">
        <f>'[5]Data Sheet'!E68</f>
        <v>12200.16</v>
      </c>
      <c r="F18" s="109">
        <f>'[5]Data Sheet'!F68</f>
        <v>11111.86</v>
      </c>
      <c r="G18" s="109">
        <f>'[5]Data Sheet'!G68</f>
        <v>9615.41</v>
      </c>
      <c r="H18" s="109">
        <f>'[5]Data Sheet'!H68</f>
        <v>11595.82</v>
      </c>
      <c r="I18" s="109">
        <f>'[5]Data Sheet'!I68</f>
        <v>16854.97</v>
      </c>
      <c r="J18" s="109">
        <f>'[5]Data Sheet'!J68</f>
        <v>18590.47</v>
      </c>
      <c r="K18" s="109">
        <f>'[5]Data Sheet'!K68</f>
        <v>20330.93</v>
      </c>
    </row>
    <row r="20" spans="1:11" x14ac:dyDescent="0.25">
      <c r="A20" s="106" t="s">
        <v>89</v>
      </c>
      <c r="B20" s="109">
        <f>IF('[5]Profit &amp; Loss'!B4&gt;0,'M &amp; M (BS)'!B17/('[5]Profit &amp; Loss'!B4/365),0)</f>
        <v>0</v>
      </c>
      <c r="C20" s="109">
        <f>IF('[5]Profit &amp; Loss'!C4&gt;0,'M &amp; M (BS)'!C17/('[5]Profit &amp; Loss'!C4/365),0)</f>
        <v>0</v>
      </c>
      <c r="D20" s="109">
        <f>IF('[5]Profit &amp; Loss'!D4&gt;0,'M &amp; M (BS)'!D17/('[5]Profit &amp; Loss'!D4/365),0)</f>
        <v>0</v>
      </c>
      <c r="E20" s="109">
        <f>IF('[5]Profit &amp; Loss'!E4&gt;0,'M &amp; M (BS)'!E17/('[5]Profit &amp; Loss'!E4/365),0)</f>
        <v>0</v>
      </c>
      <c r="F20" s="109">
        <f>IF('[5]Profit &amp; Loss'!F4&gt;0,'M &amp; M (BS)'!F17/('[5]Profit &amp; Loss'!F4/365),0)</f>
        <v>0</v>
      </c>
      <c r="G20" s="109">
        <f>IF('[5]Profit &amp; Loss'!G4&gt;0,'M &amp; M (BS)'!G17/('[5]Profit &amp; Loss'!G4/365),0)</f>
        <v>0</v>
      </c>
      <c r="H20" s="109">
        <f>IF('[5]Profit &amp; Loss'!H4&gt;0,'M &amp; M (BS)'!H17/('[5]Profit &amp; Loss'!H4/365),0)</f>
        <v>0</v>
      </c>
      <c r="I20" s="109">
        <f>IF('[5]Profit &amp; Loss'!I4&gt;0,'M &amp; M (BS)'!I17/('[5]Profit &amp; Loss'!I4/365),0)</f>
        <v>0</v>
      </c>
      <c r="J20" s="109">
        <f>IF('[5]Profit &amp; Loss'!J4&gt;0,'M &amp; M (BS)'!J17/('[5]Profit &amp; Loss'!J4/365),0)</f>
        <v>0</v>
      </c>
      <c r="K20" s="109">
        <f>IF('[5]Profit &amp; Loss'!K4&gt;0,'M &amp; M (BS)'!K17/('[5]Profit &amp; Loss'!K4/365),0)</f>
        <v>0</v>
      </c>
    </row>
    <row r="21" spans="1:11" x14ac:dyDescent="0.25">
      <c r="A21" s="106" t="s">
        <v>88</v>
      </c>
      <c r="B21" s="109">
        <f>IF('M &amp; M (BS)'!B18&gt;0,'[5]Profit &amp; Loss'!B4/'M &amp; M (BS)'!B18,0)</f>
        <v>0</v>
      </c>
      <c r="C21" s="109">
        <f>IF('M &amp; M (BS)'!C18&gt;0,'[5]Profit &amp; Loss'!C4/'M &amp; M (BS)'!C18,0)</f>
        <v>0</v>
      </c>
      <c r="D21" s="109">
        <f>IF('M &amp; M (BS)'!D18&gt;0,'[5]Profit &amp; Loss'!D4/'M &amp; M (BS)'!D18,0)</f>
        <v>0</v>
      </c>
      <c r="E21" s="109">
        <f>IF('M &amp; M (BS)'!E18&gt;0,'[5]Profit &amp; Loss'!E4/'M &amp; M (BS)'!E18,0)</f>
        <v>0</v>
      </c>
      <c r="F21" s="109">
        <f>IF('M &amp; M (BS)'!F18&gt;0,'[5]Profit &amp; Loss'!F4/'M &amp; M (BS)'!F18,0)</f>
        <v>0</v>
      </c>
      <c r="G21" s="109">
        <f>IF('M &amp; M (BS)'!G18&gt;0,'[5]Profit &amp; Loss'!G4/'M &amp; M (BS)'!G18,0)</f>
        <v>0</v>
      </c>
      <c r="H21" s="109">
        <f>IF('M &amp; M (BS)'!H18&gt;0,'[5]Profit &amp; Loss'!H4/'M &amp; M (BS)'!H18,0)</f>
        <v>0</v>
      </c>
      <c r="I21" s="109">
        <f>IF('M &amp; M (BS)'!I18&gt;0,'[5]Profit &amp; Loss'!I4/'M &amp; M (BS)'!I18,0)</f>
        <v>0</v>
      </c>
      <c r="J21" s="109">
        <f>IF('M &amp; M (BS)'!J18&gt;0,'[5]Profit &amp; Loss'!J4/'M &amp; M (BS)'!J18,0)</f>
        <v>0</v>
      </c>
      <c r="K21" s="109">
        <f>IF('M &amp; M (BS)'!K18&gt;0,'[5]Profit &amp; Loss'!K4/'M &amp; M (BS)'!K18,0)</f>
        <v>0</v>
      </c>
    </row>
    <row r="23" spans="1:11" s="107" customFormat="1" x14ac:dyDescent="0.25">
      <c r="A23" s="107" t="s">
        <v>87</v>
      </c>
      <c r="B23" s="108">
        <f>IF(SUM('M &amp; M (BS)'!B4:B5)&gt;0,'[5]Profit &amp; Loss'!B12/SUM('M &amp; M (BS)'!B4:B5),"")</f>
        <v>0</v>
      </c>
      <c r="C23" s="108">
        <f>IF(SUM('M &amp; M (BS)'!C4:C5)&gt;0,'[5]Profit &amp; Loss'!C12/SUM('M &amp; M (BS)'!C4:C5),"")</f>
        <v>0</v>
      </c>
      <c r="D23" s="108">
        <f>IF(SUM('M &amp; M (BS)'!D4:D5)&gt;0,'[5]Profit &amp; Loss'!D12/SUM('M &amp; M (BS)'!D4:D5),"")</f>
        <v>0</v>
      </c>
      <c r="E23" s="108">
        <f>IF(SUM('M &amp; M (BS)'!E4:E5)&gt;0,'[5]Profit &amp; Loss'!E12/SUM('M &amp; M (BS)'!E4:E5),"")</f>
        <v>0</v>
      </c>
      <c r="F23" s="108">
        <f>IF(SUM('M &amp; M (BS)'!F4:F5)&gt;0,'[5]Profit &amp; Loss'!F12/SUM('M &amp; M (BS)'!F4:F5),"")</f>
        <v>0</v>
      </c>
      <c r="G23" s="108">
        <f>IF(SUM('M &amp; M (BS)'!G4:G5)&gt;0,'[5]Profit &amp; Loss'!G12/SUM('M &amp; M (BS)'!G4:G5),"")</f>
        <v>0</v>
      </c>
      <c r="H23" s="108">
        <f>IF(SUM('M &amp; M (BS)'!H4:H5)&gt;0,'[5]Profit &amp; Loss'!H12/SUM('M &amp; M (BS)'!H4:H5),"")</f>
        <v>0</v>
      </c>
      <c r="I23" s="108">
        <f>IF(SUM('M &amp; M (BS)'!I4:I5)&gt;0,'[5]Profit &amp; Loss'!I12/SUM('M &amp; M (BS)'!I4:I5),"")</f>
        <v>0</v>
      </c>
      <c r="J23" s="108">
        <f>IF(SUM('M &amp; M (BS)'!J4:J5)&gt;0,'[5]Profit &amp; Loss'!J12/SUM('M &amp; M (BS)'!J4:J5),"")</f>
        <v>0</v>
      </c>
      <c r="K23" s="108">
        <f>IF(SUM('M &amp; M (BS)'!K4:K5)&gt;0,'[5]Profit &amp; Loss'!K12/SUM('M &amp; M (BS)'!K4:K5),"")</f>
        <v>0</v>
      </c>
    </row>
    <row r="24" spans="1:11" s="107" customFormat="1" x14ac:dyDescent="0.25">
      <c r="A24" s="107" t="s">
        <v>86</v>
      </c>
      <c r="B24" s="108"/>
      <c r="C24" s="108">
        <f>IF((B4+B5+B6+C4+C5+C6)&gt;0,('[5]Profit &amp; Loss'!C10+'[5]Profit &amp; Loss'!C9)*2/(B4+B5+B6+C4+C5+C6),"")</f>
        <v>0</v>
      </c>
      <c r="D24" s="108">
        <f>IF((C4+C5+C6+D4+D5+D6)&gt;0,('[5]Profit &amp; Loss'!D10+'[5]Profit &amp; Loss'!D9)*2/(C4+C5+C6+D4+D5+D6),"")</f>
        <v>0</v>
      </c>
      <c r="E24" s="108">
        <f>IF((D4+D5+D6+E4+E5+E6)&gt;0,('[5]Profit &amp; Loss'!E10+'[5]Profit &amp; Loss'!E9)*2/(D4+D5+D6+E4+E5+E6),"")</f>
        <v>0</v>
      </c>
      <c r="F24" s="108">
        <f>IF((E4+E5+E6+F4+F5+F6)&gt;0,('[5]Profit &amp; Loss'!F10+'[5]Profit &amp; Loss'!F9)*2/(E4+E5+E6+F4+F5+F6),"")</f>
        <v>0</v>
      </c>
      <c r="G24" s="108">
        <f>IF((F4+F5+F6+G4+G5+G6)&gt;0,('[5]Profit &amp; Loss'!G10+'[5]Profit &amp; Loss'!G9)*2/(F4+F5+F6+G4+G5+G6),"")</f>
        <v>0</v>
      </c>
      <c r="H24" s="108">
        <f>IF((G4+G5+G6+H4+H5+H6)&gt;0,('[5]Profit &amp; Loss'!H10+'[5]Profit &amp; Loss'!H9)*2/(G4+G5+G6+H4+H5+H6),"")</f>
        <v>0</v>
      </c>
      <c r="I24" s="108">
        <f>IF((H4+H5+H6+I4+I5+I6)&gt;0,('[5]Profit &amp; Loss'!I10+'[5]Profit &amp; Loss'!I9)*2/(H4+H5+H6+I4+I5+I6),"")</f>
        <v>0</v>
      </c>
      <c r="J24" s="108">
        <f>IF((I4+I5+I6+J4+J5+J6)&gt;0,('[5]Profit &amp; Loss'!J10+'[5]Profit &amp; Loss'!J9)*2/(I4+I5+I6+J4+J5+J6),"")</f>
        <v>0</v>
      </c>
      <c r="K24" s="108">
        <f>IF((J4+J5+J6+K4+K5+K6)&gt;0,('[5]Profit &amp; Loss'!K10+'[5]Profit &amp; Loss'!K9)*2/(J4+J5+J6+K4+K5+K6),"")</f>
        <v>0</v>
      </c>
    </row>
  </sheetData>
  <hyperlinks>
    <hyperlink ref="J1" r:id="rId1" xr:uid="{735F6DBA-0F90-4ACA-B9E0-78FBB3B9452A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C78A-1295-4CEC-86B7-B7A7C39FD03B}">
  <dimension ref="A1:K93"/>
  <sheetViews>
    <sheetView zoomScale="120" zoomScaleNormal="120" zoomScalePageLayoutView="120" workbookViewId="0">
      <pane xSplit="1" ySplit="1" topLeftCell="C56" activePane="bottomRight" state="frozen"/>
      <selection activeCell="D17" sqref="D17"/>
      <selection pane="topRight" activeCell="D17" sqref="D17"/>
      <selection pane="bottomLeft" activeCell="D17" sqref="D17"/>
      <selection pane="bottomRight" activeCell="D17" sqref="D17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138</v>
      </c>
      <c r="E1" s="210" t="str">
        <f>IF(B2&lt;&gt;B3, "A NEW VERSION OF THE WORKSHEET IS AVAILABLE", "")</f>
        <v/>
      </c>
      <c r="F1" s="210"/>
      <c r="G1" s="210"/>
      <c r="H1" s="210"/>
      <c r="I1" s="210"/>
      <c r="J1" s="210"/>
      <c r="K1" s="210"/>
    </row>
    <row r="2" spans="1:11" x14ac:dyDescent="0.25">
      <c r="A2" s="115" t="s">
        <v>134</v>
      </c>
      <c r="B2" s="109">
        <v>2.1</v>
      </c>
      <c r="E2" s="211" t="s">
        <v>133</v>
      </c>
      <c r="F2" s="211"/>
      <c r="G2" s="211"/>
      <c r="H2" s="211"/>
      <c r="I2" s="211"/>
      <c r="J2" s="211"/>
      <c r="K2" s="211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124.35288296444291</v>
      </c>
    </row>
    <row r="7" spans="1:11" x14ac:dyDescent="0.25">
      <c r="A7" s="109" t="s">
        <v>129</v>
      </c>
      <c r="B7" s="106">
        <v>5</v>
      </c>
    </row>
    <row r="8" spans="1:11" x14ac:dyDescent="0.25">
      <c r="A8" s="109" t="s">
        <v>128</v>
      </c>
      <c r="B8" s="106">
        <v>3203.3</v>
      </c>
    </row>
    <row r="9" spans="1:11" x14ac:dyDescent="0.25">
      <c r="A9" s="109" t="s">
        <v>127</v>
      </c>
      <c r="B9" s="106">
        <v>398339.59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12">
        <v>42460</v>
      </c>
      <c r="C16" s="112">
        <v>42825</v>
      </c>
      <c r="D16" s="112">
        <v>43190</v>
      </c>
      <c r="E16" s="112">
        <v>43555</v>
      </c>
      <c r="F16" s="112">
        <v>43921</v>
      </c>
      <c r="G16" s="112">
        <v>44286</v>
      </c>
      <c r="H16" s="112">
        <v>44651</v>
      </c>
      <c r="I16" s="112">
        <v>45016</v>
      </c>
      <c r="J16" s="112">
        <v>45382</v>
      </c>
      <c r="K16" s="112">
        <v>45747</v>
      </c>
    </row>
    <row r="17" spans="1:11" s="116" customFormat="1" x14ac:dyDescent="0.25">
      <c r="A17" s="116" t="s">
        <v>80</v>
      </c>
      <c r="B17" s="106">
        <v>75841.42</v>
      </c>
      <c r="C17" s="106">
        <v>83773.05</v>
      </c>
      <c r="D17" s="106">
        <v>92093.95</v>
      </c>
      <c r="E17" s="106">
        <v>104720.68</v>
      </c>
      <c r="F17" s="106">
        <v>75381.929999999993</v>
      </c>
      <c r="G17" s="106">
        <v>74277.78</v>
      </c>
      <c r="H17" s="106">
        <v>90170.57</v>
      </c>
      <c r="I17" s="106">
        <v>121268.55</v>
      </c>
      <c r="J17" s="106">
        <v>139078.26999999999</v>
      </c>
      <c r="K17" s="106">
        <v>159210.82</v>
      </c>
    </row>
    <row r="18" spans="1:11" s="116" customFormat="1" x14ac:dyDescent="0.25">
      <c r="A18" s="109" t="s">
        <v>125</v>
      </c>
      <c r="B18" s="106">
        <v>45584.35</v>
      </c>
      <c r="C18" s="106">
        <v>50655.199999999997</v>
      </c>
      <c r="D18" s="106">
        <v>53457.29</v>
      </c>
      <c r="E18" s="106">
        <v>61881.19</v>
      </c>
      <c r="F18" s="106">
        <v>37595.300000000003</v>
      </c>
      <c r="G18" s="106">
        <v>38271.199999999997</v>
      </c>
      <c r="H18" s="106">
        <v>52664.85</v>
      </c>
      <c r="I18" s="106">
        <v>76019.87</v>
      </c>
      <c r="J18" s="106">
        <v>85070.07</v>
      </c>
      <c r="K18" s="106">
        <v>95754.9</v>
      </c>
    </row>
    <row r="19" spans="1:11" s="116" customFormat="1" x14ac:dyDescent="0.25">
      <c r="A19" s="109" t="s">
        <v>124</v>
      </c>
      <c r="B19" s="106">
        <v>458.51</v>
      </c>
      <c r="C19" s="106">
        <v>13.83</v>
      </c>
      <c r="D19" s="106">
        <v>-83.33</v>
      </c>
      <c r="E19" s="106">
        <v>1730.48</v>
      </c>
      <c r="F19" s="106">
        <v>-826.62</v>
      </c>
      <c r="G19" s="106">
        <v>-135.59</v>
      </c>
      <c r="H19" s="106">
        <v>861.66</v>
      </c>
      <c r="I19" s="106">
        <v>2032.31</v>
      </c>
      <c r="J19" s="106">
        <v>1455.32</v>
      </c>
      <c r="K19" s="106">
        <v>12.18</v>
      </c>
    </row>
    <row r="20" spans="1:11" s="116" customFormat="1" x14ac:dyDescent="0.25">
      <c r="A20" s="109" t="s">
        <v>123</v>
      </c>
      <c r="B20" s="106">
        <v>639.97</v>
      </c>
      <c r="C20" s="106">
        <v>657.06</v>
      </c>
      <c r="D20" s="106">
        <v>733.9</v>
      </c>
      <c r="E20" s="106">
        <v>817.11</v>
      </c>
      <c r="F20" s="106">
        <v>530.91999999999996</v>
      </c>
      <c r="G20" s="106">
        <v>429.56</v>
      </c>
      <c r="H20" s="106">
        <v>541.27</v>
      </c>
      <c r="I20" s="106">
        <v>830.48</v>
      </c>
      <c r="J20" s="106">
        <v>752.73</v>
      </c>
    </row>
    <row r="21" spans="1:11" s="116" customFormat="1" x14ac:dyDescent="0.25">
      <c r="A21" s="109" t="s">
        <v>122</v>
      </c>
      <c r="B21" s="106">
        <v>2618.6999999999998</v>
      </c>
      <c r="C21" s="106">
        <v>3255.3</v>
      </c>
      <c r="D21" s="106">
        <v>3590.26</v>
      </c>
      <c r="E21" s="106">
        <v>4253</v>
      </c>
      <c r="F21" s="106">
        <v>3277.79</v>
      </c>
      <c r="G21" s="106">
        <v>2523.4</v>
      </c>
      <c r="H21" s="106">
        <v>3124.27</v>
      </c>
      <c r="I21" s="106">
        <v>3838.42</v>
      </c>
      <c r="J21" s="106">
        <v>3791.75</v>
      </c>
    </row>
    <row r="22" spans="1:11" s="116" customFormat="1" x14ac:dyDescent="0.25">
      <c r="A22" s="109" t="s">
        <v>121</v>
      </c>
      <c r="B22" s="106">
        <v>7689.4</v>
      </c>
      <c r="C22" s="106">
        <v>8910.6299999999992</v>
      </c>
      <c r="D22" s="106">
        <v>10004.620000000001</v>
      </c>
      <c r="E22" s="106">
        <v>11242.08</v>
      </c>
      <c r="F22" s="106">
        <v>8214.82</v>
      </c>
      <c r="G22" s="106">
        <v>7813.26</v>
      </c>
      <c r="H22" s="106">
        <v>8386.74</v>
      </c>
      <c r="I22" s="106">
        <v>9677.9500000000007</v>
      </c>
      <c r="J22" s="106">
        <v>10624.33</v>
      </c>
      <c r="K22" s="106">
        <v>11126.17</v>
      </c>
    </row>
    <row r="23" spans="1:11" s="116" customFormat="1" x14ac:dyDescent="0.25">
      <c r="A23" s="109" t="s">
        <v>120</v>
      </c>
      <c r="B23" s="106">
        <v>5758.86</v>
      </c>
      <c r="C23" s="106">
        <v>6253.64</v>
      </c>
      <c r="D23" s="106">
        <v>7591.15</v>
      </c>
      <c r="E23" s="106">
        <v>9658.98</v>
      </c>
      <c r="F23" s="106">
        <v>6316.52</v>
      </c>
      <c r="G23" s="106">
        <v>4628.75</v>
      </c>
      <c r="H23" s="106">
        <v>5977.67</v>
      </c>
      <c r="I23" s="106">
        <v>7681.87</v>
      </c>
      <c r="J23" s="106">
        <v>9832.2000000000007</v>
      </c>
    </row>
    <row r="24" spans="1:11" s="116" customFormat="1" x14ac:dyDescent="0.25">
      <c r="A24" s="109" t="s">
        <v>119</v>
      </c>
      <c r="B24" s="106">
        <v>3926.21</v>
      </c>
      <c r="C24" s="106">
        <v>3320.22</v>
      </c>
      <c r="D24" s="106">
        <v>3407.3</v>
      </c>
      <c r="E24" s="106">
        <v>3392.29</v>
      </c>
      <c r="F24" s="106">
        <v>8462.2099999999991</v>
      </c>
      <c r="G24" s="106">
        <v>8989</v>
      </c>
      <c r="H24" s="106">
        <v>5654.58</v>
      </c>
      <c r="I24" s="106">
        <v>4966.9799999999996</v>
      </c>
      <c r="J24" s="106">
        <v>5570.58</v>
      </c>
      <c r="K24" s="106">
        <v>21823.74</v>
      </c>
    </row>
    <row r="25" spans="1:11" s="116" customFormat="1" x14ac:dyDescent="0.25">
      <c r="A25" s="116" t="s">
        <v>77</v>
      </c>
      <c r="B25" s="106">
        <v>1398.83</v>
      </c>
      <c r="C25" s="106">
        <v>2076.61</v>
      </c>
      <c r="D25" s="106">
        <v>4366.41</v>
      </c>
      <c r="E25" s="106">
        <v>2676.45</v>
      </c>
      <c r="F25" s="106">
        <v>884.69</v>
      </c>
      <c r="G25" s="106">
        <v>1151.51</v>
      </c>
      <c r="H25" s="106">
        <v>3204.47</v>
      </c>
      <c r="I25" s="106">
        <v>3961.45</v>
      </c>
      <c r="J25" s="106">
        <v>3297.85</v>
      </c>
      <c r="K25" s="106">
        <v>3718.47</v>
      </c>
    </row>
    <row r="26" spans="1:11" s="116" customFormat="1" x14ac:dyDescent="0.25">
      <c r="A26" s="116" t="s">
        <v>76</v>
      </c>
      <c r="B26" s="106">
        <v>2441.65</v>
      </c>
      <c r="C26" s="106">
        <v>2812.72</v>
      </c>
      <c r="D26" s="106">
        <v>3279.9</v>
      </c>
      <c r="E26" s="106">
        <v>3990.77</v>
      </c>
      <c r="F26" s="106">
        <v>3366.68</v>
      </c>
      <c r="G26" s="106">
        <v>3378.11</v>
      </c>
      <c r="H26" s="106">
        <v>3507.5</v>
      </c>
      <c r="I26" s="106">
        <v>4356.8100000000004</v>
      </c>
      <c r="J26" s="106">
        <v>4723.78</v>
      </c>
      <c r="K26" s="106">
        <v>6073.65</v>
      </c>
    </row>
    <row r="27" spans="1:11" s="116" customFormat="1" x14ac:dyDescent="0.25">
      <c r="A27" s="116" t="s">
        <v>75</v>
      </c>
      <c r="B27" s="106">
        <v>3367.59</v>
      </c>
      <c r="C27" s="106">
        <v>3648.46</v>
      </c>
      <c r="D27" s="106">
        <v>3987.09</v>
      </c>
      <c r="E27" s="106">
        <v>5021.3500000000004</v>
      </c>
      <c r="F27" s="106">
        <v>6021.15</v>
      </c>
      <c r="G27" s="106">
        <v>6102.22</v>
      </c>
      <c r="H27" s="106">
        <v>5018.05</v>
      </c>
      <c r="I27" s="106">
        <v>5829.7</v>
      </c>
      <c r="J27" s="106">
        <v>7488.21</v>
      </c>
      <c r="K27" s="106">
        <v>9083.39</v>
      </c>
    </row>
    <row r="28" spans="1:11" s="116" customFormat="1" x14ac:dyDescent="0.25">
      <c r="A28" s="116" t="s">
        <v>74</v>
      </c>
      <c r="B28" s="106">
        <v>5672.03</v>
      </c>
      <c r="C28" s="106">
        <v>6350.26</v>
      </c>
      <c r="D28" s="106">
        <v>10325.52</v>
      </c>
      <c r="E28" s="106">
        <v>8870.84</v>
      </c>
      <c r="F28" s="106">
        <v>1654.61</v>
      </c>
      <c r="G28" s="106">
        <v>3158.2</v>
      </c>
      <c r="H28" s="106">
        <v>9361.77</v>
      </c>
      <c r="I28" s="106">
        <v>14060.23</v>
      </c>
      <c r="J28" s="106">
        <v>15977.79</v>
      </c>
      <c r="K28" s="106">
        <v>19079.62</v>
      </c>
    </row>
    <row r="29" spans="1:11" s="116" customFormat="1" x14ac:dyDescent="0.25">
      <c r="A29" s="116" t="s">
        <v>73</v>
      </c>
      <c r="B29" s="106">
        <v>2117.5300000000002</v>
      </c>
      <c r="C29" s="106">
        <v>2299.73</v>
      </c>
      <c r="D29" s="106">
        <v>2367.73</v>
      </c>
      <c r="E29" s="106">
        <v>2853.99</v>
      </c>
      <c r="F29" s="106">
        <v>1975.61</v>
      </c>
      <c r="G29" s="106">
        <v>1645.81</v>
      </c>
      <c r="H29" s="106">
        <v>2108.7600000000002</v>
      </c>
      <c r="I29" s="106">
        <v>2685.75</v>
      </c>
      <c r="J29" s="106">
        <v>3707.97</v>
      </c>
      <c r="K29" s="106">
        <v>5006.45</v>
      </c>
    </row>
    <row r="30" spans="1:11" s="116" customFormat="1" x14ac:dyDescent="0.25">
      <c r="A30" s="116" t="s">
        <v>72</v>
      </c>
      <c r="B30" s="106">
        <v>3148.43</v>
      </c>
      <c r="C30" s="106">
        <v>3698.04</v>
      </c>
      <c r="D30" s="106">
        <v>7510.39</v>
      </c>
      <c r="E30" s="106">
        <v>5315.46</v>
      </c>
      <c r="F30" s="106">
        <v>127.04</v>
      </c>
      <c r="G30" s="106">
        <v>1812.49</v>
      </c>
      <c r="H30" s="106">
        <v>6577.32</v>
      </c>
      <c r="I30" s="106">
        <v>10281.5</v>
      </c>
      <c r="J30" s="106">
        <v>11268.64</v>
      </c>
      <c r="K30" s="106">
        <v>12929.1</v>
      </c>
    </row>
    <row r="31" spans="1:11" s="116" customFormat="1" x14ac:dyDescent="0.25">
      <c r="A31" s="116" t="s">
        <v>118</v>
      </c>
      <c r="B31" s="106">
        <v>648.96</v>
      </c>
      <c r="C31" s="106">
        <v>807.43</v>
      </c>
      <c r="D31" s="106">
        <v>814.7</v>
      </c>
      <c r="E31" s="106">
        <v>924.73</v>
      </c>
      <c r="F31" s="106">
        <v>260.51</v>
      </c>
      <c r="G31" s="106">
        <v>971.51</v>
      </c>
      <c r="H31" s="106">
        <v>1284.5</v>
      </c>
      <c r="I31" s="106">
        <v>1809.66</v>
      </c>
      <c r="J31" s="106">
        <v>2352.14</v>
      </c>
      <c r="K31" s="106">
        <v>2824.24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12">
        <v>44926</v>
      </c>
      <c r="C41" s="112">
        <v>45016</v>
      </c>
      <c r="D41" s="112">
        <v>45107</v>
      </c>
      <c r="E41" s="112">
        <v>45199</v>
      </c>
      <c r="F41" s="112">
        <v>45291</v>
      </c>
      <c r="G41" s="112">
        <v>45382</v>
      </c>
      <c r="H41" s="112">
        <v>45473</v>
      </c>
      <c r="I41" s="112">
        <v>45565</v>
      </c>
      <c r="J41" s="112">
        <v>45657</v>
      </c>
      <c r="K41" s="112">
        <v>45747</v>
      </c>
    </row>
    <row r="42" spans="1:11" s="116" customFormat="1" x14ac:dyDescent="0.25">
      <c r="A42" s="116" t="s">
        <v>80</v>
      </c>
      <c r="B42" s="106">
        <v>30621.279999999999</v>
      </c>
      <c r="C42" s="106">
        <v>32455.65</v>
      </c>
      <c r="D42" s="106">
        <v>33891.629999999997</v>
      </c>
      <c r="E42" s="106">
        <v>34435.519999999997</v>
      </c>
      <c r="F42" s="106">
        <v>35299.39</v>
      </c>
      <c r="G42" s="106">
        <v>35451.730000000003</v>
      </c>
      <c r="H42" s="106">
        <v>37217.72</v>
      </c>
      <c r="I42" s="106">
        <v>37923.74</v>
      </c>
      <c r="J42" s="106">
        <v>41470.050000000003</v>
      </c>
      <c r="K42" s="106">
        <v>42599.31</v>
      </c>
    </row>
    <row r="43" spans="1:11" s="116" customFormat="1" x14ac:dyDescent="0.25">
      <c r="A43" s="116" t="s">
        <v>79</v>
      </c>
      <c r="B43" s="106">
        <v>25367.56</v>
      </c>
      <c r="C43" s="106">
        <v>26797.919999999998</v>
      </c>
      <c r="D43" s="106">
        <v>27642.400000000001</v>
      </c>
      <c r="E43" s="106">
        <v>28705.94</v>
      </c>
      <c r="F43" s="106">
        <v>29075.41</v>
      </c>
      <c r="G43" s="106">
        <v>28847.82</v>
      </c>
      <c r="H43" s="106">
        <v>29974.6</v>
      </c>
      <c r="I43" s="106">
        <v>30790.34</v>
      </c>
      <c r="J43" s="106">
        <v>33239.32</v>
      </c>
      <c r="K43" s="106">
        <v>34688.370000000003</v>
      </c>
    </row>
    <row r="44" spans="1:11" s="116" customFormat="1" x14ac:dyDescent="0.25">
      <c r="A44" s="116" t="s">
        <v>77</v>
      </c>
      <c r="B44" s="106">
        <v>1183.71</v>
      </c>
      <c r="C44" s="106">
        <v>661.74</v>
      </c>
      <c r="D44" s="106">
        <v>1065</v>
      </c>
      <c r="E44" s="106">
        <v>811.95</v>
      </c>
      <c r="F44" s="106">
        <v>755.69</v>
      </c>
      <c r="G44" s="106">
        <v>750.44</v>
      </c>
      <c r="H44" s="106">
        <v>733.21</v>
      </c>
      <c r="I44" s="106">
        <v>1125.57</v>
      </c>
      <c r="J44" s="106">
        <v>718.59</v>
      </c>
      <c r="K44" s="106">
        <v>1141.0999999999999</v>
      </c>
    </row>
    <row r="45" spans="1:11" s="116" customFormat="1" x14ac:dyDescent="0.25">
      <c r="A45" s="116" t="s">
        <v>76</v>
      </c>
      <c r="B45" s="106">
        <v>1110.1600000000001</v>
      </c>
      <c r="C45" s="106">
        <v>1194.4000000000001</v>
      </c>
      <c r="D45" s="106">
        <v>1127.5</v>
      </c>
      <c r="E45" s="106">
        <v>1138.6400000000001</v>
      </c>
      <c r="F45" s="106">
        <v>1122.5899999999999</v>
      </c>
      <c r="G45" s="106">
        <v>1335.05</v>
      </c>
      <c r="H45" s="106">
        <v>1247.77</v>
      </c>
      <c r="I45" s="106">
        <v>1301.99</v>
      </c>
      <c r="J45" s="106">
        <v>1495.17</v>
      </c>
      <c r="K45" s="106">
        <v>2028.72</v>
      </c>
    </row>
    <row r="46" spans="1:11" s="116" customFormat="1" x14ac:dyDescent="0.25">
      <c r="A46" s="116" t="s">
        <v>75</v>
      </c>
      <c r="B46" s="106">
        <v>1595.56</v>
      </c>
      <c r="C46" s="106">
        <v>1633.56</v>
      </c>
      <c r="D46" s="106">
        <v>1718.84</v>
      </c>
      <c r="E46" s="106">
        <v>1835.19</v>
      </c>
      <c r="F46" s="106">
        <v>1944.88</v>
      </c>
      <c r="G46" s="106">
        <v>1989.3</v>
      </c>
      <c r="H46" s="106">
        <v>2107.69</v>
      </c>
      <c r="I46" s="106">
        <v>2217.02</v>
      </c>
      <c r="J46" s="106">
        <v>2362.16</v>
      </c>
      <c r="K46" s="106">
        <v>2396.52</v>
      </c>
    </row>
    <row r="47" spans="1:11" s="116" customFormat="1" x14ac:dyDescent="0.25">
      <c r="A47" s="116" t="s">
        <v>74</v>
      </c>
      <c r="B47" s="106">
        <v>3731.71</v>
      </c>
      <c r="C47" s="106">
        <v>3491.51</v>
      </c>
      <c r="D47" s="106">
        <v>4467.8900000000003</v>
      </c>
      <c r="E47" s="106">
        <v>3567.7</v>
      </c>
      <c r="F47" s="106">
        <v>3912.2</v>
      </c>
      <c r="G47" s="106">
        <v>4030</v>
      </c>
      <c r="H47" s="106">
        <v>4620.87</v>
      </c>
      <c r="I47" s="106">
        <v>4739.96</v>
      </c>
      <c r="J47" s="106">
        <v>5091.99</v>
      </c>
      <c r="K47" s="106">
        <v>4626.8</v>
      </c>
    </row>
    <row r="48" spans="1:11" s="116" customFormat="1" x14ac:dyDescent="0.25">
      <c r="A48" s="116" t="s">
        <v>73</v>
      </c>
      <c r="B48" s="106">
        <v>737.68</v>
      </c>
      <c r="C48" s="106">
        <v>493.14</v>
      </c>
      <c r="D48" s="106">
        <v>784.02</v>
      </c>
      <c r="E48" s="106">
        <v>1083.73</v>
      </c>
      <c r="F48" s="106">
        <v>935.16</v>
      </c>
      <c r="G48" s="106">
        <v>905.06</v>
      </c>
      <c r="H48" s="106">
        <v>1075.0899999999999</v>
      </c>
      <c r="I48" s="106">
        <v>1378.9</v>
      </c>
      <c r="J48" s="106">
        <v>1467.51</v>
      </c>
      <c r="K48" s="106">
        <v>1084.95</v>
      </c>
    </row>
    <row r="49" spans="1:11" s="116" customFormat="1" x14ac:dyDescent="0.25">
      <c r="A49" s="116" t="s">
        <v>72</v>
      </c>
      <c r="B49" s="106">
        <v>2676.56</v>
      </c>
      <c r="C49" s="106">
        <v>2636.67</v>
      </c>
      <c r="D49" s="106">
        <v>3508.41</v>
      </c>
      <c r="E49" s="106">
        <v>2347.75</v>
      </c>
      <c r="F49" s="106">
        <v>2658.4</v>
      </c>
      <c r="G49" s="106">
        <v>2754.08</v>
      </c>
      <c r="H49" s="106">
        <v>3282.63</v>
      </c>
      <c r="I49" s="106">
        <v>3170.72</v>
      </c>
      <c r="J49" s="106">
        <v>3180.58</v>
      </c>
      <c r="K49" s="106">
        <v>3295.17</v>
      </c>
    </row>
    <row r="50" spans="1:11" x14ac:dyDescent="0.25">
      <c r="A50" s="116" t="s">
        <v>78</v>
      </c>
      <c r="B50" s="106">
        <v>5253.72</v>
      </c>
      <c r="C50" s="106">
        <v>5657.73</v>
      </c>
      <c r="D50" s="106">
        <v>6249.23</v>
      </c>
      <c r="E50" s="106">
        <v>5729.58</v>
      </c>
      <c r="F50" s="106">
        <v>6223.98</v>
      </c>
      <c r="G50" s="106">
        <v>6603.91</v>
      </c>
      <c r="H50" s="106">
        <v>7243.12</v>
      </c>
      <c r="I50" s="106">
        <v>7133.4</v>
      </c>
      <c r="J50" s="106">
        <v>8230.73</v>
      </c>
      <c r="K50" s="106">
        <v>7910.94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12">
        <v>42460</v>
      </c>
      <c r="C56" s="112">
        <v>42825</v>
      </c>
      <c r="D56" s="112">
        <v>43190</v>
      </c>
      <c r="E56" s="112">
        <v>43555</v>
      </c>
      <c r="F56" s="112">
        <v>43921</v>
      </c>
      <c r="G56" s="112">
        <v>44286</v>
      </c>
      <c r="H56" s="112">
        <v>44651</v>
      </c>
      <c r="I56" s="112">
        <v>45016</v>
      </c>
      <c r="J56" s="112">
        <v>45382</v>
      </c>
      <c r="K56" s="112">
        <v>45747</v>
      </c>
    </row>
    <row r="57" spans="1:11" x14ac:dyDescent="0.25">
      <c r="A57" s="116" t="s">
        <v>101</v>
      </c>
      <c r="B57" s="106">
        <v>270.39999999999998</v>
      </c>
      <c r="C57" s="106">
        <v>310.55</v>
      </c>
      <c r="D57" s="106">
        <v>543.13</v>
      </c>
      <c r="E57" s="106">
        <v>543.96</v>
      </c>
      <c r="F57" s="106">
        <v>554.28</v>
      </c>
      <c r="G57" s="106">
        <v>555.15</v>
      </c>
      <c r="H57" s="106">
        <v>556.05999999999995</v>
      </c>
      <c r="I57" s="106">
        <v>556.82000000000005</v>
      </c>
      <c r="J57" s="106">
        <v>557.38</v>
      </c>
      <c r="K57" s="106">
        <v>558.15</v>
      </c>
    </row>
    <row r="58" spans="1:11" x14ac:dyDescent="0.25">
      <c r="A58" s="116" t="s">
        <v>100</v>
      </c>
      <c r="B58" s="106">
        <v>26222.25</v>
      </c>
      <c r="C58" s="106">
        <v>29467.1</v>
      </c>
      <c r="D58" s="106">
        <v>36232.06</v>
      </c>
      <c r="E58" s="106">
        <v>39439.449999999997</v>
      </c>
      <c r="F58" s="106">
        <v>39415.03</v>
      </c>
      <c r="G58" s="106">
        <v>41026.769999999997</v>
      </c>
      <c r="H58" s="106">
        <v>46566.58</v>
      </c>
      <c r="I58" s="106">
        <v>55808.97</v>
      </c>
      <c r="J58" s="106">
        <v>65633.17</v>
      </c>
      <c r="K58" s="106">
        <v>76480.710000000006</v>
      </c>
    </row>
    <row r="59" spans="1:11" x14ac:dyDescent="0.25">
      <c r="A59" s="116" t="s">
        <v>99</v>
      </c>
      <c r="B59" s="106">
        <v>41552.93</v>
      </c>
      <c r="C59" s="106">
        <v>48761.91</v>
      </c>
      <c r="D59" s="106">
        <v>55897.919999999998</v>
      </c>
      <c r="E59" s="106">
        <v>70848.3</v>
      </c>
      <c r="F59" s="106">
        <v>82092.28</v>
      </c>
      <c r="G59" s="106">
        <v>80624.83</v>
      </c>
      <c r="H59" s="106">
        <v>77605.210000000006</v>
      </c>
      <c r="I59" s="106">
        <v>92246.85</v>
      </c>
      <c r="J59" s="106">
        <v>108647.25</v>
      </c>
      <c r="K59" s="106">
        <v>124949.31</v>
      </c>
    </row>
    <row r="60" spans="1:11" x14ac:dyDescent="0.25">
      <c r="A60" s="116" t="s">
        <v>98</v>
      </c>
      <c r="B60" s="106">
        <v>31806.240000000002</v>
      </c>
      <c r="C60" s="106">
        <v>35295.919999999998</v>
      </c>
      <c r="D60" s="106">
        <v>43696.2</v>
      </c>
      <c r="E60" s="106">
        <v>51056.95</v>
      </c>
      <c r="F60" s="106">
        <v>43654.54</v>
      </c>
      <c r="G60" s="106">
        <v>42761.58</v>
      </c>
      <c r="H60" s="106">
        <v>47660.639999999999</v>
      </c>
      <c r="I60" s="106">
        <v>55670.49</v>
      </c>
      <c r="J60" s="106">
        <v>59883.94</v>
      </c>
      <c r="K60" s="106">
        <v>75598.100000000006</v>
      </c>
    </row>
    <row r="61" spans="1:11" s="115" customFormat="1" x14ac:dyDescent="0.25">
      <c r="A61" s="115" t="s">
        <v>93</v>
      </c>
      <c r="B61" s="106">
        <v>99851.82</v>
      </c>
      <c r="C61" s="106">
        <v>113835.48</v>
      </c>
      <c r="D61" s="106">
        <v>136369.31</v>
      </c>
      <c r="E61" s="106">
        <v>161888.66</v>
      </c>
      <c r="F61" s="106">
        <v>165716.13</v>
      </c>
      <c r="G61" s="106">
        <v>164968.32999999999</v>
      </c>
      <c r="H61" s="106">
        <v>172388.49</v>
      </c>
      <c r="I61" s="106">
        <v>204283.13</v>
      </c>
      <c r="J61" s="106">
        <v>234721.74</v>
      </c>
      <c r="K61" s="106">
        <v>277586.27</v>
      </c>
    </row>
    <row r="62" spans="1:11" x14ac:dyDescent="0.25">
      <c r="A62" s="116" t="s">
        <v>97</v>
      </c>
      <c r="B62" s="106">
        <v>20584.71</v>
      </c>
      <c r="C62" s="106">
        <v>20989.01</v>
      </c>
      <c r="D62" s="106">
        <v>26181.9</v>
      </c>
      <c r="E62" s="106">
        <v>28982.74</v>
      </c>
      <c r="F62" s="106">
        <v>29689.27</v>
      </c>
      <c r="G62" s="106">
        <v>21379.68</v>
      </c>
      <c r="H62" s="106">
        <v>26018.49</v>
      </c>
      <c r="I62" s="106">
        <v>27139.98</v>
      </c>
      <c r="J62" s="106">
        <v>28129.41</v>
      </c>
      <c r="K62" s="106">
        <v>39281.440000000002</v>
      </c>
    </row>
    <row r="63" spans="1:11" x14ac:dyDescent="0.25">
      <c r="A63" s="116" t="s">
        <v>96</v>
      </c>
      <c r="B63" s="106">
        <v>2371.35</v>
      </c>
      <c r="C63" s="106">
        <v>4278.9399999999996</v>
      </c>
      <c r="D63" s="106">
        <v>4269.47</v>
      </c>
      <c r="E63" s="106">
        <v>4759.84</v>
      </c>
      <c r="F63" s="106">
        <v>6856.48</v>
      </c>
      <c r="G63" s="106">
        <v>7872.61</v>
      </c>
      <c r="H63" s="106">
        <v>6702.81</v>
      </c>
      <c r="I63" s="106">
        <v>3968.58</v>
      </c>
      <c r="J63" s="106">
        <v>8039.3</v>
      </c>
      <c r="K63" s="106">
        <v>3652.56</v>
      </c>
    </row>
    <row r="64" spans="1:11" x14ac:dyDescent="0.25">
      <c r="A64" s="116" t="s">
        <v>95</v>
      </c>
      <c r="B64" s="106">
        <v>11602.58</v>
      </c>
      <c r="C64" s="106">
        <v>14662.44</v>
      </c>
      <c r="D64" s="106">
        <v>16017.61</v>
      </c>
      <c r="E64" s="106">
        <v>18268.099999999999</v>
      </c>
      <c r="F64" s="106">
        <v>19210.34</v>
      </c>
      <c r="G64" s="106">
        <v>28777.66</v>
      </c>
      <c r="H64" s="106">
        <v>30060.43</v>
      </c>
      <c r="I64" s="106">
        <v>35272.42</v>
      </c>
      <c r="J64" s="106">
        <v>35208.1</v>
      </c>
      <c r="K64" s="106">
        <v>41308.57</v>
      </c>
    </row>
    <row r="65" spans="1:11" x14ac:dyDescent="0.25">
      <c r="A65" s="116" t="s">
        <v>94</v>
      </c>
      <c r="B65" s="106">
        <v>65293.18</v>
      </c>
      <c r="C65" s="106">
        <v>73905.09</v>
      </c>
      <c r="D65" s="106">
        <v>89900.33</v>
      </c>
      <c r="E65" s="106">
        <v>109877.98</v>
      </c>
      <c r="F65" s="106">
        <v>109960.04</v>
      </c>
      <c r="G65" s="106">
        <v>106938.38</v>
      </c>
      <c r="H65" s="106">
        <v>109606.76</v>
      </c>
      <c r="I65" s="106">
        <v>137902.15</v>
      </c>
      <c r="J65" s="106">
        <v>163344.93</v>
      </c>
      <c r="K65" s="106">
        <v>193343.7</v>
      </c>
    </row>
    <row r="66" spans="1:11" s="115" customFormat="1" x14ac:dyDescent="0.25">
      <c r="A66" s="115" t="s">
        <v>93</v>
      </c>
      <c r="B66" s="106">
        <v>99851.82</v>
      </c>
      <c r="C66" s="106">
        <v>113835.48</v>
      </c>
      <c r="D66" s="106">
        <v>136369.31</v>
      </c>
      <c r="E66" s="106">
        <v>161888.66</v>
      </c>
      <c r="F66" s="106">
        <v>165716.13</v>
      </c>
      <c r="G66" s="106">
        <v>164968.32999999999</v>
      </c>
      <c r="H66" s="106">
        <v>172388.49</v>
      </c>
      <c r="I66" s="106">
        <v>204283.13</v>
      </c>
      <c r="J66" s="106">
        <v>234721.74</v>
      </c>
      <c r="K66" s="106">
        <v>277586.27</v>
      </c>
    </row>
    <row r="67" spans="1:11" s="116" customFormat="1" x14ac:dyDescent="0.25">
      <c r="A67" s="116" t="s">
        <v>115</v>
      </c>
      <c r="B67" s="106">
        <v>5817.6</v>
      </c>
      <c r="C67" s="106">
        <v>7199.26</v>
      </c>
      <c r="D67" s="106">
        <v>8489.82</v>
      </c>
      <c r="E67" s="106">
        <v>8677.89</v>
      </c>
      <c r="F67" s="106">
        <v>6928.28</v>
      </c>
      <c r="G67" s="106">
        <v>6007.76</v>
      </c>
      <c r="H67" s="106">
        <v>6373.95</v>
      </c>
      <c r="I67" s="106">
        <v>7028.02</v>
      </c>
      <c r="J67" s="106">
        <v>7459.4</v>
      </c>
      <c r="K67" s="106">
        <v>8279.7000000000007</v>
      </c>
    </row>
    <row r="68" spans="1:11" x14ac:dyDescent="0.25">
      <c r="A68" s="116" t="s">
        <v>90</v>
      </c>
      <c r="B68" s="106">
        <v>9116.1200000000008</v>
      </c>
      <c r="C68" s="106">
        <v>8886.01</v>
      </c>
      <c r="D68" s="106">
        <v>9335.57</v>
      </c>
      <c r="E68" s="106">
        <v>12200.16</v>
      </c>
      <c r="F68" s="106">
        <v>11111.86</v>
      </c>
      <c r="G68" s="106">
        <v>9615.41</v>
      </c>
      <c r="H68" s="106">
        <v>11595.82</v>
      </c>
      <c r="I68" s="106">
        <v>16854.97</v>
      </c>
      <c r="J68" s="106">
        <v>18590.47</v>
      </c>
      <c r="K68" s="106">
        <v>20330.93</v>
      </c>
    </row>
    <row r="69" spans="1:11" x14ac:dyDescent="0.25">
      <c r="A69" s="109" t="s">
        <v>114</v>
      </c>
      <c r="B69" s="106">
        <v>4527.55</v>
      </c>
      <c r="C69" s="106">
        <v>4654.03</v>
      </c>
      <c r="D69" s="106">
        <v>6547.6</v>
      </c>
      <c r="E69" s="106">
        <v>8734.91</v>
      </c>
      <c r="F69" s="106">
        <v>7910.9</v>
      </c>
      <c r="G69" s="106">
        <v>12851.99</v>
      </c>
      <c r="H69" s="106">
        <v>11117.61</v>
      </c>
      <c r="I69" s="106">
        <v>11273.43</v>
      </c>
      <c r="J69" s="106">
        <v>12012.75</v>
      </c>
      <c r="K69" s="106">
        <v>20614.84</v>
      </c>
    </row>
    <row r="70" spans="1:11" x14ac:dyDescent="0.25">
      <c r="A70" s="109" t="s">
        <v>113</v>
      </c>
      <c r="B70" s="106">
        <v>592633807</v>
      </c>
      <c r="C70" s="106">
        <v>621092384</v>
      </c>
      <c r="D70" s="106">
        <v>1243192544</v>
      </c>
      <c r="E70" s="106">
        <v>1243192544</v>
      </c>
      <c r="F70" s="106">
        <v>1243192544</v>
      </c>
      <c r="G70" s="106">
        <v>1110297953</v>
      </c>
      <c r="H70" s="106">
        <v>1112130815</v>
      </c>
      <c r="I70" s="106">
        <v>1198118224</v>
      </c>
      <c r="J70" s="106">
        <v>1114775772</v>
      </c>
    </row>
    <row r="71" spans="1:11" x14ac:dyDescent="0.25">
      <c r="A71" s="109" t="s">
        <v>112</v>
      </c>
      <c r="D71" s="106">
        <v>621596272</v>
      </c>
    </row>
    <row r="72" spans="1:11" x14ac:dyDescent="0.25">
      <c r="A72" s="109" t="s">
        <v>111</v>
      </c>
      <c r="B72" s="106">
        <v>5</v>
      </c>
      <c r="C72" s="106">
        <v>5</v>
      </c>
      <c r="D72" s="106">
        <v>5</v>
      </c>
      <c r="E72" s="106">
        <v>5</v>
      </c>
      <c r="F72" s="106">
        <v>5</v>
      </c>
      <c r="G72" s="106">
        <v>5</v>
      </c>
      <c r="H72" s="106">
        <v>5</v>
      </c>
      <c r="I72" s="106">
        <v>5</v>
      </c>
      <c r="J72" s="106">
        <v>5</v>
      </c>
      <c r="K72" s="106">
        <v>5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12">
        <v>42460</v>
      </c>
      <c r="C81" s="112">
        <v>42825</v>
      </c>
      <c r="D81" s="112">
        <v>43190</v>
      </c>
      <c r="E81" s="112">
        <v>43555</v>
      </c>
      <c r="F81" s="112">
        <v>43921</v>
      </c>
      <c r="G81" s="112">
        <v>44286</v>
      </c>
      <c r="H81" s="112">
        <v>44651</v>
      </c>
      <c r="I81" s="112">
        <v>45016</v>
      </c>
      <c r="J81" s="112">
        <v>45382</v>
      </c>
      <c r="K81" s="112">
        <v>45747</v>
      </c>
    </row>
    <row r="82" spans="1:11" s="115" customFormat="1" x14ac:dyDescent="0.25">
      <c r="A82" s="116" t="s">
        <v>108</v>
      </c>
      <c r="B82" s="106">
        <v>2384.7600000000002</v>
      </c>
      <c r="C82" s="106">
        <v>183.09</v>
      </c>
      <c r="D82" s="106">
        <v>681.86</v>
      </c>
      <c r="E82" s="106">
        <v>-4347.29</v>
      </c>
      <c r="F82" s="106">
        <v>-1456.93</v>
      </c>
      <c r="G82" s="106">
        <v>17908.830000000002</v>
      </c>
      <c r="H82" s="106">
        <v>9247.5499999999993</v>
      </c>
      <c r="I82" s="106">
        <v>-7074.02</v>
      </c>
      <c r="J82" s="106">
        <v>-5629.95</v>
      </c>
      <c r="K82" s="106">
        <v>3175.81</v>
      </c>
    </row>
    <row r="83" spans="1:11" s="116" customFormat="1" x14ac:dyDescent="0.25">
      <c r="A83" s="116" t="s">
        <v>107</v>
      </c>
      <c r="B83" s="106">
        <v>-5505.97</v>
      </c>
      <c r="C83" s="106">
        <v>-5875.29</v>
      </c>
      <c r="D83" s="106">
        <v>-5467.22</v>
      </c>
      <c r="E83" s="106">
        <v>-7173.97</v>
      </c>
      <c r="F83" s="106">
        <v>-6869.79</v>
      </c>
      <c r="G83" s="106">
        <v>-19685.5</v>
      </c>
      <c r="H83" s="106">
        <v>-3251.95</v>
      </c>
      <c r="I83" s="106">
        <v>-8866.27</v>
      </c>
      <c r="J83" s="106">
        <v>-5614.77</v>
      </c>
      <c r="K83" s="106">
        <v>-18626.11</v>
      </c>
    </row>
    <row r="84" spans="1:11" s="116" customFormat="1" x14ac:dyDescent="0.25">
      <c r="A84" s="116" t="s">
        <v>106</v>
      </c>
      <c r="B84" s="106">
        <v>2966.81</v>
      </c>
      <c r="C84" s="106">
        <v>6107.97</v>
      </c>
      <c r="D84" s="106">
        <v>6314.5</v>
      </c>
      <c r="E84" s="106">
        <v>13193.63</v>
      </c>
      <c r="F84" s="106">
        <v>6932.75</v>
      </c>
      <c r="G84" s="106">
        <v>406.23</v>
      </c>
      <c r="H84" s="106">
        <v>-5882.6</v>
      </c>
      <c r="I84" s="106">
        <v>15946.11</v>
      </c>
      <c r="J84" s="106">
        <v>12281.41</v>
      </c>
      <c r="K84" s="106">
        <v>15834.11</v>
      </c>
    </row>
    <row r="85" spans="1:11" s="115" customFormat="1" x14ac:dyDescent="0.25">
      <c r="A85" s="116" t="s">
        <v>105</v>
      </c>
      <c r="B85" s="106">
        <v>-154.4</v>
      </c>
      <c r="C85" s="106">
        <v>415.77</v>
      </c>
      <c r="D85" s="106">
        <v>1529.14</v>
      </c>
      <c r="E85" s="106">
        <v>1672.37</v>
      </c>
      <c r="F85" s="106">
        <v>-1393.97</v>
      </c>
      <c r="G85" s="106">
        <v>-1370.44</v>
      </c>
      <c r="H85" s="106">
        <v>113</v>
      </c>
      <c r="I85" s="106">
        <v>5.82</v>
      </c>
      <c r="J85" s="106">
        <v>1036.69</v>
      </c>
      <c r="K85" s="106">
        <v>383.81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B90" s="106">
        <v>605.35</v>
      </c>
      <c r="C90" s="106">
        <v>643.45000000000005</v>
      </c>
      <c r="D90" s="106">
        <v>738.9</v>
      </c>
      <c r="E90" s="106">
        <v>673.9</v>
      </c>
      <c r="F90" s="106">
        <v>284.95</v>
      </c>
      <c r="G90" s="106">
        <v>795.25</v>
      </c>
      <c r="H90" s="106">
        <v>806.55</v>
      </c>
      <c r="I90" s="106">
        <v>1158.7</v>
      </c>
      <c r="J90" s="106">
        <v>1921.35</v>
      </c>
      <c r="K90" s="106">
        <v>2665.8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v>124.22</v>
      </c>
      <c r="C93" s="114">
        <v>124.22</v>
      </c>
      <c r="D93" s="114">
        <v>124.32</v>
      </c>
      <c r="E93" s="114">
        <v>124.32</v>
      </c>
      <c r="F93" s="114">
        <v>124.32</v>
      </c>
      <c r="G93" s="114">
        <v>124.32</v>
      </c>
      <c r="H93" s="114">
        <v>124.32</v>
      </c>
      <c r="I93" s="114">
        <v>124.35</v>
      </c>
      <c r="J93" s="114">
        <v>124.35</v>
      </c>
      <c r="K93" s="114">
        <v>124.35</v>
      </c>
    </row>
  </sheetData>
  <mergeCells count="2">
    <mergeCell ref="E1:K1"/>
    <mergeCell ref="E2:K2"/>
  </mergeCells>
  <conditionalFormatting sqref="E1:K1">
    <cfRule type="cellIs" dxfId="5" priority="1" operator="notEqual">
      <formula>""</formula>
    </cfRule>
  </conditionalFormatting>
  <hyperlinks>
    <hyperlink ref="E1:K1" r:id="rId1" display="https://www.screener.in/excel/" xr:uid="{2B30B22A-8904-4262-9CFF-A97E9ABB40AF}"/>
  </hyperlinks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276B8-D372-43FE-888E-50DA83B053B9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C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0.7109375" style="106" customWidth="1"/>
    <col min="2" max="6" width="13.42578125" style="106" customWidth="1"/>
    <col min="7" max="7" width="14.85546875" style="106" bestFit="1" customWidth="1"/>
    <col min="8" max="11" width="13.42578125" style="106" customWidth="1"/>
    <col min="12" max="12" width="13.28515625" style="106" customWidth="1"/>
    <col min="13" max="14" width="12.140625" style="106" customWidth="1"/>
    <col min="15" max="16384" width="8.85546875" style="106"/>
  </cols>
  <sheetData>
    <row r="1" spans="1:14" s="107" customFormat="1" x14ac:dyDescent="0.25">
      <c r="A1" s="107" t="str">
        <f>'[4]Data Sheet'!B1</f>
        <v>FORCE MOTORS LTD</v>
      </c>
      <c r="H1" s="106">
        <f>UPDATE</f>
        <v>0</v>
      </c>
      <c r="J1" s="123"/>
      <c r="K1" s="123"/>
      <c r="M1" s="107" t="s">
        <v>85</v>
      </c>
    </row>
    <row r="3" spans="1:14" s="107" customFormat="1" x14ac:dyDescent="0.25">
      <c r="A3" s="113" t="s">
        <v>84</v>
      </c>
      <c r="B3" s="112">
        <f>'[4]Data Sheet'!B16</f>
        <v>42460</v>
      </c>
      <c r="C3" s="112">
        <f>'[4]Data Sheet'!C16</f>
        <v>42825</v>
      </c>
      <c r="D3" s="112">
        <f>'[4]Data Sheet'!D16</f>
        <v>43190</v>
      </c>
      <c r="E3" s="112">
        <f>'[4]Data Sheet'!E16</f>
        <v>43555</v>
      </c>
      <c r="F3" s="112">
        <f>'[4]Data Sheet'!F16</f>
        <v>43921</v>
      </c>
      <c r="G3" s="112">
        <f>'[4]Data Sheet'!G16</f>
        <v>44286</v>
      </c>
      <c r="H3" s="112">
        <f>'[4]Data Sheet'!H16</f>
        <v>44651</v>
      </c>
      <c r="I3" s="112">
        <f>'[4]Data Sheet'!I16</f>
        <v>45016</v>
      </c>
      <c r="J3" s="112">
        <f>'[4]Data Sheet'!J16</f>
        <v>45382</v>
      </c>
      <c r="K3" s="112">
        <f>'[4]Data Sheet'!K16</f>
        <v>45747</v>
      </c>
      <c r="L3" s="121" t="s">
        <v>83</v>
      </c>
      <c r="M3" s="121" t="s">
        <v>82</v>
      </c>
      <c r="N3" s="121" t="s">
        <v>81</v>
      </c>
    </row>
    <row r="4" spans="1:14" s="107" customFormat="1" x14ac:dyDescent="0.25">
      <c r="A4" s="107" t="s">
        <v>80</v>
      </c>
      <c r="B4" s="115">
        <f>'[4]Data Sheet'!B17</f>
        <v>3025</v>
      </c>
      <c r="C4" s="115">
        <f>'[4]Data Sheet'!C17</f>
        <v>3069.37</v>
      </c>
      <c r="D4" s="115">
        <f>'[4]Data Sheet'!D17</f>
        <v>3422.95</v>
      </c>
      <c r="E4" s="115">
        <f>'[4]Data Sheet'!E17</f>
        <v>3652.45</v>
      </c>
      <c r="F4" s="115">
        <f>'[4]Data Sheet'!F17</f>
        <v>3080.52</v>
      </c>
      <c r="G4" s="115">
        <f>'[4]Data Sheet'!G17</f>
        <v>1988.19</v>
      </c>
      <c r="H4" s="115">
        <f>'[4]Data Sheet'!H17</f>
        <v>3240.42</v>
      </c>
      <c r="I4" s="115">
        <f>'[4]Data Sheet'!I17</f>
        <v>5028.9799999999996</v>
      </c>
      <c r="J4" s="115">
        <f>'[4]Data Sheet'!J17</f>
        <v>6992.13</v>
      </c>
      <c r="K4" s="115">
        <f>'[4]Data Sheet'!K17</f>
        <v>8071.73</v>
      </c>
      <c r="L4" s="115">
        <f>SUM([4]Quarters!H4:K4)</f>
        <v>0</v>
      </c>
      <c r="M4" s="115">
        <f>$K4+M23*K4</f>
        <v>10941.790631109516</v>
      </c>
      <c r="N4" s="115">
        <f>$K4+N23*L4</f>
        <v>8071.73</v>
      </c>
    </row>
    <row r="5" spans="1:14" x14ac:dyDescent="0.25">
      <c r="A5" s="106" t="s">
        <v>79</v>
      </c>
      <c r="B5" s="116">
        <f>SUM('[4]Data Sheet'!B18,'[4]Data Sheet'!B20:B24, -1*'[4]Data Sheet'!B19)</f>
        <v>2750.6699999999996</v>
      </c>
      <c r="C5" s="116">
        <f>SUM('[4]Data Sheet'!C18,'[4]Data Sheet'!C20:C24, -1*'[4]Data Sheet'!C19)</f>
        <v>2801.27</v>
      </c>
      <c r="D5" s="116">
        <f>SUM('[4]Data Sheet'!D18,'[4]Data Sheet'!D20:D24, -1*'[4]Data Sheet'!D19)</f>
        <v>3155.1599999999994</v>
      </c>
      <c r="E5" s="116">
        <f>SUM('[4]Data Sheet'!E18,'[4]Data Sheet'!E20:E24, -1*'[4]Data Sheet'!E19)</f>
        <v>3377.6800000000003</v>
      </c>
      <c r="F5" s="116">
        <f>SUM('[4]Data Sheet'!F18,'[4]Data Sheet'!F20:F24, -1*'[4]Data Sheet'!F19)</f>
        <v>2819.62</v>
      </c>
      <c r="G5" s="116">
        <f>SUM('[4]Data Sheet'!G18,'[4]Data Sheet'!G20:G24, -1*'[4]Data Sheet'!G19)</f>
        <v>1963.83</v>
      </c>
      <c r="H5" s="116">
        <f>SUM('[4]Data Sheet'!H18,'[4]Data Sheet'!H20:H24, -1*'[4]Data Sheet'!H19)</f>
        <v>3189.96</v>
      </c>
      <c r="I5" s="116">
        <f>SUM('[4]Data Sheet'!I18,'[4]Data Sheet'!I20:I24, -1*'[4]Data Sheet'!I19)</f>
        <v>4715.7700000000004</v>
      </c>
      <c r="J5" s="116">
        <f>SUM('[4]Data Sheet'!J18,'[4]Data Sheet'!J20:J24, -1*'[4]Data Sheet'!J19)</f>
        <v>6095.56</v>
      </c>
      <c r="K5" s="116">
        <f>SUM('[4]Data Sheet'!K18,'[4]Data Sheet'!K20:K24, -1*'[4]Data Sheet'!K19)</f>
        <v>6979.0100000000011</v>
      </c>
      <c r="L5" s="116">
        <f>SUM([4]Quarters!H5:K5)</f>
        <v>0</v>
      </c>
      <c r="M5" s="116">
        <f>M4-M6</f>
        <v>9687.9373715339843</v>
      </c>
      <c r="N5" s="116">
        <f>N4-N6</f>
        <v>8071.73</v>
      </c>
    </row>
    <row r="6" spans="1:14" s="107" customFormat="1" x14ac:dyDescent="0.25">
      <c r="A6" s="107" t="s">
        <v>78</v>
      </c>
      <c r="B6" s="115">
        <f t="shared" ref="B6:K6" si="0">B4-B5</f>
        <v>274.33000000000038</v>
      </c>
      <c r="C6" s="115">
        <f t="shared" si="0"/>
        <v>268.09999999999991</v>
      </c>
      <c r="D6" s="115">
        <f t="shared" si="0"/>
        <v>267.79000000000042</v>
      </c>
      <c r="E6" s="115">
        <f t="shared" si="0"/>
        <v>274.76999999999953</v>
      </c>
      <c r="F6" s="115">
        <f t="shared" si="0"/>
        <v>260.90000000000009</v>
      </c>
      <c r="G6" s="115">
        <f t="shared" si="0"/>
        <v>24.360000000000127</v>
      </c>
      <c r="H6" s="115">
        <f t="shared" si="0"/>
        <v>50.460000000000036</v>
      </c>
      <c r="I6" s="115">
        <f t="shared" si="0"/>
        <v>313.20999999999913</v>
      </c>
      <c r="J6" s="115">
        <f t="shared" si="0"/>
        <v>896.56999999999971</v>
      </c>
      <c r="K6" s="115">
        <f t="shared" si="0"/>
        <v>1092.7199999999984</v>
      </c>
      <c r="L6" s="115">
        <f>SUM([4]Quarters!H6:K6)</f>
        <v>0</v>
      </c>
      <c r="M6" s="115">
        <f>M4*M24</f>
        <v>1253.8532595755319</v>
      </c>
      <c r="N6" s="115">
        <f>N4*N24</f>
        <v>0</v>
      </c>
    </row>
    <row r="7" spans="1:14" x14ac:dyDescent="0.25">
      <c r="A7" s="106" t="s">
        <v>77</v>
      </c>
      <c r="B7" s="116">
        <f>'[4]Data Sheet'!B25</f>
        <v>71.44</v>
      </c>
      <c r="C7" s="116">
        <f>'[4]Data Sheet'!C25</f>
        <v>85.89</v>
      </c>
      <c r="D7" s="116">
        <f>'[4]Data Sheet'!D25</f>
        <v>68.72</v>
      </c>
      <c r="E7" s="116">
        <f>'[4]Data Sheet'!E25</f>
        <v>81.62</v>
      </c>
      <c r="F7" s="116">
        <f>'[4]Data Sheet'!F25</f>
        <v>3.48</v>
      </c>
      <c r="G7" s="116">
        <f>'[4]Data Sheet'!G25</f>
        <v>1.68</v>
      </c>
      <c r="H7" s="116">
        <f>'[4]Data Sheet'!H25</f>
        <v>51.88</v>
      </c>
      <c r="I7" s="116">
        <f>'[4]Data Sheet'!I25</f>
        <v>268.35000000000002</v>
      </c>
      <c r="J7" s="116">
        <f>'[4]Data Sheet'!J25</f>
        <v>37.39</v>
      </c>
      <c r="K7" s="116">
        <f>'[4]Data Sheet'!K25</f>
        <v>451.65</v>
      </c>
      <c r="L7" s="116">
        <f>SUM([4]Quarters!H7:K7)</f>
        <v>0</v>
      </c>
      <c r="M7" s="116">
        <v>0</v>
      </c>
      <c r="N7" s="116">
        <v>0</v>
      </c>
    </row>
    <row r="8" spans="1:14" x14ac:dyDescent="0.25">
      <c r="A8" s="106" t="s">
        <v>76</v>
      </c>
      <c r="B8" s="116">
        <f>'[4]Data Sheet'!B26</f>
        <v>91.89</v>
      </c>
      <c r="C8" s="116">
        <f>'[4]Data Sheet'!C26</f>
        <v>113.08</v>
      </c>
      <c r="D8" s="116">
        <f>'[4]Data Sheet'!D26</f>
        <v>129.26</v>
      </c>
      <c r="E8" s="116">
        <f>'[4]Data Sheet'!E26</f>
        <v>150.91999999999999</v>
      </c>
      <c r="F8" s="116">
        <f>'[4]Data Sheet'!F26</f>
        <v>194.52</v>
      </c>
      <c r="G8" s="116">
        <f>'[4]Data Sheet'!G26</f>
        <v>173.67</v>
      </c>
      <c r="H8" s="116">
        <f>'[4]Data Sheet'!H26</f>
        <v>190.94</v>
      </c>
      <c r="I8" s="116">
        <f>'[4]Data Sheet'!I26</f>
        <v>240.74</v>
      </c>
      <c r="J8" s="116">
        <f>'[4]Data Sheet'!J26</f>
        <v>266.75</v>
      </c>
      <c r="K8" s="116">
        <f>'[4]Data Sheet'!K26</f>
        <v>280.24</v>
      </c>
      <c r="L8" s="116">
        <f>SUM([4]Quarters!H8:K8)</f>
        <v>0</v>
      </c>
      <c r="M8" s="116">
        <f>+$L8</f>
        <v>0</v>
      </c>
      <c r="N8" s="116">
        <f>+$L8</f>
        <v>0</v>
      </c>
    </row>
    <row r="9" spans="1:14" x14ac:dyDescent="0.25">
      <c r="A9" s="106" t="s">
        <v>75</v>
      </c>
      <c r="B9" s="116">
        <f>'[4]Data Sheet'!B27</f>
        <v>5.3</v>
      </c>
      <c r="C9" s="116">
        <f>'[4]Data Sheet'!C27</f>
        <v>5.54</v>
      </c>
      <c r="D9" s="116">
        <f>'[4]Data Sheet'!D27</f>
        <v>6.67</v>
      </c>
      <c r="E9" s="116">
        <f>'[4]Data Sheet'!E27</f>
        <v>15.33</v>
      </c>
      <c r="F9" s="116">
        <f>'[4]Data Sheet'!F27</f>
        <v>27.85</v>
      </c>
      <c r="G9" s="116">
        <f>'[4]Data Sheet'!G27</f>
        <v>28.22</v>
      </c>
      <c r="H9" s="116">
        <f>'[4]Data Sheet'!H27</f>
        <v>41.04</v>
      </c>
      <c r="I9" s="116">
        <f>'[4]Data Sheet'!I27</f>
        <v>68.400000000000006</v>
      </c>
      <c r="J9" s="116">
        <f>'[4]Data Sheet'!J27</f>
        <v>62.14</v>
      </c>
      <c r="K9" s="116">
        <f>'[4]Data Sheet'!K27</f>
        <v>25.87</v>
      </c>
      <c r="L9" s="116">
        <f>SUM([4]Quarters!H9:K9)</f>
        <v>0</v>
      </c>
      <c r="M9" s="116">
        <f>+$L9</f>
        <v>0</v>
      </c>
      <c r="N9" s="116">
        <f>+$L9</f>
        <v>0</v>
      </c>
    </row>
    <row r="10" spans="1:14" x14ac:dyDescent="0.25">
      <c r="A10" s="106" t="s">
        <v>74</v>
      </c>
      <c r="B10" s="116">
        <f>'[4]Data Sheet'!B28</f>
        <v>248.58</v>
      </c>
      <c r="C10" s="116">
        <f>'[4]Data Sheet'!C28</f>
        <v>235.37</v>
      </c>
      <c r="D10" s="116">
        <f>'[4]Data Sheet'!D28</f>
        <v>200.58</v>
      </c>
      <c r="E10" s="116">
        <f>'[4]Data Sheet'!E28</f>
        <v>190.14</v>
      </c>
      <c r="F10" s="116">
        <f>'[4]Data Sheet'!F28</f>
        <v>42.01</v>
      </c>
      <c r="G10" s="116">
        <f>'[4]Data Sheet'!G28</f>
        <v>-175.85</v>
      </c>
      <c r="H10" s="116">
        <f>'[4]Data Sheet'!H28</f>
        <v>-129.63999999999999</v>
      </c>
      <c r="I10" s="116">
        <f>'[4]Data Sheet'!I28</f>
        <v>272.42</v>
      </c>
      <c r="J10" s="116">
        <f>'[4]Data Sheet'!J28</f>
        <v>605.07000000000005</v>
      </c>
      <c r="K10" s="116">
        <f>'[4]Data Sheet'!K28</f>
        <v>1238.26</v>
      </c>
      <c r="L10" s="116">
        <f>SUM([4]Quarters!H10:K10)</f>
        <v>0</v>
      </c>
      <c r="M10" s="116">
        <f>M6+M7-SUM(M8:M9)</f>
        <v>1253.8532595755319</v>
      </c>
      <c r="N10" s="116">
        <f>N6+N7-SUM(N8:N9)</f>
        <v>0</v>
      </c>
    </row>
    <row r="11" spans="1:14" x14ac:dyDescent="0.25">
      <c r="A11" s="106" t="s">
        <v>73</v>
      </c>
      <c r="B11" s="116">
        <f>'[4]Data Sheet'!B29</f>
        <v>69.61</v>
      </c>
      <c r="C11" s="116">
        <f>'[4]Data Sheet'!C29</f>
        <v>55.19</v>
      </c>
      <c r="D11" s="116">
        <f>'[4]Data Sheet'!D29</f>
        <v>53.37</v>
      </c>
      <c r="E11" s="116">
        <f>'[4]Data Sheet'!E29</f>
        <v>46.72</v>
      </c>
      <c r="F11" s="116">
        <f>'[4]Data Sheet'!F29</f>
        <v>-8.26</v>
      </c>
      <c r="G11" s="116">
        <f>'[4]Data Sheet'!G29</f>
        <v>-52.31</v>
      </c>
      <c r="H11" s="116">
        <f>'[4]Data Sheet'!H29</f>
        <v>-38.65</v>
      </c>
      <c r="I11" s="116">
        <f>'[4]Data Sheet'!I29</f>
        <v>138.68</v>
      </c>
      <c r="J11" s="116">
        <f>'[4]Data Sheet'!J29</f>
        <v>216.86</v>
      </c>
      <c r="K11" s="116">
        <f>'[4]Data Sheet'!K29</f>
        <v>437.4</v>
      </c>
      <c r="L11" s="116">
        <f>SUM([4]Quarters!H11:K11)</f>
        <v>0</v>
      </c>
      <c r="M11" s="122">
        <f>IF($L10&gt;0,$L11/$L10,0)</f>
        <v>0</v>
      </c>
      <c r="N11" s="122">
        <f>IF($L10&gt;0,$L11/$L10,0)</f>
        <v>0</v>
      </c>
    </row>
    <row r="12" spans="1:14" s="107" customFormat="1" x14ac:dyDescent="0.25">
      <c r="A12" s="107" t="s">
        <v>72</v>
      </c>
      <c r="B12" s="115">
        <f>'[4]Data Sheet'!B30</f>
        <v>178.89</v>
      </c>
      <c r="C12" s="115">
        <f>'[4]Data Sheet'!C30</f>
        <v>180.09</v>
      </c>
      <c r="D12" s="115">
        <f>'[4]Data Sheet'!D30</f>
        <v>147.12</v>
      </c>
      <c r="E12" s="115">
        <f>'[4]Data Sheet'!E30</f>
        <v>143.33000000000001</v>
      </c>
      <c r="F12" s="115">
        <f>'[4]Data Sheet'!F30</f>
        <v>50.17</v>
      </c>
      <c r="G12" s="115">
        <f>'[4]Data Sheet'!G30</f>
        <v>-123.63</v>
      </c>
      <c r="H12" s="115">
        <f>'[4]Data Sheet'!H30</f>
        <v>-91.08</v>
      </c>
      <c r="I12" s="115">
        <f>'[4]Data Sheet'!I30</f>
        <v>133.63999999999999</v>
      </c>
      <c r="J12" s="115">
        <f>'[4]Data Sheet'!J30</f>
        <v>388.09</v>
      </c>
      <c r="K12" s="115">
        <f>'[4]Data Sheet'!K30</f>
        <v>800.74</v>
      </c>
      <c r="L12" s="115">
        <f>SUM([4]Quarters!H12:K12)</f>
        <v>0</v>
      </c>
      <c r="M12" s="115">
        <f>M10-M11*M10</f>
        <v>1253.8532595755319</v>
      </c>
      <c r="N12" s="115">
        <f>N10-N11*N10</f>
        <v>0</v>
      </c>
    </row>
    <row r="13" spans="1:14" x14ac:dyDescent="0.25">
      <c r="A13" s="106" t="s">
        <v>43</v>
      </c>
      <c r="B13" s="116">
        <f>IF('[4]Data Sheet'!B93&gt;0,B12/'[4]Data Sheet'!B93,0)</f>
        <v>135.52272727272725</v>
      </c>
      <c r="C13" s="116">
        <f>IF('[4]Data Sheet'!C93&gt;0,C12/'[4]Data Sheet'!C93,0)</f>
        <v>136.43181818181819</v>
      </c>
      <c r="D13" s="116">
        <f>IF('[4]Data Sheet'!D93&gt;0,D12/'[4]Data Sheet'!D93,0)</f>
        <v>111.45454545454545</v>
      </c>
      <c r="E13" s="116">
        <f>IF('[4]Data Sheet'!E93&gt;0,E12/'[4]Data Sheet'!E93,0)</f>
        <v>108.58333333333334</v>
      </c>
      <c r="F13" s="116">
        <f>IF('[4]Data Sheet'!F93&gt;0,F12/'[4]Data Sheet'!F93,0)</f>
        <v>38.007575757575758</v>
      </c>
      <c r="G13" s="116">
        <f>IF('[4]Data Sheet'!G93&gt;0,G12/'[4]Data Sheet'!G93,0)</f>
        <v>-93.659090909090907</v>
      </c>
      <c r="H13" s="116">
        <f>IF('[4]Data Sheet'!H93&gt;0,H12/'[4]Data Sheet'!H93,0)</f>
        <v>-69</v>
      </c>
      <c r="I13" s="116">
        <f>IF('[4]Data Sheet'!I93&gt;0,I12/'[4]Data Sheet'!I93,0)</f>
        <v>101.24242424242422</v>
      </c>
      <c r="J13" s="116">
        <f>IF('[4]Data Sheet'!J93&gt;0,J12/'[4]Data Sheet'!J93,0)</f>
        <v>294.00757575757575</v>
      </c>
      <c r="K13" s="116">
        <f>IF('[4]Data Sheet'!K93&gt;0,K12/'[4]Data Sheet'!K93,0)</f>
        <v>606.62121212121212</v>
      </c>
      <c r="L13" s="116">
        <f>IF('[4]Data Sheet'!$B6&gt;0,'Force Motors (IS)'!L12/'[4]Data Sheet'!$B6,0)</f>
        <v>0</v>
      </c>
      <c r="M13" s="116">
        <f>IF('[4]Data Sheet'!$B6&gt;0,'Force Motors (IS)'!M12/'[4]Data Sheet'!$B6,0)</f>
        <v>0</v>
      </c>
      <c r="N13" s="116">
        <f>IF('[4]Data Sheet'!$B6&gt;0,'Force Motors (IS)'!N12/'[4]Data Sheet'!$B6,0)</f>
        <v>0</v>
      </c>
    </row>
    <row r="14" spans="1:14" x14ac:dyDescent="0.25">
      <c r="A14" s="106" t="s">
        <v>71</v>
      </c>
      <c r="B14" s="116">
        <f t="shared" ref="B14:K14" si="1">IF(B15&gt;0,B15/B13,"")</f>
        <v>21.066577226228411</v>
      </c>
      <c r="C14" s="116">
        <f t="shared" si="1"/>
        <v>32.888955522238881</v>
      </c>
      <c r="D14" s="116">
        <f t="shared" si="1"/>
        <v>24.521207177814031</v>
      </c>
      <c r="E14" s="116">
        <f t="shared" si="1"/>
        <v>15.656638526477359</v>
      </c>
      <c r="F14" s="116">
        <f t="shared" si="1"/>
        <v>19.302730715567073</v>
      </c>
      <c r="G14" s="116">
        <f t="shared" si="1"/>
        <v>-12.489444309633585</v>
      </c>
      <c r="H14" s="116">
        <f t="shared" si="1"/>
        <v>-14.765217391304347</v>
      </c>
      <c r="I14" s="116">
        <f t="shared" si="1"/>
        <v>11.510490870996708</v>
      </c>
      <c r="J14" s="116">
        <f t="shared" si="1"/>
        <v>24.638820892061119</v>
      </c>
      <c r="K14" s="116">
        <f t="shared" si="1"/>
        <v>14.911694182880835</v>
      </c>
      <c r="L14" s="116">
        <f>IF(L13&gt;0,L15/L13,0)</f>
        <v>0</v>
      </c>
      <c r="M14" s="116">
        <f>M25</f>
        <v>17.020335315312888</v>
      </c>
      <c r="N14" s="116">
        <f>N25</f>
        <v>0</v>
      </c>
    </row>
    <row r="15" spans="1:14" s="107" customFormat="1" x14ac:dyDescent="0.25">
      <c r="A15" s="107" t="s">
        <v>30</v>
      </c>
      <c r="B15" s="115">
        <f>'[4]Data Sheet'!B90</f>
        <v>2855</v>
      </c>
      <c r="C15" s="115">
        <f>'[4]Data Sheet'!C90</f>
        <v>4487.1000000000004</v>
      </c>
      <c r="D15" s="115">
        <f>'[4]Data Sheet'!D90</f>
        <v>2733</v>
      </c>
      <c r="E15" s="115">
        <f>'[4]Data Sheet'!E90</f>
        <v>1700.05</v>
      </c>
      <c r="F15" s="115">
        <f>'[4]Data Sheet'!F90</f>
        <v>733.65</v>
      </c>
      <c r="G15" s="115">
        <f>'[4]Data Sheet'!G90</f>
        <v>1169.75</v>
      </c>
      <c r="H15" s="115">
        <f>'[4]Data Sheet'!H90</f>
        <v>1018.8</v>
      </c>
      <c r="I15" s="115">
        <f>'[4]Data Sheet'!I90</f>
        <v>1165.3499999999999</v>
      </c>
      <c r="J15" s="115">
        <f>'[4]Data Sheet'!J90</f>
        <v>7244</v>
      </c>
      <c r="K15" s="115">
        <f>'[4]Data Sheet'!K90</f>
        <v>9045.75</v>
      </c>
      <c r="L15" s="115">
        <f>'[4]Data Sheet'!B8</f>
        <v>14500</v>
      </c>
      <c r="M15" s="85">
        <f>M13*M14</f>
        <v>0</v>
      </c>
      <c r="N15" s="84">
        <f>N13*N14</f>
        <v>0</v>
      </c>
    </row>
    <row r="17" spans="1:14" s="107" customFormat="1" x14ac:dyDescent="0.25">
      <c r="A17" s="107" t="s">
        <v>70</v>
      </c>
    </row>
    <row r="18" spans="1:14" x14ac:dyDescent="0.25">
      <c r="A18" s="106" t="s">
        <v>69</v>
      </c>
      <c r="B18" s="120">
        <f>IF('[4]Data Sheet'!B30&gt;0, '[4]Data Sheet'!B31/'[4]Data Sheet'!B30, 0)</f>
        <v>7.3676561015148981E-2</v>
      </c>
      <c r="C18" s="120">
        <f>IF('[4]Data Sheet'!C30&gt;0, '[4]Data Sheet'!C31/'[4]Data Sheet'!C30, 0)</f>
        <v>7.3185629407518465E-2</v>
      </c>
      <c r="D18" s="120">
        <f>IF('[4]Data Sheet'!D30&gt;0, '[4]Data Sheet'!D31/'[4]Data Sheet'!D30, 0)</f>
        <v>8.9586731919521476E-2</v>
      </c>
      <c r="E18" s="120">
        <f>IF('[4]Data Sheet'!E30&gt;0, '[4]Data Sheet'!E31/'[4]Data Sheet'!E30, 0)</f>
        <v>9.1955626875043592E-2</v>
      </c>
      <c r="F18" s="120">
        <f>IF('[4]Data Sheet'!F30&gt;0, '[4]Data Sheet'!F31/'[4]Data Sheet'!F30, 0)</f>
        <v>0.26270679689057203</v>
      </c>
      <c r="G18" s="120">
        <f>IF('[4]Data Sheet'!G30&gt;0, '[4]Data Sheet'!G31/'[4]Data Sheet'!G30, 0)</f>
        <v>0</v>
      </c>
      <c r="H18" s="120">
        <f>IF('[4]Data Sheet'!H30&gt;0, '[4]Data Sheet'!H31/'[4]Data Sheet'!H30, 0)</f>
        <v>0</v>
      </c>
      <c r="I18" s="120">
        <f>IF('[4]Data Sheet'!I30&gt;0, '[4]Data Sheet'!I31/'[4]Data Sheet'!I30, 0)</f>
        <v>9.8623166716551941E-2</v>
      </c>
      <c r="J18" s="120">
        <f>IF('[4]Data Sheet'!J30&gt;0, '[4]Data Sheet'!J31/'[4]Data Sheet'!J30, 0)</f>
        <v>6.7922389136540501E-2</v>
      </c>
      <c r="K18" s="120">
        <f>IF('[4]Data Sheet'!K30&gt;0, '[4]Data Sheet'!K31/'[4]Data Sheet'!K30, 0)</f>
        <v>6.5839098833578941E-2</v>
      </c>
    </row>
    <row r="19" spans="1:14" x14ac:dyDescent="0.25">
      <c r="A19" s="106" t="s">
        <v>59</v>
      </c>
      <c r="B19" s="120">
        <f t="shared" ref="B19:L19" si="2">IF(B6&gt;0,B6/B4,0)</f>
        <v>9.068760330578525E-2</v>
      </c>
      <c r="C19" s="120">
        <f t="shared" si="2"/>
        <v>8.7346914839201498E-2</v>
      </c>
      <c r="D19" s="120">
        <f t="shared" si="2"/>
        <v>7.8233687316496131E-2</v>
      </c>
      <c r="E19" s="120">
        <f t="shared" si="2"/>
        <v>7.5228955906309333E-2</v>
      </c>
      <c r="F19" s="120">
        <f t="shared" si="2"/>
        <v>8.4693493306324932E-2</v>
      </c>
      <c r="G19" s="120">
        <f t="shared" si="2"/>
        <v>1.2252350127502969E-2</v>
      </c>
      <c r="H19" s="120">
        <f t="shared" si="2"/>
        <v>1.5572055474290381E-2</v>
      </c>
      <c r="I19" s="120">
        <f t="shared" si="2"/>
        <v>6.2281019212643347E-2</v>
      </c>
      <c r="J19" s="120">
        <f t="shared" si="2"/>
        <v>0.12822559077133858</v>
      </c>
      <c r="K19" s="120">
        <f t="shared" si="2"/>
        <v>0.13537618329651741</v>
      </c>
      <c r="L19" s="120">
        <f t="shared" si="2"/>
        <v>0</v>
      </c>
    </row>
    <row r="20" spans="1:14" x14ac:dyDescent="0.25"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 spans="1:14" x14ac:dyDescent="0.25"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</row>
    <row r="22" spans="1:14" s="107" customFormat="1" x14ac:dyDescent="0.25">
      <c r="A22" s="113"/>
      <c r="B22" s="112"/>
      <c r="C22" s="112"/>
      <c r="D22" s="112"/>
      <c r="E22" s="112"/>
      <c r="F22" s="112"/>
      <c r="G22" s="112" t="s">
        <v>68</v>
      </c>
      <c r="H22" s="112" t="s">
        <v>67</v>
      </c>
      <c r="I22" s="112" t="s">
        <v>66</v>
      </c>
      <c r="J22" s="112" t="s">
        <v>65</v>
      </c>
      <c r="K22" s="112" t="s">
        <v>64</v>
      </c>
      <c r="L22" s="121" t="s">
        <v>63</v>
      </c>
      <c r="M22" s="121" t="s">
        <v>62</v>
      </c>
      <c r="N22" s="121" t="s">
        <v>61</v>
      </c>
    </row>
    <row r="23" spans="1:14" s="107" customFormat="1" x14ac:dyDescent="0.25">
      <c r="A23" s="106"/>
      <c r="B23" s="106"/>
      <c r="C23" s="106"/>
      <c r="D23" s="106"/>
      <c r="E23" s="106"/>
      <c r="F23" s="106"/>
      <c r="G23" s="106" t="s">
        <v>60</v>
      </c>
      <c r="H23" s="120">
        <f>IF(B4=0,"",POWER($K4/B4,1/9)-1)</f>
        <v>0.11521894528169097</v>
      </c>
      <c r="I23" s="120">
        <f>IF(D4=0,"",POWER($K4/D4,1/7)-1)</f>
        <v>0.13037807278512425</v>
      </c>
      <c r="J23" s="120">
        <f>IF(F4=0,"",POWER($K4/F4,1/5)-1)</f>
        <v>0.21246306792913616</v>
      </c>
      <c r="K23" s="120">
        <f>IF(H4=0,"",POWER($K4/H4, 1/3)-1)</f>
        <v>0.35556945426934705</v>
      </c>
      <c r="L23" s="120">
        <f>IF(ISERROR(MAX(IF(J4=0,"",(K4-J4)/J4),IF(K4=0,"",(L4-K4)/K4))),"",MAX(IF(J4=0,"",(K4-J4)/J4),IF(K4=0,"",(L4-K4)/K4)))</f>
        <v>0.1544021635753339</v>
      </c>
      <c r="M23" s="119">
        <f>MAX(K23:L23)</f>
        <v>0.35556945426934705</v>
      </c>
      <c r="N23" s="119">
        <f>MIN(H23:L23)</f>
        <v>0.11521894528169097</v>
      </c>
    </row>
    <row r="24" spans="1:14" x14ac:dyDescent="0.25">
      <c r="G24" s="106" t="s">
        <v>59</v>
      </c>
      <c r="H24" s="120">
        <f>IF(SUM(B4:$K$4)=0,"",SUMPRODUCT(B19:$K$19,B4:$K$4)/SUM(B4:$K$4))</f>
        <v>8.9561081638632328E-2</v>
      </c>
      <c r="I24" s="120">
        <f>IF(SUM(E4:$K$4)=0,"",SUMPRODUCT(E19:$K$19,E4:$K$4)/SUM(E4:$K$4))</f>
        <v>9.087639083783132E-2</v>
      </c>
      <c r="J24" s="120">
        <f>IF(SUM(G4:$K$4)=0,"",SUMPRODUCT(G19:$K$19,G4:$K$4)/SUM(G4:$K$4))</f>
        <v>9.3885618714567978E-2</v>
      </c>
      <c r="K24" s="120">
        <f>IF(SUM(I4:$K$4)=0, "", SUMPRODUCT(I19:$K$19,I4:$K$4)/SUM(I4:$K$4))</f>
        <v>0.11459305902002889</v>
      </c>
      <c r="L24" s="120">
        <f>L19</f>
        <v>0</v>
      </c>
      <c r="M24" s="119">
        <f>MAX(K24:L24)</f>
        <v>0.11459305902002889</v>
      </c>
      <c r="N24" s="119">
        <f>MIN(H24:L24)</f>
        <v>0</v>
      </c>
    </row>
    <row r="25" spans="1:14" x14ac:dyDescent="0.25">
      <c r="G25" s="106" t="s">
        <v>58</v>
      </c>
      <c r="H25" s="116">
        <f>IF(ISERROR(AVERAGEIF(B14:$L14,"&gt;0")),"",AVERAGEIF(B14:$L14,"&gt;0"))</f>
        <v>20.56213938928305</v>
      </c>
      <c r="I25" s="116">
        <f>IF(ISERROR(AVERAGEIF(E14:$L14,"&gt;0")),"",AVERAGEIF(E14:$L14,"&gt;0"))</f>
        <v>17.204075037596617</v>
      </c>
      <c r="J25" s="116">
        <f>IF(ISERROR(AVERAGEIF(G14:$L14,"&gt;0")),"",AVERAGEIF(G14:$L14,"&gt;0"))</f>
        <v>17.020335315312888</v>
      </c>
      <c r="K25" s="116">
        <f>IF(ISERROR(AVERAGEIF(I14:$L14,"&gt;0")),"",AVERAGEIF(I14:$L14,"&gt;0"))</f>
        <v>17.020335315312888</v>
      </c>
      <c r="L25" s="116">
        <f>L14</f>
        <v>0</v>
      </c>
      <c r="M25" s="115">
        <f>MAX(K25:L25)</f>
        <v>17.020335315312888</v>
      </c>
      <c r="N25" s="115">
        <f>MIN(H25:L25)</f>
        <v>0</v>
      </c>
    </row>
  </sheetData>
  <hyperlinks>
    <hyperlink ref="M1" r:id="rId1" xr:uid="{4B5FE69D-2382-4562-A9FB-14228752B713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913E-8FC5-44A1-B504-C15863664560}">
  <sheetPr>
    <pageSetUpPr fitToPage="1"/>
  </sheetPr>
  <dimension ref="A1:K24"/>
  <sheetViews>
    <sheetView zoomScale="125" workbookViewId="0">
      <pane xSplit="1" ySplit="3" topLeftCell="E7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2.85546875" style="106" bestFit="1" customWidth="1"/>
    <col min="2" max="2" width="13.42578125" style="106" customWidth="1"/>
    <col min="3" max="11" width="15.42578125" style="106" customWidth="1"/>
    <col min="12" max="16384" width="8.85546875" style="106"/>
  </cols>
  <sheetData>
    <row r="1" spans="1:11" s="107" customFormat="1" x14ac:dyDescent="0.25">
      <c r="A1" s="107">
        <f>'[4]Profit &amp; Loss'!A1</f>
        <v>0</v>
      </c>
      <c r="E1" s="106">
        <f>UPDATE</f>
        <v>0</v>
      </c>
      <c r="G1" s="106"/>
      <c r="J1" s="107" t="s">
        <v>85</v>
      </c>
    </row>
    <row r="2" spans="1:11" x14ac:dyDescent="0.25">
      <c r="G2" s="107"/>
      <c r="H2" s="107"/>
    </row>
    <row r="3" spans="1:11" x14ac:dyDescent="0.25">
      <c r="A3" s="113" t="s">
        <v>84</v>
      </c>
      <c r="B3" s="112">
        <f>'[4]Data Sheet'!B56</f>
        <v>42460</v>
      </c>
      <c r="C3" s="112">
        <f>'[4]Data Sheet'!C56</f>
        <v>42825</v>
      </c>
      <c r="D3" s="112">
        <f>'[4]Data Sheet'!D56</f>
        <v>43190</v>
      </c>
      <c r="E3" s="112">
        <f>'[4]Data Sheet'!E56</f>
        <v>43555</v>
      </c>
      <c r="F3" s="112">
        <f>'[4]Data Sheet'!F56</f>
        <v>43921</v>
      </c>
      <c r="G3" s="112">
        <f>'[4]Data Sheet'!G56</f>
        <v>44286</v>
      </c>
      <c r="H3" s="112">
        <f>'[4]Data Sheet'!H56</f>
        <v>44651</v>
      </c>
      <c r="I3" s="112">
        <f>'[4]Data Sheet'!I56</f>
        <v>45016</v>
      </c>
      <c r="J3" s="112">
        <f>'[4]Data Sheet'!J56</f>
        <v>45382</v>
      </c>
      <c r="K3" s="112">
        <f>'[4]Data Sheet'!K56</f>
        <v>45747</v>
      </c>
    </row>
    <row r="4" spans="1:11" x14ac:dyDescent="0.25">
      <c r="A4" s="106" t="s">
        <v>101</v>
      </c>
      <c r="B4" s="110">
        <f>'[4]Data Sheet'!B57</f>
        <v>13.18</v>
      </c>
      <c r="C4" s="110">
        <f>'[4]Data Sheet'!C57</f>
        <v>13.18</v>
      </c>
      <c r="D4" s="110">
        <f>'[4]Data Sheet'!D57</f>
        <v>13.18</v>
      </c>
      <c r="E4" s="110">
        <f>'[4]Data Sheet'!E57</f>
        <v>13.18</v>
      </c>
      <c r="F4" s="110">
        <f>'[4]Data Sheet'!F57</f>
        <v>13.18</v>
      </c>
      <c r="G4" s="110">
        <f>'[4]Data Sheet'!G57</f>
        <v>13.18</v>
      </c>
      <c r="H4" s="110">
        <f>'[4]Data Sheet'!H57</f>
        <v>13.18</v>
      </c>
      <c r="I4" s="110">
        <f>'[4]Data Sheet'!I57</f>
        <v>13.18</v>
      </c>
      <c r="J4" s="110">
        <f>'[4]Data Sheet'!J57</f>
        <v>13.18</v>
      </c>
      <c r="K4" s="110">
        <f>'[4]Data Sheet'!K57</f>
        <v>13.18</v>
      </c>
    </row>
    <row r="5" spans="1:11" x14ac:dyDescent="0.25">
      <c r="A5" s="106" t="s">
        <v>100</v>
      </c>
      <c r="B5" s="110">
        <f>'[4]Data Sheet'!B58</f>
        <v>1476.46</v>
      </c>
      <c r="C5" s="110">
        <f>'[4]Data Sheet'!C58</f>
        <v>1654.4</v>
      </c>
      <c r="D5" s="110">
        <f>'[4]Data Sheet'!D58</f>
        <v>1787.95</v>
      </c>
      <c r="E5" s="110">
        <f>'[4]Data Sheet'!E58</f>
        <v>1920.03</v>
      </c>
      <c r="F5" s="110">
        <f>'[4]Data Sheet'!F58</f>
        <v>1952.16</v>
      </c>
      <c r="G5" s="110">
        <f>'[4]Data Sheet'!G58</f>
        <v>1824.65</v>
      </c>
      <c r="H5" s="110">
        <f>'[4]Data Sheet'!H58</f>
        <v>1734.69</v>
      </c>
      <c r="I5" s="110">
        <f>'[4]Data Sheet'!I58</f>
        <v>1861.85</v>
      </c>
      <c r="J5" s="110">
        <f>'[4]Data Sheet'!J58</f>
        <v>2241.96</v>
      </c>
      <c r="K5" s="110">
        <f>'[4]Data Sheet'!K58</f>
        <v>3020.25</v>
      </c>
    </row>
    <row r="6" spans="1:11" x14ac:dyDescent="0.25">
      <c r="A6" s="106" t="s">
        <v>99</v>
      </c>
      <c r="B6" s="110">
        <f>'[4]Data Sheet'!B59</f>
        <v>13.6</v>
      </c>
      <c r="C6" s="110">
        <f>'[4]Data Sheet'!C59</f>
        <v>198.71</v>
      </c>
      <c r="D6" s="110">
        <f>'[4]Data Sheet'!D59</f>
        <v>0.13</v>
      </c>
      <c r="E6" s="110">
        <f>'[4]Data Sheet'!E59</f>
        <v>285.89999999999998</v>
      </c>
      <c r="F6" s="110">
        <f>'[4]Data Sheet'!F59</f>
        <v>309.72000000000003</v>
      </c>
      <c r="G6" s="110">
        <f>'[4]Data Sheet'!G59</f>
        <v>642.41999999999996</v>
      </c>
      <c r="H6" s="110">
        <f>'[4]Data Sheet'!H59</f>
        <v>1068.82</v>
      </c>
      <c r="I6" s="110">
        <f>'[4]Data Sheet'!I59</f>
        <v>954.76</v>
      </c>
      <c r="J6" s="110">
        <f>'[4]Data Sheet'!J59</f>
        <v>524.5</v>
      </c>
      <c r="K6" s="110">
        <f>'[4]Data Sheet'!K59</f>
        <v>17.43</v>
      </c>
    </row>
    <row r="7" spans="1:11" x14ac:dyDescent="0.25">
      <c r="A7" s="106" t="s">
        <v>98</v>
      </c>
      <c r="B7" s="110">
        <f>'[4]Data Sheet'!B60</f>
        <v>801.28</v>
      </c>
      <c r="C7" s="110">
        <f>'[4]Data Sheet'!C60</f>
        <v>737.59</v>
      </c>
      <c r="D7" s="110">
        <f>'[4]Data Sheet'!D60</f>
        <v>721.71</v>
      </c>
      <c r="E7" s="110">
        <f>'[4]Data Sheet'!E60</f>
        <v>616.87</v>
      </c>
      <c r="F7" s="110">
        <f>'[4]Data Sheet'!F60</f>
        <v>822.93</v>
      </c>
      <c r="G7" s="110">
        <f>'[4]Data Sheet'!G60</f>
        <v>757.25</v>
      </c>
      <c r="H7" s="110">
        <f>'[4]Data Sheet'!H60</f>
        <v>844.26</v>
      </c>
      <c r="I7" s="110">
        <f>'[4]Data Sheet'!I60</f>
        <v>1183.6099999999999</v>
      </c>
      <c r="J7" s="110">
        <f>'[4]Data Sheet'!J60</f>
        <v>1635.05</v>
      </c>
      <c r="K7" s="110">
        <f>'[4]Data Sheet'!K60</f>
        <v>2083.12</v>
      </c>
    </row>
    <row r="8" spans="1:11" s="107" customFormat="1" x14ac:dyDescent="0.25">
      <c r="A8" s="107" t="s">
        <v>93</v>
      </c>
      <c r="B8" s="111">
        <f>'[4]Data Sheet'!B61</f>
        <v>2304.52</v>
      </c>
      <c r="C8" s="111">
        <f>'[4]Data Sheet'!C61</f>
        <v>2603.88</v>
      </c>
      <c r="D8" s="111">
        <f>'[4]Data Sheet'!D61</f>
        <v>2522.9699999999998</v>
      </c>
      <c r="E8" s="111">
        <f>'[4]Data Sheet'!E61</f>
        <v>2835.98</v>
      </c>
      <c r="F8" s="111">
        <f>'[4]Data Sheet'!F61</f>
        <v>3097.99</v>
      </c>
      <c r="G8" s="111">
        <f>'[4]Data Sheet'!G61</f>
        <v>3237.5</v>
      </c>
      <c r="H8" s="111">
        <f>'[4]Data Sheet'!H61</f>
        <v>3660.95</v>
      </c>
      <c r="I8" s="111">
        <f>'[4]Data Sheet'!I61</f>
        <v>4013.4</v>
      </c>
      <c r="J8" s="111">
        <f>'[4]Data Sheet'!J61</f>
        <v>4414.6899999999996</v>
      </c>
      <c r="K8" s="111">
        <f>'[4]Data Sheet'!K61</f>
        <v>5133.9799999999996</v>
      </c>
    </row>
    <row r="9" spans="1:11" s="107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s="106" t="s">
        <v>97</v>
      </c>
      <c r="B10" s="110">
        <f>'[4]Data Sheet'!B62</f>
        <v>785.88</v>
      </c>
      <c r="C10" s="110">
        <f>'[4]Data Sheet'!C62</f>
        <v>911.43</v>
      </c>
      <c r="D10" s="110">
        <f>'[4]Data Sheet'!D62</f>
        <v>948.47</v>
      </c>
      <c r="E10" s="110">
        <f>'[4]Data Sheet'!E62</f>
        <v>1215.8399999999999</v>
      </c>
      <c r="F10" s="110">
        <f>'[4]Data Sheet'!F62</f>
        <v>1400.17</v>
      </c>
      <c r="G10" s="110">
        <f>'[4]Data Sheet'!G62</f>
        <v>1223.52</v>
      </c>
      <c r="H10" s="110">
        <f>'[4]Data Sheet'!H62</f>
        <v>2033.04</v>
      </c>
      <c r="I10" s="110">
        <f>'[4]Data Sheet'!I62</f>
        <v>2093.9899999999998</v>
      </c>
      <c r="J10" s="110">
        <f>'[4]Data Sheet'!J62</f>
        <v>2031.42</v>
      </c>
      <c r="K10" s="110">
        <f>'[4]Data Sheet'!K62</f>
        <v>2163.63</v>
      </c>
    </row>
    <row r="11" spans="1:11" x14ac:dyDescent="0.25">
      <c r="A11" s="106" t="s">
        <v>96</v>
      </c>
      <c r="B11" s="110">
        <f>'[4]Data Sheet'!B63</f>
        <v>204.6</v>
      </c>
      <c r="C11" s="110">
        <f>'[4]Data Sheet'!C63</f>
        <v>220.26</v>
      </c>
      <c r="D11" s="110">
        <f>'[4]Data Sheet'!D63</f>
        <v>369.17</v>
      </c>
      <c r="E11" s="110">
        <f>'[4]Data Sheet'!E63</f>
        <v>371.8</v>
      </c>
      <c r="F11" s="110">
        <f>'[4]Data Sheet'!F63</f>
        <v>445.07</v>
      </c>
      <c r="G11" s="110">
        <f>'[4]Data Sheet'!G63</f>
        <v>724.85</v>
      </c>
      <c r="H11" s="110">
        <f>'[4]Data Sheet'!H63</f>
        <v>302.14999999999998</v>
      </c>
      <c r="I11" s="110">
        <f>'[4]Data Sheet'!I63</f>
        <v>153.66999999999999</v>
      </c>
      <c r="J11" s="110">
        <f>'[4]Data Sheet'!J63</f>
        <v>170.85</v>
      </c>
      <c r="K11" s="110">
        <f>'[4]Data Sheet'!K63</f>
        <v>92.54</v>
      </c>
    </row>
    <row r="12" spans="1:11" x14ac:dyDescent="0.25">
      <c r="A12" s="106" t="s">
        <v>95</v>
      </c>
      <c r="B12" s="110">
        <f>'[4]Data Sheet'!B64</f>
        <v>14.06</v>
      </c>
      <c r="C12" s="110">
        <f>'[4]Data Sheet'!C64</f>
        <v>8.7799999999999994</v>
      </c>
      <c r="D12" s="110">
        <f>'[4]Data Sheet'!D64</f>
        <v>9.7200000000000006</v>
      </c>
      <c r="E12" s="110">
        <f>'[4]Data Sheet'!E64</f>
        <v>23.14</v>
      </c>
      <c r="F12" s="110">
        <f>'[4]Data Sheet'!F64</f>
        <v>77.88</v>
      </c>
      <c r="G12" s="110">
        <f>'[4]Data Sheet'!G64</f>
        <v>99.9</v>
      </c>
      <c r="H12" s="110">
        <f>'[4]Data Sheet'!H64</f>
        <v>110.77</v>
      </c>
      <c r="I12" s="110">
        <f>'[4]Data Sheet'!I64</f>
        <v>97.34</v>
      </c>
      <c r="J12" s="110">
        <f>'[4]Data Sheet'!J64</f>
        <v>91.03</v>
      </c>
      <c r="K12" s="110">
        <f>'[4]Data Sheet'!K64</f>
        <v>103.13</v>
      </c>
    </row>
    <row r="13" spans="1:11" x14ac:dyDescent="0.25">
      <c r="A13" s="106" t="s">
        <v>94</v>
      </c>
      <c r="B13" s="110">
        <f>'[4]Data Sheet'!B65</f>
        <v>1299.98</v>
      </c>
      <c r="C13" s="110">
        <f>'[4]Data Sheet'!C65</f>
        <v>1463.41</v>
      </c>
      <c r="D13" s="110">
        <f>'[4]Data Sheet'!D65</f>
        <v>1195.6099999999999</v>
      </c>
      <c r="E13" s="110">
        <f>'[4]Data Sheet'!E65</f>
        <v>1225.2</v>
      </c>
      <c r="F13" s="110">
        <f>'[4]Data Sheet'!F65</f>
        <v>1174.8699999999999</v>
      </c>
      <c r="G13" s="110">
        <f>'[4]Data Sheet'!G65</f>
        <v>1189.23</v>
      </c>
      <c r="H13" s="110">
        <f>'[4]Data Sheet'!H65</f>
        <v>1214.99</v>
      </c>
      <c r="I13" s="110">
        <f>'[4]Data Sheet'!I65</f>
        <v>1668.4</v>
      </c>
      <c r="J13" s="110">
        <f>'[4]Data Sheet'!J65</f>
        <v>2121.39</v>
      </c>
      <c r="K13" s="110">
        <f>'[4]Data Sheet'!K65</f>
        <v>2774.68</v>
      </c>
    </row>
    <row r="14" spans="1:11" s="107" customFormat="1" x14ac:dyDescent="0.25">
      <c r="A14" s="107" t="s">
        <v>93</v>
      </c>
      <c r="B14" s="110">
        <f>'[4]Data Sheet'!B66</f>
        <v>2304.52</v>
      </c>
      <c r="C14" s="110">
        <f>'[4]Data Sheet'!C66</f>
        <v>2603.88</v>
      </c>
      <c r="D14" s="110">
        <f>'[4]Data Sheet'!D66</f>
        <v>2522.9699999999998</v>
      </c>
      <c r="E14" s="110">
        <f>'[4]Data Sheet'!E66</f>
        <v>2835.98</v>
      </c>
      <c r="F14" s="110">
        <f>'[4]Data Sheet'!F66</f>
        <v>3097.99</v>
      </c>
      <c r="G14" s="110">
        <f>'[4]Data Sheet'!G66</f>
        <v>3237.5</v>
      </c>
      <c r="H14" s="110">
        <f>'[4]Data Sheet'!H66</f>
        <v>3660.95</v>
      </c>
      <c r="I14" s="110">
        <f>'[4]Data Sheet'!I66</f>
        <v>4013.4</v>
      </c>
      <c r="J14" s="110">
        <f>'[4]Data Sheet'!J66</f>
        <v>4414.6899999999996</v>
      </c>
      <c r="K14" s="110">
        <f>'[4]Data Sheet'!K66</f>
        <v>5133.9799999999996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s="106" t="s">
        <v>92</v>
      </c>
      <c r="B16" s="109">
        <f t="shared" ref="B16:K16" si="0">B13-B7</f>
        <v>498.70000000000005</v>
      </c>
      <c r="C16" s="109">
        <f t="shared" si="0"/>
        <v>725.82</v>
      </c>
      <c r="D16" s="109">
        <f t="shared" si="0"/>
        <v>473.89999999999986</v>
      </c>
      <c r="E16" s="109">
        <f t="shared" si="0"/>
        <v>608.33000000000004</v>
      </c>
      <c r="F16" s="109">
        <f t="shared" si="0"/>
        <v>351.93999999999994</v>
      </c>
      <c r="G16" s="109">
        <f t="shared" si="0"/>
        <v>431.98</v>
      </c>
      <c r="H16" s="109">
        <f t="shared" si="0"/>
        <v>370.73</v>
      </c>
      <c r="I16" s="109">
        <f t="shared" si="0"/>
        <v>484.79000000000019</v>
      </c>
      <c r="J16" s="109">
        <f t="shared" si="0"/>
        <v>486.33999999999992</v>
      </c>
      <c r="K16" s="109">
        <f t="shared" si="0"/>
        <v>691.56</v>
      </c>
    </row>
    <row r="17" spans="1:11" x14ac:dyDescent="0.25">
      <c r="A17" s="106" t="s">
        <v>91</v>
      </c>
      <c r="B17" s="109">
        <f>'[4]Data Sheet'!B67</f>
        <v>150.4</v>
      </c>
      <c r="C17" s="109">
        <f>'[4]Data Sheet'!C67</f>
        <v>115.1</v>
      </c>
      <c r="D17" s="109">
        <f>'[4]Data Sheet'!D67</f>
        <v>241.91</v>
      </c>
      <c r="E17" s="109">
        <f>'[4]Data Sheet'!E67</f>
        <v>166.52</v>
      </c>
      <c r="F17" s="109">
        <f>'[4]Data Sheet'!F67</f>
        <v>168.72</v>
      </c>
      <c r="G17" s="109">
        <f>'[4]Data Sheet'!G67</f>
        <v>125.99</v>
      </c>
      <c r="H17" s="109">
        <f>'[4]Data Sheet'!H67</f>
        <v>189.38</v>
      </c>
      <c r="I17" s="109">
        <f>'[4]Data Sheet'!I67</f>
        <v>196.84</v>
      </c>
      <c r="J17" s="109">
        <f>'[4]Data Sheet'!J67</f>
        <v>104.06</v>
      </c>
      <c r="K17" s="109">
        <f>'[4]Data Sheet'!K67</f>
        <v>174.34</v>
      </c>
    </row>
    <row r="18" spans="1:11" x14ac:dyDescent="0.25">
      <c r="A18" s="106" t="s">
        <v>90</v>
      </c>
      <c r="B18" s="109">
        <f>'[4]Data Sheet'!B68</f>
        <v>547.51</v>
      </c>
      <c r="C18" s="109">
        <f>'[4]Data Sheet'!C68</f>
        <v>437.67</v>
      </c>
      <c r="D18" s="109">
        <f>'[4]Data Sheet'!D68</f>
        <v>477.1</v>
      </c>
      <c r="E18" s="109">
        <f>'[4]Data Sheet'!E68</f>
        <v>503.56</v>
      </c>
      <c r="F18" s="109">
        <f>'[4]Data Sheet'!F68</f>
        <v>551.52</v>
      </c>
      <c r="G18" s="109">
        <f>'[4]Data Sheet'!G68</f>
        <v>557.82000000000005</v>
      </c>
      <c r="H18" s="109">
        <f>'[4]Data Sheet'!H68</f>
        <v>637.13</v>
      </c>
      <c r="I18" s="109">
        <f>'[4]Data Sheet'!I68</f>
        <v>826.55</v>
      </c>
      <c r="J18" s="109">
        <f>'[4]Data Sheet'!J68</f>
        <v>1163.19</v>
      </c>
      <c r="K18" s="109">
        <f>'[4]Data Sheet'!K68</f>
        <v>1183.76</v>
      </c>
    </row>
    <row r="20" spans="1:11" x14ac:dyDescent="0.25">
      <c r="A20" s="106" t="s">
        <v>89</v>
      </c>
      <c r="B20" s="109">
        <f>IF('[4]Profit &amp; Loss'!B4&gt;0,'Force Motors (BS)'!B17/('[4]Profit &amp; Loss'!B4/365),0)</f>
        <v>0</v>
      </c>
      <c r="C20" s="109">
        <f>IF('[4]Profit &amp; Loss'!C4&gt;0,'Force Motors (BS)'!C17/('[4]Profit &amp; Loss'!C4/365),0)</f>
        <v>0</v>
      </c>
      <c r="D20" s="109">
        <f>IF('[4]Profit &amp; Loss'!D4&gt;0,'Force Motors (BS)'!D17/('[4]Profit &amp; Loss'!D4/365),0)</f>
        <v>0</v>
      </c>
      <c r="E20" s="109">
        <f>IF('[4]Profit &amp; Loss'!E4&gt;0,'Force Motors (BS)'!E17/('[4]Profit &amp; Loss'!E4/365),0)</f>
        <v>0</v>
      </c>
      <c r="F20" s="109">
        <f>IF('[4]Profit &amp; Loss'!F4&gt;0,'Force Motors (BS)'!F17/('[4]Profit &amp; Loss'!F4/365),0)</f>
        <v>0</v>
      </c>
      <c r="G20" s="109">
        <f>IF('[4]Profit &amp; Loss'!G4&gt;0,'Force Motors (BS)'!G17/('[4]Profit &amp; Loss'!G4/365),0)</f>
        <v>0</v>
      </c>
      <c r="H20" s="109">
        <f>IF('[4]Profit &amp; Loss'!H4&gt;0,'Force Motors (BS)'!H17/('[4]Profit &amp; Loss'!H4/365),0)</f>
        <v>0</v>
      </c>
      <c r="I20" s="109">
        <f>IF('[4]Profit &amp; Loss'!I4&gt;0,'Force Motors (BS)'!I17/('[4]Profit &amp; Loss'!I4/365),0)</f>
        <v>0</v>
      </c>
      <c r="J20" s="109">
        <f>IF('[4]Profit &amp; Loss'!J4&gt;0,'Force Motors (BS)'!J17/('[4]Profit &amp; Loss'!J4/365),0)</f>
        <v>0</v>
      </c>
      <c r="K20" s="109">
        <f>IF('[4]Profit &amp; Loss'!K4&gt;0,'Force Motors (BS)'!K17/('[4]Profit &amp; Loss'!K4/365),0)</f>
        <v>0</v>
      </c>
    </row>
    <row r="21" spans="1:11" x14ac:dyDescent="0.25">
      <c r="A21" s="106" t="s">
        <v>88</v>
      </c>
      <c r="B21" s="109">
        <f>IF('Force Motors (BS)'!B18&gt;0,'[4]Profit &amp; Loss'!B4/'Force Motors (BS)'!B18,0)</f>
        <v>0</v>
      </c>
      <c r="C21" s="109">
        <f>IF('Force Motors (BS)'!C18&gt;0,'[4]Profit &amp; Loss'!C4/'Force Motors (BS)'!C18,0)</f>
        <v>0</v>
      </c>
      <c r="D21" s="109">
        <f>IF('Force Motors (BS)'!D18&gt;0,'[4]Profit &amp; Loss'!D4/'Force Motors (BS)'!D18,0)</f>
        <v>0</v>
      </c>
      <c r="E21" s="109">
        <f>IF('Force Motors (BS)'!E18&gt;0,'[4]Profit &amp; Loss'!E4/'Force Motors (BS)'!E18,0)</f>
        <v>0</v>
      </c>
      <c r="F21" s="109">
        <f>IF('Force Motors (BS)'!F18&gt;0,'[4]Profit &amp; Loss'!F4/'Force Motors (BS)'!F18,0)</f>
        <v>0</v>
      </c>
      <c r="G21" s="109">
        <f>IF('Force Motors (BS)'!G18&gt;0,'[4]Profit &amp; Loss'!G4/'Force Motors (BS)'!G18,0)</f>
        <v>0</v>
      </c>
      <c r="H21" s="109">
        <f>IF('Force Motors (BS)'!H18&gt;0,'[4]Profit &amp; Loss'!H4/'Force Motors (BS)'!H18,0)</f>
        <v>0</v>
      </c>
      <c r="I21" s="109">
        <f>IF('Force Motors (BS)'!I18&gt;0,'[4]Profit &amp; Loss'!I4/'Force Motors (BS)'!I18,0)</f>
        <v>0</v>
      </c>
      <c r="J21" s="109">
        <f>IF('Force Motors (BS)'!J18&gt;0,'[4]Profit &amp; Loss'!J4/'Force Motors (BS)'!J18,0)</f>
        <v>0</v>
      </c>
      <c r="K21" s="109">
        <f>IF('Force Motors (BS)'!K18&gt;0,'[4]Profit &amp; Loss'!K4/'Force Motors (BS)'!K18,0)</f>
        <v>0</v>
      </c>
    </row>
    <row r="23" spans="1:11" s="107" customFormat="1" x14ac:dyDescent="0.25">
      <c r="A23" s="107" t="s">
        <v>87</v>
      </c>
      <c r="B23" s="108">
        <f>IF(SUM('Force Motors (BS)'!B4:B5)&gt;0,'[4]Profit &amp; Loss'!B12/SUM('Force Motors (BS)'!B4:B5),"")</f>
        <v>0</v>
      </c>
      <c r="C23" s="108">
        <f>IF(SUM('Force Motors (BS)'!C4:C5)&gt;0,'[4]Profit &amp; Loss'!C12/SUM('Force Motors (BS)'!C4:C5),"")</f>
        <v>0</v>
      </c>
      <c r="D23" s="108">
        <f>IF(SUM('Force Motors (BS)'!D4:D5)&gt;0,'[4]Profit &amp; Loss'!D12/SUM('Force Motors (BS)'!D4:D5),"")</f>
        <v>0</v>
      </c>
      <c r="E23" s="108">
        <f>IF(SUM('Force Motors (BS)'!E4:E5)&gt;0,'[4]Profit &amp; Loss'!E12/SUM('Force Motors (BS)'!E4:E5),"")</f>
        <v>0</v>
      </c>
      <c r="F23" s="108">
        <f>IF(SUM('Force Motors (BS)'!F4:F5)&gt;0,'[4]Profit &amp; Loss'!F12/SUM('Force Motors (BS)'!F4:F5),"")</f>
        <v>0</v>
      </c>
      <c r="G23" s="108">
        <f>IF(SUM('Force Motors (BS)'!G4:G5)&gt;0,'[4]Profit &amp; Loss'!G12/SUM('Force Motors (BS)'!G4:G5),"")</f>
        <v>0</v>
      </c>
      <c r="H23" s="108">
        <f>IF(SUM('Force Motors (BS)'!H4:H5)&gt;0,'[4]Profit &amp; Loss'!H12/SUM('Force Motors (BS)'!H4:H5),"")</f>
        <v>0</v>
      </c>
      <c r="I23" s="108">
        <f>IF(SUM('Force Motors (BS)'!I4:I5)&gt;0,'[4]Profit &amp; Loss'!I12/SUM('Force Motors (BS)'!I4:I5),"")</f>
        <v>0</v>
      </c>
      <c r="J23" s="108">
        <f>IF(SUM('Force Motors (BS)'!J4:J5)&gt;0,'[4]Profit &amp; Loss'!J12/SUM('Force Motors (BS)'!J4:J5),"")</f>
        <v>0</v>
      </c>
      <c r="K23" s="108">
        <f>IF(SUM('Force Motors (BS)'!K4:K5)&gt;0,'[4]Profit &amp; Loss'!K12/SUM('Force Motors (BS)'!K4:K5),"")</f>
        <v>0</v>
      </c>
    </row>
    <row r="24" spans="1:11" s="107" customFormat="1" x14ac:dyDescent="0.25">
      <c r="A24" s="107" t="s">
        <v>86</v>
      </c>
      <c r="B24" s="108"/>
      <c r="C24" s="108">
        <f>IF((B4+B5+B6+C4+C5+C6)&gt;0,('[4]Profit &amp; Loss'!C10+'[4]Profit &amp; Loss'!C9)*2/(B4+B5+B6+C4+C5+C6),"")</f>
        <v>0</v>
      </c>
      <c r="D24" s="108">
        <f>IF((C4+C5+C6+D4+D5+D6)&gt;0,('[4]Profit &amp; Loss'!D10+'[4]Profit &amp; Loss'!D9)*2/(C4+C5+C6+D4+D5+D6),"")</f>
        <v>0</v>
      </c>
      <c r="E24" s="108">
        <f>IF((D4+D5+D6+E4+E5+E6)&gt;0,('[4]Profit &amp; Loss'!E10+'[4]Profit &amp; Loss'!E9)*2/(D4+D5+D6+E4+E5+E6),"")</f>
        <v>0</v>
      </c>
      <c r="F24" s="108">
        <f>IF((E4+E5+E6+F4+F5+F6)&gt;0,('[4]Profit &amp; Loss'!F10+'[4]Profit &amp; Loss'!F9)*2/(E4+E5+E6+F4+F5+F6),"")</f>
        <v>0</v>
      </c>
      <c r="G24" s="108">
        <f>IF((F4+F5+F6+G4+G5+G6)&gt;0,('[4]Profit &amp; Loss'!G10+'[4]Profit &amp; Loss'!G9)*2/(F4+F5+F6+G4+G5+G6),"")</f>
        <v>0</v>
      </c>
      <c r="H24" s="108">
        <f>IF((G4+G5+G6+H4+H5+H6)&gt;0,('[4]Profit &amp; Loss'!H10+'[4]Profit &amp; Loss'!H9)*2/(G4+G5+G6+H4+H5+H6),"")</f>
        <v>0</v>
      </c>
      <c r="I24" s="108">
        <f>IF((H4+H5+H6+I4+I5+I6)&gt;0,('[4]Profit &amp; Loss'!I10+'[4]Profit &amp; Loss'!I9)*2/(H4+H5+H6+I4+I5+I6),"")</f>
        <v>0</v>
      </c>
      <c r="J24" s="108">
        <f>IF((I4+I5+I6+J4+J5+J6)&gt;0,('[4]Profit &amp; Loss'!J10+'[4]Profit &amp; Loss'!J9)*2/(I4+I5+I6+J4+J5+J6),"")</f>
        <v>0</v>
      </c>
      <c r="K24" s="108">
        <f>IF((J4+J5+J6+K4+K5+K6)&gt;0,('[4]Profit &amp; Loss'!K10+'[4]Profit &amp; Loss'!K9)*2/(J4+J5+J6+K4+K5+K6),"")</f>
        <v>0</v>
      </c>
    </row>
  </sheetData>
  <hyperlinks>
    <hyperlink ref="J1" r:id="rId1" xr:uid="{5F0C6040-61E2-4767-8E1B-D30296885A7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2260-5AC7-4E57-9416-E344D0B7CA44}">
  <dimension ref="A1:K93"/>
  <sheetViews>
    <sheetView zoomScale="120" zoomScaleNormal="120" zoomScalePageLayoutView="120" workbookViewId="0">
      <pane xSplit="1" ySplit="1" topLeftCell="B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139</v>
      </c>
      <c r="E1" s="210" t="str">
        <f>IF(B2&lt;&gt;B3, "A NEW VERSION OF THE WORKSHEET IS AVAILABLE", "")</f>
        <v/>
      </c>
      <c r="F1" s="210"/>
      <c r="G1" s="210"/>
      <c r="H1" s="210"/>
      <c r="I1" s="210"/>
      <c r="J1" s="210"/>
      <c r="K1" s="210"/>
    </row>
    <row r="2" spans="1:11" x14ac:dyDescent="0.25">
      <c r="A2" s="115" t="s">
        <v>134</v>
      </c>
      <c r="B2" s="109">
        <v>2.1</v>
      </c>
      <c r="E2" s="211" t="s">
        <v>133</v>
      </c>
      <c r="F2" s="211"/>
      <c r="G2" s="211"/>
      <c r="H2" s="211"/>
      <c r="I2" s="211"/>
      <c r="J2" s="211"/>
      <c r="K2" s="211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1.3176262068965519</v>
      </c>
    </row>
    <row r="7" spans="1:11" x14ac:dyDescent="0.25">
      <c r="A7" s="109" t="s">
        <v>129</v>
      </c>
      <c r="B7" s="106">
        <v>10</v>
      </c>
    </row>
    <row r="8" spans="1:11" x14ac:dyDescent="0.25">
      <c r="A8" s="109" t="s">
        <v>128</v>
      </c>
      <c r="B8" s="106">
        <v>14500</v>
      </c>
    </row>
    <row r="9" spans="1:11" x14ac:dyDescent="0.25">
      <c r="A9" s="109" t="s">
        <v>127</v>
      </c>
      <c r="B9" s="106">
        <v>19105.580000000002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12">
        <v>42460</v>
      </c>
      <c r="C16" s="112">
        <v>42825</v>
      </c>
      <c r="D16" s="112">
        <v>43190</v>
      </c>
      <c r="E16" s="112">
        <v>43555</v>
      </c>
      <c r="F16" s="112">
        <v>43921</v>
      </c>
      <c r="G16" s="112">
        <v>44286</v>
      </c>
      <c r="H16" s="112">
        <v>44651</v>
      </c>
      <c r="I16" s="112">
        <v>45016</v>
      </c>
      <c r="J16" s="112">
        <v>45382</v>
      </c>
      <c r="K16" s="112">
        <v>45747</v>
      </c>
    </row>
    <row r="17" spans="1:11" s="116" customFormat="1" x14ac:dyDescent="0.25">
      <c r="A17" s="116" t="s">
        <v>80</v>
      </c>
      <c r="B17" s="106">
        <v>3025</v>
      </c>
      <c r="C17" s="106">
        <v>3069.37</v>
      </c>
      <c r="D17" s="106">
        <v>3422.95</v>
      </c>
      <c r="E17" s="106">
        <v>3652.45</v>
      </c>
      <c r="F17" s="106">
        <v>3080.52</v>
      </c>
      <c r="G17" s="106">
        <v>1988.19</v>
      </c>
      <c r="H17" s="106">
        <v>3240.42</v>
      </c>
      <c r="I17" s="106">
        <v>5028.9799999999996</v>
      </c>
      <c r="J17" s="106">
        <v>6992.13</v>
      </c>
      <c r="K17" s="106">
        <v>8071.73</v>
      </c>
    </row>
    <row r="18" spans="1:11" s="116" customFormat="1" x14ac:dyDescent="0.25">
      <c r="A18" s="109" t="s">
        <v>125</v>
      </c>
      <c r="B18" s="106">
        <v>2237.64</v>
      </c>
      <c r="C18" s="106">
        <v>2130.56</v>
      </c>
      <c r="D18" s="106">
        <v>2609.2399999999998</v>
      </c>
      <c r="E18" s="106">
        <v>2814.71</v>
      </c>
      <c r="F18" s="106">
        <v>2140.14</v>
      </c>
      <c r="G18" s="106">
        <v>1520.36</v>
      </c>
      <c r="H18" s="106">
        <v>2581.4299999999998</v>
      </c>
      <c r="I18" s="106">
        <v>3928.05</v>
      </c>
      <c r="J18" s="106">
        <v>5231.5</v>
      </c>
      <c r="K18" s="106">
        <v>5958.64</v>
      </c>
    </row>
    <row r="19" spans="1:11" s="116" customFormat="1" x14ac:dyDescent="0.25">
      <c r="A19" s="109" t="s">
        <v>124</v>
      </c>
      <c r="B19" s="106">
        <v>65.19</v>
      </c>
      <c r="C19" s="106">
        <v>-71.790000000000006</v>
      </c>
      <c r="D19" s="106">
        <v>51.32</v>
      </c>
      <c r="E19" s="106">
        <v>34.25</v>
      </c>
      <c r="F19" s="106">
        <v>-82.65</v>
      </c>
      <c r="G19" s="106">
        <v>26.65</v>
      </c>
      <c r="H19" s="106">
        <v>-37.78</v>
      </c>
      <c r="I19" s="106">
        <v>7.88</v>
      </c>
      <c r="J19" s="106">
        <v>107.03</v>
      </c>
      <c r="K19" s="106">
        <v>11.53</v>
      </c>
    </row>
    <row r="20" spans="1:11" s="116" customFormat="1" x14ac:dyDescent="0.25">
      <c r="A20" s="109" t="s">
        <v>123</v>
      </c>
      <c r="B20" s="106">
        <v>45.71</v>
      </c>
      <c r="C20" s="106">
        <v>44.55</v>
      </c>
      <c r="D20" s="106">
        <v>48.23</v>
      </c>
      <c r="E20" s="106">
        <v>48.86</v>
      </c>
      <c r="F20" s="106">
        <v>47.25</v>
      </c>
      <c r="G20" s="106">
        <v>35.22</v>
      </c>
      <c r="H20" s="106">
        <v>42.5</v>
      </c>
      <c r="I20" s="106">
        <v>53.69</v>
      </c>
      <c r="J20" s="106">
        <v>57.31</v>
      </c>
    </row>
    <row r="21" spans="1:11" s="116" customFormat="1" x14ac:dyDescent="0.25">
      <c r="A21" s="109" t="s">
        <v>122</v>
      </c>
      <c r="B21" s="106">
        <v>104.65</v>
      </c>
      <c r="C21" s="106">
        <v>107.15</v>
      </c>
      <c r="D21" s="106">
        <v>114.45</v>
      </c>
      <c r="E21" s="106">
        <v>112.85</v>
      </c>
      <c r="F21" s="106">
        <v>103.9</v>
      </c>
      <c r="G21" s="106">
        <v>74.02</v>
      </c>
      <c r="H21" s="106">
        <v>92.55</v>
      </c>
      <c r="I21" s="106">
        <v>162.81</v>
      </c>
      <c r="J21" s="106">
        <v>213.5</v>
      </c>
    </row>
    <row r="22" spans="1:11" s="116" customFormat="1" x14ac:dyDescent="0.25">
      <c r="A22" s="109" t="s">
        <v>121</v>
      </c>
      <c r="B22" s="106">
        <v>304.31</v>
      </c>
      <c r="C22" s="106">
        <v>350.08</v>
      </c>
      <c r="D22" s="106">
        <v>387.55</v>
      </c>
      <c r="E22" s="106">
        <v>405.36</v>
      </c>
      <c r="F22" s="106">
        <v>406.58</v>
      </c>
      <c r="G22" s="106">
        <v>351.15</v>
      </c>
      <c r="H22" s="106">
        <v>368.08</v>
      </c>
      <c r="I22" s="106">
        <v>422.44</v>
      </c>
      <c r="J22" s="106">
        <v>533.34</v>
      </c>
      <c r="K22" s="106">
        <v>591.89</v>
      </c>
    </row>
    <row r="23" spans="1:11" s="116" customFormat="1" x14ac:dyDescent="0.25">
      <c r="A23" s="109" t="s">
        <v>120</v>
      </c>
      <c r="B23" s="106">
        <v>82.56</v>
      </c>
      <c r="C23" s="106">
        <v>79.27</v>
      </c>
      <c r="D23" s="106">
        <v>60.47</v>
      </c>
      <c r="E23" s="106">
        <v>60.54</v>
      </c>
      <c r="F23" s="106">
        <v>60.63</v>
      </c>
      <c r="G23" s="106">
        <v>39.17</v>
      </c>
      <c r="H23" s="106">
        <v>51.79</v>
      </c>
      <c r="I23" s="106">
        <v>77.14</v>
      </c>
      <c r="J23" s="106">
        <v>108.75</v>
      </c>
    </row>
    <row r="24" spans="1:11" s="116" customFormat="1" x14ac:dyDescent="0.25">
      <c r="A24" s="109" t="s">
        <v>119</v>
      </c>
      <c r="B24" s="106">
        <v>40.99</v>
      </c>
      <c r="C24" s="106">
        <v>17.87</v>
      </c>
      <c r="D24" s="106">
        <v>-13.46</v>
      </c>
      <c r="E24" s="106">
        <v>-30.39</v>
      </c>
      <c r="F24" s="106">
        <v>-21.53</v>
      </c>
      <c r="G24" s="106">
        <v>-29.44</v>
      </c>
      <c r="H24" s="106">
        <v>15.83</v>
      </c>
      <c r="I24" s="106">
        <v>79.52</v>
      </c>
      <c r="J24" s="106">
        <v>58.19</v>
      </c>
      <c r="K24" s="106">
        <v>440.01</v>
      </c>
    </row>
    <row r="25" spans="1:11" s="116" customFormat="1" x14ac:dyDescent="0.25">
      <c r="A25" s="116" t="s">
        <v>77</v>
      </c>
      <c r="B25" s="106">
        <v>71.44</v>
      </c>
      <c r="C25" s="106">
        <v>85.89</v>
      </c>
      <c r="D25" s="106">
        <v>68.72</v>
      </c>
      <c r="E25" s="106">
        <v>81.62</v>
      </c>
      <c r="F25" s="106">
        <v>3.48</v>
      </c>
      <c r="G25" s="106">
        <v>1.68</v>
      </c>
      <c r="H25" s="106">
        <v>51.88</v>
      </c>
      <c r="I25" s="106">
        <v>268.35000000000002</v>
      </c>
      <c r="J25" s="106">
        <v>37.39</v>
      </c>
      <c r="K25" s="106">
        <v>451.65</v>
      </c>
    </row>
    <row r="26" spans="1:11" s="116" customFormat="1" x14ac:dyDescent="0.25">
      <c r="A26" s="116" t="s">
        <v>76</v>
      </c>
      <c r="B26" s="106">
        <v>91.89</v>
      </c>
      <c r="C26" s="106">
        <v>113.08</v>
      </c>
      <c r="D26" s="106">
        <v>129.26</v>
      </c>
      <c r="E26" s="106">
        <v>150.91999999999999</v>
      </c>
      <c r="F26" s="106">
        <v>194.52</v>
      </c>
      <c r="G26" s="106">
        <v>173.67</v>
      </c>
      <c r="H26" s="106">
        <v>190.94</v>
      </c>
      <c r="I26" s="106">
        <v>240.74</v>
      </c>
      <c r="J26" s="106">
        <v>266.75</v>
      </c>
      <c r="K26" s="106">
        <v>280.24</v>
      </c>
    </row>
    <row r="27" spans="1:11" s="116" customFormat="1" x14ac:dyDescent="0.25">
      <c r="A27" s="116" t="s">
        <v>75</v>
      </c>
      <c r="B27" s="106">
        <v>5.3</v>
      </c>
      <c r="C27" s="106">
        <v>5.54</v>
      </c>
      <c r="D27" s="106">
        <v>6.67</v>
      </c>
      <c r="E27" s="106">
        <v>15.33</v>
      </c>
      <c r="F27" s="106">
        <v>27.85</v>
      </c>
      <c r="G27" s="106">
        <v>28.22</v>
      </c>
      <c r="H27" s="106">
        <v>41.04</v>
      </c>
      <c r="I27" s="106">
        <v>68.400000000000006</v>
      </c>
      <c r="J27" s="106">
        <v>62.14</v>
      </c>
      <c r="K27" s="106">
        <v>25.87</v>
      </c>
    </row>
    <row r="28" spans="1:11" s="116" customFormat="1" x14ac:dyDescent="0.25">
      <c r="A28" s="116" t="s">
        <v>74</v>
      </c>
      <c r="B28" s="106">
        <v>248.58</v>
      </c>
      <c r="C28" s="106">
        <v>235.37</v>
      </c>
      <c r="D28" s="106">
        <v>200.58</v>
      </c>
      <c r="E28" s="106">
        <v>190.14</v>
      </c>
      <c r="F28" s="106">
        <v>42.01</v>
      </c>
      <c r="G28" s="106">
        <v>-175.85</v>
      </c>
      <c r="H28" s="106">
        <v>-129.63999999999999</v>
      </c>
      <c r="I28" s="106">
        <v>272.42</v>
      </c>
      <c r="J28" s="106">
        <v>605.07000000000005</v>
      </c>
      <c r="K28" s="106">
        <v>1238.26</v>
      </c>
    </row>
    <row r="29" spans="1:11" s="116" customFormat="1" x14ac:dyDescent="0.25">
      <c r="A29" s="116" t="s">
        <v>73</v>
      </c>
      <c r="B29" s="106">
        <v>69.61</v>
      </c>
      <c r="C29" s="106">
        <v>55.19</v>
      </c>
      <c r="D29" s="106">
        <v>53.37</v>
      </c>
      <c r="E29" s="106">
        <v>46.72</v>
      </c>
      <c r="F29" s="106">
        <v>-8.26</v>
      </c>
      <c r="G29" s="106">
        <v>-52.31</v>
      </c>
      <c r="H29" s="106">
        <v>-38.65</v>
      </c>
      <c r="I29" s="106">
        <v>138.68</v>
      </c>
      <c r="J29" s="106">
        <v>216.86</v>
      </c>
      <c r="K29" s="106">
        <v>437.4</v>
      </c>
    </row>
    <row r="30" spans="1:11" s="116" customFormat="1" x14ac:dyDescent="0.25">
      <c r="A30" s="116" t="s">
        <v>72</v>
      </c>
      <c r="B30" s="106">
        <v>178.89</v>
      </c>
      <c r="C30" s="106">
        <v>180.09</v>
      </c>
      <c r="D30" s="106">
        <v>147.12</v>
      </c>
      <c r="E30" s="106">
        <v>143.33000000000001</v>
      </c>
      <c r="F30" s="106">
        <v>50.17</v>
      </c>
      <c r="G30" s="106">
        <v>-123.63</v>
      </c>
      <c r="H30" s="106">
        <v>-91.08</v>
      </c>
      <c r="I30" s="106">
        <v>133.63999999999999</v>
      </c>
      <c r="J30" s="106">
        <v>388.09</v>
      </c>
      <c r="K30" s="106">
        <v>800.74</v>
      </c>
    </row>
    <row r="31" spans="1:11" s="116" customFormat="1" x14ac:dyDescent="0.25">
      <c r="A31" s="116" t="s">
        <v>118</v>
      </c>
      <c r="B31" s="106">
        <v>13.18</v>
      </c>
      <c r="C31" s="106">
        <v>13.18</v>
      </c>
      <c r="D31" s="106">
        <v>13.18</v>
      </c>
      <c r="E31" s="106">
        <v>13.18</v>
      </c>
      <c r="F31" s="106">
        <v>13.18</v>
      </c>
      <c r="G31" s="106">
        <v>6.59</v>
      </c>
      <c r="H31" s="106">
        <v>13.18</v>
      </c>
      <c r="I31" s="106">
        <v>13.18</v>
      </c>
      <c r="J31" s="106">
        <v>26.36</v>
      </c>
      <c r="K31" s="106">
        <v>52.72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12">
        <v>44926</v>
      </c>
      <c r="C41" s="112">
        <v>45016</v>
      </c>
      <c r="D41" s="112">
        <v>45107</v>
      </c>
      <c r="E41" s="112">
        <v>45199</v>
      </c>
      <c r="F41" s="112">
        <v>45291</v>
      </c>
      <c r="G41" s="112">
        <v>45382</v>
      </c>
      <c r="H41" s="112">
        <v>45473</v>
      </c>
      <c r="I41" s="112">
        <v>45565</v>
      </c>
      <c r="J41" s="112">
        <v>45657</v>
      </c>
      <c r="K41" s="112">
        <v>45747</v>
      </c>
    </row>
    <row r="42" spans="1:11" s="116" customFormat="1" x14ac:dyDescent="0.25">
      <c r="A42" s="116" t="s">
        <v>80</v>
      </c>
      <c r="B42" s="106">
        <v>1303.8599999999999</v>
      </c>
      <c r="C42" s="106">
        <v>1490.25</v>
      </c>
      <c r="D42" s="106">
        <v>1487.55</v>
      </c>
      <c r="E42" s="106">
        <v>1801.68</v>
      </c>
      <c r="F42" s="106">
        <v>1691.69</v>
      </c>
      <c r="G42" s="106">
        <v>2011.21</v>
      </c>
      <c r="H42" s="106">
        <v>1884.9</v>
      </c>
      <c r="I42" s="106">
        <v>1941.33</v>
      </c>
      <c r="J42" s="106">
        <v>1889.49</v>
      </c>
      <c r="K42" s="106">
        <v>2356.0100000000002</v>
      </c>
    </row>
    <row r="43" spans="1:11" s="116" customFormat="1" x14ac:dyDescent="0.25">
      <c r="A43" s="116" t="s">
        <v>79</v>
      </c>
      <c r="B43" s="106">
        <v>1249.8499999999999</v>
      </c>
      <c r="C43" s="106">
        <v>1372.14</v>
      </c>
      <c r="D43" s="106">
        <v>1310.4100000000001</v>
      </c>
      <c r="E43" s="106">
        <v>1581.17</v>
      </c>
      <c r="F43" s="106">
        <v>1476.6</v>
      </c>
      <c r="G43" s="106">
        <v>1732.57</v>
      </c>
      <c r="H43" s="106">
        <v>1639.7</v>
      </c>
      <c r="I43" s="106">
        <v>1664.43</v>
      </c>
      <c r="J43" s="106">
        <v>1657.79</v>
      </c>
      <c r="K43" s="106">
        <v>2026.77</v>
      </c>
    </row>
    <row r="44" spans="1:11" s="116" customFormat="1" x14ac:dyDescent="0.25">
      <c r="A44" s="116" t="s">
        <v>77</v>
      </c>
      <c r="B44" s="106">
        <v>5.15</v>
      </c>
      <c r="C44" s="106">
        <v>246.32</v>
      </c>
      <c r="D44" s="106">
        <v>11.47</v>
      </c>
      <c r="E44" s="106">
        <v>9.06</v>
      </c>
      <c r="F44" s="106">
        <v>3.97</v>
      </c>
      <c r="G44" s="106">
        <v>18.079999999999998</v>
      </c>
      <c r="H44" s="106">
        <v>14.97</v>
      </c>
      <c r="I44" s="106">
        <v>8.57</v>
      </c>
      <c r="J44" s="106">
        <v>20.079999999999998</v>
      </c>
      <c r="K44" s="106">
        <v>417.71</v>
      </c>
    </row>
    <row r="45" spans="1:11" s="116" customFormat="1" x14ac:dyDescent="0.25">
      <c r="A45" s="116" t="s">
        <v>76</v>
      </c>
      <c r="B45" s="106">
        <v>60.22</v>
      </c>
      <c r="C45" s="106">
        <v>62.7</v>
      </c>
      <c r="D45" s="106">
        <v>63.46</v>
      </c>
      <c r="E45" s="106">
        <v>66.959999999999994</v>
      </c>
      <c r="F45" s="106">
        <v>68.28</v>
      </c>
      <c r="G45" s="106">
        <v>68.05</v>
      </c>
      <c r="H45" s="106">
        <v>69.290000000000006</v>
      </c>
      <c r="I45" s="106">
        <v>68.56</v>
      </c>
      <c r="J45" s="106">
        <v>70.510000000000005</v>
      </c>
      <c r="K45" s="106">
        <v>71.88</v>
      </c>
    </row>
    <row r="46" spans="1:11" s="116" customFormat="1" x14ac:dyDescent="0.25">
      <c r="A46" s="116" t="s">
        <v>75</v>
      </c>
      <c r="B46" s="106">
        <v>16.989999999999998</v>
      </c>
      <c r="C46" s="106">
        <v>17.98</v>
      </c>
      <c r="D46" s="106">
        <v>17.899999999999999</v>
      </c>
      <c r="E46" s="106">
        <v>15.84</v>
      </c>
      <c r="F46" s="106">
        <v>14.11</v>
      </c>
      <c r="G46" s="106">
        <v>14.29</v>
      </c>
      <c r="H46" s="106">
        <v>9.06</v>
      </c>
      <c r="I46" s="106">
        <v>5.43</v>
      </c>
      <c r="J46" s="106">
        <v>4.12</v>
      </c>
      <c r="K46" s="106">
        <v>7.26</v>
      </c>
    </row>
    <row r="47" spans="1:11" s="116" customFormat="1" x14ac:dyDescent="0.25">
      <c r="A47" s="116" t="s">
        <v>74</v>
      </c>
      <c r="B47" s="106">
        <v>-18.05</v>
      </c>
      <c r="C47" s="106">
        <v>283.75</v>
      </c>
      <c r="D47" s="106">
        <v>107.25</v>
      </c>
      <c r="E47" s="106">
        <v>146.77000000000001</v>
      </c>
      <c r="F47" s="106">
        <v>136.66999999999999</v>
      </c>
      <c r="G47" s="106">
        <v>214.38</v>
      </c>
      <c r="H47" s="106">
        <v>181.82</v>
      </c>
      <c r="I47" s="106">
        <v>211.48</v>
      </c>
      <c r="J47" s="106">
        <v>177.15</v>
      </c>
      <c r="K47" s="106">
        <v>667.81</v>
      </c>
    </row>
    <row r="48" spans="1:11" s="116" customFormat="1" x14ac:dyDescent="0.25">
      <c r="A48" s="116" t="s">
        <v>73</v>
      </c>
      <c r="B48" s="106">
        <v>-2.48</v>
      </c>
      <c r="C48" s="106">
        <v>137.13</v>
      </c>
      <c r="D48" s="106">
        <v>38.659999999999997</v>
      </c>
      <c r="E48" s="106">
        <v>52.88</v>
      </c>
      <c r="F48" s="106">
        <v>51.23</v>
      </c>
      <c r="G48" s="106">
        <v>74.09</v>
      </c>
      <c r="H48" s="106">
        <v>66.09</v>
      </c>
      <c r="I48" s="106">
        <v>76.430000000000007</v>
      </c>
      <c r="J48" s="106">
        <v>61.81</v>
      </c>
      <c r="K48" s="106">
        <v>233.07</v>
      </c>
    </row>
    <row r="49" spans="1:11" s="116" customFormat="1" x14ac:dyDescent="0.25">
      <c r="A49" s="116" t="s">
        <v>72</v>
      </c>
      <c r="B49" s="106">
        <v>-15.59</v>
      </c>
      <c r="C49" s="106">
        <v>146.59</v>
      </c>
      <c r="D49" s="106">
        <v>68.59</v>
      </c>
      <c r="E49" s="106">
        <v>93.87</v>
      </c>
      <c r="F49" s="106">
        <v>85.4</v>
      </c>
      <c r="G49" s="106">
        <v>140.26</v>
      </c>
      <c r="H49" s="106">
        <v>115.7</v>
      </c>
      <c r="I49" s="106">
        <v>135.02000000000001</v>
      </c>
      <c r="J49" s="106">
        <v>115.31</v>
      </c>
      <c r="K49" s="106">
        <v>434.71</v>
      </c>
    </row>
    <row r="50" spans="1:11" x14ac:dyDescent="0.25">
      <c r="A50" s="116" t="s">
        <v>78</v>
      </c>
      <c r="B50" s="106">
        <v>54.01</v>
      </c>
      <c r="C50" s="106">
        <v>118.11</v>
      </c>
      <c r="D50" s="106">
        <v>177.14</v>
      </c>
      <c r="E50" s="106">
        <v>220.51</v>
      </c>
      <c r="F50" s="106">
        <v>215.09</v>
      </c>
      <c r="G50" s="106">
        <v>278.64</v>
      </c>
      <c r="H50" s="106">
        <v>245.2</v>
      </c>
      <c r="I50" s="106">
        <v>276.89999999999998</v>
      </c>
      <c r="J50" s="106">
        <v>231.7</v>
      </c>
      <c r="K50" s="106">
        <v>329.24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12">
        <v>42460</v>
      </c>
      <c r="C56" s="112">
        <v>42825</v>
      </c>
      <c r="D56" s="112">
        <v>43190</v>
      </c>
      <c r="E56" s="112">
        <v>43555</v>
      </c>
      <c r="F56" s="112">
        <v>43921</v>
      </c>
      <c r="G56" s="112">
        <v>44286</v>
      </c>
      <c r="H56" s="112">
        <v>44651</v>
      </c>
      <c r="I56" s="112">
        <v>45016</v>
      </c>
      <c r="J56" s="112">
        <v>45382</v>
      </c>
      <c r="K56" s="112">
        <v>45747</v>
      </c>
    </row>
    <row r="57" spans="1:11" x14ac:dyDescent="0.25">
      <c r="A57" s="116" t="s">
        <v>101</v>
      </c>
      <c r="B57" s="106">
        <v>13.18</v>
      </c>
      <c r="C57" s="106">
        <v>13.18</v>
      </c>
      <c r="D57" s="106">
        <v>13.18</v>
      </c>
      <c r="E57" s="106">
        <v>13.18</v>
      </c>
      <c r="F57" s="106">
        <v>13.18</v>
      </c>
      <c r="G57" s="106">
        <v>13.18</v>
      </c>
      <c r="H57" s="106">
        <v>13.18</v>
      </c>
      <c r="I57" s="106">
        <v>13.18</v>
      </c>
      <c r="J57" s="106">
        <v>13.18</v>
      </c>
      <c r="K57" s="106">
        <v>13.18</v>
      </c>
    </row>
    <row r="58" spans="1:11" x14ac:dyDescent="0.25">
      <c r="A58" s="116" t="s">
        <v>100</v>
      </c>
      <c r="B58" s="106">
        <v>1476.46</v>
      </c>
      <c r="C58" s="106">
        <v>1654.4</v>
      </c>
      <c r="D58" s="106">
        <v>1787.95</v>
      </c>
      <c r="E58" s="106">
        <v>1920.03</v>
      </c>
      <c r="F58" s="106">
        <v>1952.16</v>
      </c>
      <c r="G58" s="106">
        <v>1824.65</v>
      </c>
      <c r="H58" s="106">
        <v>1734.69</v>
      </c>
      <c r="I58" s="106">
        <v>1861.85</v>
      </c>
      <c r="J58" s="106">
        <v>2241.96</v>
      </c>
      <c r="K58" s="106">
        <v>3020.25</v>
      </c>
    </row>
    <row r="59" spans="1:11" x14ac:dyDescent="0.25">
      <c r="A59" s="116" t="s">
        <v>99</v>
      </c>
      <c r="B59" s="106">
        <v>13.6</v>
      </c>
      <c r="C59" s="106">
        <v>198.71</v>
      </c>
      <c r="D59" s="106">
        <v>0.13</v>
      </c>
      <c r="E59" s="106">
        <v>285.89999999999998</v>
      </c>
      <c r="F59" s="106">
        <v>309.72000000000003</v>
      </c>
      <c r="G59" s="106">
        <v>642.41999999999996</v>
      </c>
      <c r="H59" s="106">
        <v>1068.82</v>
      </c>
      <c r="I59" s="106">
        <v>954.76</v>
      </c>
      <c r="J59" s="106">
        <v>524.5</v>
      </c>
      <c r="K59" s="106">
        <v>17.43</v>
      </c>
    </row>
    <row r="60" spans="1:11" x14ac:dyDescent="0.25">
      <c r="A60" s="116" t="s">
        <v>98</v>
      </c>
      <c r="B60" s="106">
        <v>801.28</v>
      </c>
      <c r="C60" s="106">
        <v>737.59</v>
      </c>
      <c r="D60" s="106">
        <v>721.71</v>
      </c>
      <c r="E60" s="106">
        <v>616.87</v>
      </c>
      <c r="F60" s="106">
        <v>822.93</v>
      </c>
      <c r="G60" s="106">
        <v>757.25</v>
      </c>
      <c r="H60" s="106">
        <v>844.26</v>
      </c>
      <c r="I60" s="106">
        <v>1183.6099999999999</v>
      </c>
      <c r="J60" s="106">
        <v>1635.05</v>
      </c>
      <c r="K60" s="106">
        <v>2083.12</v>
      </c>
    </row>
    <row r="61" spans="1:11" s="115" customFormat="1" x14ac:dyDescent="0.25">
      <c r="A61" s="115" t="s">
        <v>93</v>
      </c>
      <c r="B61" s="106">
        <v>2304.52</v>
      </c>
      <c r="C61" s="106">
        <v>2603.88</v>
      </c>
      <c r="D61" s="106">
        <v>2522.9699999999998</v>
      </c>
      <c r="E61" s="106">
        <v>2835.98</v>
      </c>
      <c r="F61" s="106">
        <v>3097.99</v>
      </c>
      <c r="G61" s="106">
        <v>3237.5</v>
      </c>
      <c r="H61" s="106">
        <v>3660.95</v>
      </c>
      <c r="I61" s="106">
        <v>4013.4</v>
      </c>
      <c r="J61" s="106">
        <v>4414.6899999999996</v>
      </c>
      <c r="K61" s="106">
        <v>5133.9799999999996</v>
      </c>
    </row>
    <row r="62" spans="1:11" x14ac:dyDescent="0.25">
      <c r="A62" s="116" t="s">
        <v>97</v>
      </c>
      <c r="B62" s="106">
        <v>785.88</v>
      </c>
      <c r="C62" s="106">
        <v>911.43</v>
      </c>
      <c r="D62" s="106">
        <v>948.47</v>
      </c>
      <c r="E62" s="106">
        <v>1215.8399999999999</v>
      </c>
      <c r="F62" s="106">
        <v>1400.17</v>
      </c>
      <c r="G62" s="106">
        <v>1223.52</v>
      </c>
      <c r="H62" s="106">
        <v>2033.04</v>
      </c>
      <c r="I62" s="106">
        <v>2093.9899999999998</v>
      </c>
      <c r="J62" s="106">
        <v>2031.42</v>
      </c>
      <c r="K62" s="106">
        <v>2163.63</v>
      </c>
    </row>
    <row r="63" spans="1:11" x14ac:dyDescent="0.25">
      <c r="A63" s="116" t="s">
        <v>96</v>
      </c>
      <c r="B63" s="106">
        <v>204.6</v>
      </c>
      <c r="C63" s="106">
        <v>220.26</v>
      </c>
      <c r="D63" s="106">
        <v>369.17</v>
      </c>
      <c r="E63" s="106">
        <v>371.8</v>
      </c>
      <c r="F63" s="106">
        <v>445.07</v>
      </c>
      <c r="G63" s="106">
        <v>724.85</v>
      </c>
      <c r="H63" s="106">
        <v>302.14999999999998</v>
      </c>
      <c r="I63" s="106">
        <v>153.66999999999999</v>
      </c>
      <c r="J63" s="106">
        <v>170.85</v>
      </c>
      <c r="K63" s="106">
        <v>92.54</v>
      </c>
    </row>
    <row r="64" spans="1:11" x14ac:dyDescent="0.25">
      <c r="A64" s="116" t="s">
        <v>95</v>
      </c>
      <c r="B64" s="106">
        <v>14.06</v>
      </c>
      <c r="C64" s="106">
        <v>8.7799999999999994</v>
      </c>
      <c r="D64" s="106">
        <v>9.7200000000000006</v>
      </c>
      <c r="E64" s="106">
        <v>23.14</v>
      </c>
      <c r="F64" s="106">
        <v>77.88</v>
      </c>
      <c r="G64" s="106">
        <v>99.9</v>
      </c>
      <c r="H64" s="106">
        <v>110.77</v>
      </c>
      <c r="I64" s="106">
        <v>97.34</v>
      </c>
      <c r="J64" s="106">
        <v>91.03</v>
      </c>
      <c r="K64" s="106">
        <v>103.13</v>
      </c>
    </row>
    <row r="65" spans="1:11" x14ac:dyDescent="0.25">
      <c r="A65" s="116" t="s">
        <v>94</v>
      </c>
      <c r="B65" s="106">
        <v>1299.98</v>
      </c>
      <c r="C65" s="106">
        <v>1463.41</v>
      </c>
      <c r="D65" s="106">
        <v>1195.6099999999999</v>
      </c>
      <c r="E65" s="106">
        <v>1225.2</v>
      </c>
      <c r="F65" s="106">
        <v>1174.8699999999999</v>
      </c>
      <c r="G65" s="106">
        <v>1189.23</v>
      </c>
      <c r="H65" s="106">
        <v>1214.99</v>
      </c>
      <c r="I65" s="106">
        <v>1668.4</v>
      </c>
      <c r="J65" s="106">
        <v>2121.39</v>
      </c>
      <c r="K65" s="106">
        <v>2774.68</v>
      </c>
    </row>
    <row r="66" spans="1:11" s="115" customFormat="1" x14ac:dyDescent="0.25">
      <c r="A66" s="115" t="s">
        <v>93</v>
      </c>
      <c r="B66" s="106">
        <v>2304.52</v>
      </c>
      <c r="C66" s="106">
        <v>2603.88</v>
      </c>
      <c r="D66" s="106">
        <v>2522.9699999999998</v>
      </c>
      <c r="E66" s="106">
        <v>2835.98</v>
      </c>
      <c r="F66" s="106">
        <v>3097.99</v>
      </c>
      <c r="G66" s="106">
        <v>3237.5</v>
      </c>
      <c r="H66" s="106">
        <v>3660.95</v>
      </c>
      <c r="I66" s="106">
        <v>4013.4</v>
      </c>
      <c r="J66" s="106">
        <v>4414.6899999999996</v>
      </c>
      <c r="K66" s="106">
        <v>5133.9799999999996</v>
      </c>
    </row>
    <row r="67" spans="1:11" s="116" customFormat="1" x14ac:dyDescent="0.25">
      <c r="A67" s="116" t="s">
        <v>115</v>
      </c>
      <c r="B67" s="106">
        <v>150.4</v>
      </c>
      <c r="C67" s="106">
        <v>115.1</v>
      </c>
      <c r="D67" s="106">
        <v>241.91</v>
      </c>
      <c r="E67" s="106">
        <v>166.52</v>
      </c>
      <c r="F67" s="106">
        <v>168.72</v>
      </c>
      <c r="G67" s="106">
        <v>125.99</v>
      </c>
      <c r="H67" s="106">
        <v>189.38</v>
      </c>
      <c r="I67" s="106">
        <v>196.84</v>
      </c>
      <c r="J67" s="106">
        <v>104.06</v>
      </c>
      <c r="K67" s="106">
        <v>174.34</v>
      </c>
    </row>
    <row r="68" spans="1:11" x14ac:dyDescent="0.25">
      <c r="A68" s="116" t="s">
        <v>90</v>
      </c>
      <c r="B68" s="106">
        <v>547.51</v>
      </c>
      <c r="C68" s="106">
        <v>437.67</v>
      </c>
      <c r="D68" s="106">
        <v>477.1</v>
      </c>
      <c r="E68" s="106">
        <v>503.56</v>
      </c>
      <c r="F68" s="106">
        <v>551.52</v>
      </c>
      <c r="G68" s="106">
        <v>557.82000000000005</v>
      </c>
      <c r="H68" s="106">
        <v>637.13</v>
      </c>
      <c r="I68" s="106">
        <v>826.55</v>
      </c>
      <c r="J68" s="106">
        <v>1163.19</v>
      </c>
      <c r="K68" s="106">
        <v>1183.76</v>
      </c>
    </row>
    <row r="69" spans="1:11" x14ac:dyDescent="0.25">
      <c r="A69" s="109" t="s">
        <v>114</v>
      </c>
      <c r="B69" s="106">
        <v>318.62</v>
      </c>
      <c r="C69" s="106">
        <v>235.71</v>
      </c>
      <c r="D69" s="106">
        <v>42.69</v>
      </c>
      <c r="E69" s="106">
        <v>5.21</v>
      </c>
      <c r="F69" s="106">
        <v>68.599999999999994</v>
      </c>
      <c r="G69" s="106">
        <v>36.979999999999997</v>
      </c>
      <c r="H69" s="106">
        <v>74.81</v>
      </c>
      <c r="I69" s="106">
        <v>141.34</v>
      </c>
      <c r="J69" s="106">
        <v>448.76</v>
      </c>
      <c r="K69" s="106">
        <v>507.41</v>
      </c>
    </row>
    <row r="70" spans="1:11" x14ac:dyDescent="0.25">
      <c r="A70" s="109" t="s">
        <v>113</v>
      </c>
      <c r="B70" s="106">
        <v>13176262</v>
      </c>
      <c r="C70" s="106">
        <v>13176262</v>
      </c>
      <c r="D70" s="106">
        <v>13176262</v>
      </c>
      <c r="E70" s="106">
        <v>13176262</v>
      </c>
      <c r="F70" s="106">
        <v>13176262</v>
      </c>
      <c r="G70" s="106">
        <v>13176262</v>
      </c>
      <c r="H70" s="106">
        <v>13176262</v>
      </c>
      <c r="I70" s="106">
        <v>13176262</v>
      </c>
      <c r="J70" s="106">
        <v>13176262</v>
      </c>
    </row>
    <row r="71" spans="1:11" x14ac:dyDescent="0.25">
      <c r="A71" s="109" t="s">
        <v>112</v>
      </c>
    </row>
    <row r="72" spans="1:11" x14ac:dyDescent="0.25">
      <c r="A72" s="109" t="s">
        <v>111</v>
      </c>
      <c r="B72" s="106">
        <v>10</v>
      </c>
      <c r="C72" s="106">
        <v>10</v>
      </c>
      <c r="D72" s="106">
        <v>10</v>
      </c>
      <c r="E72" s="106">
        <v>10</v>
      </c>
      <c r="F72" s="106">
        <v>10</v>
      </c>
      <c r="G72" s="106">
        <v>10</v>
      </c>
      <c r="H72" s="106">
        <v>10</v>
      </c>
      <c r="I72" s="106">
        <v>10</v>
      </c>
      <c r="J72" s="106">
        <v>10</v>
      </c>
      <c r="K72" s="106">
        <v>10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12">
        <v>42460</v>
      </c>
      <c r="C81" s="112">
        <v>42825</v>
      </c>
      <c r="D81" s="112">
        <v>43190</v>
      </c>
      <c r="E81" s="112">
        <v>43555</v>
      </c>
      <c r="F81" s="112">
        <v>43921</v>
      </c>
      <c r="G81" s="112">
        <v>44286</v>
      </c>
      <c r="H81" s="112">
        <v>44651</v>
      </c>
      <c r="I81" s="112">
        <v>45016</v>
      </c>
      <c r="J81" s="112">
        <v>45382</v>
      </c>
      <c r="K81" s="112">
        <v>45747</v>
      </c>
    </row>
    <row r="82" spans="1:11" s="115" customFormat="1" x14ac:dyDescent="0.25">
      <c r="A82" s="116" t="s">
        <v>108</v>
      </c>
      <c r="B82" s="106">
        <v>255.72</v>
      </c>
      <c r="C82" s="106">
        <v>470.64</v>
      </c>
      <c r="D82" s="106">
        <v>256.48</v>
      </c>
      <c r="E82" s="106">
        <v>314.02999999999997</v>
      </c>
      <c r="F82" s="106">
        <v>409.19</v>
      </c>
      <c r="G82" s="106">
        <v>7.34</v>
      </c>
      <c r="H82" s="106">
        <v>18.420000000000002</v>
      </c>
      <c r="I82" s="106">
        <v>531.74</v>
      </c>
      <c r="J82" s="106">
        <v>1014.45</v>
      </c>
      <c r="K82" s="106">
        <v>971.47</v>
      </c>
    </row>
    <row r="83" spans="1:11" s="116" customFormat="1" x14ac:dyDescent="0.25">
      <c r="A83" s="116" t="s">
        <v>107</v>
      </c>
      <c r="B83" s="106">
        <v>-210.01</v>
      </c>
      <c r="C83" s="106">
        <v>-620.78</v>
      </c>
      <c r="D83" s="106">
        <v>-80.59</v>
      </c>
      <c r="E83" s="106">
        <v>-605.58000000000004</v>
      </c>
      <c r="F83" s="106">
        <v>-327.39</v>
      </c>
      <c r="G83" s="106">
        <v>-332.63</v>
      </c>
      <c r="H83" s="106">
        <v>-355.74</v>
      </c>
      <c r="I83" s="106">
        <v>-256.47000000000003</v>
      </c>
      <c r="J83" s="106">
        <v>-197.5</v>
      </c>
      <c r="K83" s="106">
        <v>-351.23</v>
      </c>
    </row>
    <row r="84" spans="1:11" s="116" customFormat="1" x14ac:dyDescent="0.25">
      <c r="A84" s="116" t="s">
        <v>106</v>
      </c>
      <c r="B84" s="106">
        <v>-37.130000000000003</v>
      </c>
      <c r="C84" s="106">
        <v>180.17</v>
      </c>
      <c r="D84" s="106">
        <v>-222.88</v>
      </c>
      <c r="E84" s="106">
        <v>256.26</v>
      </c>
      <c r="F84" s="106">
        <v>-19.73</v>
      </c>
      <c r="G84" s="106">
        <v>293.45</v>
      </c>
      <c r="H84" s="106">
        <v>374.77</v>
      </c>
      <c r="I84" s="106">
        <v>-206.85</v>
      </c>
      <c r="J84" s="106">
        <v>-509.19</v>
      </c>
      <c r="K84" s="106">
        <v>-561.84</v>
      </c>
    </row>
    <row r="85" spans="1:11" s="115" customFormat="1" x14ac:dyDescent="0.25">
      <c r="A85" s="116" t="s">
        <v>105</v>
      </c>
      <c r="B85" s="106">
        <v>8.58</v>
      </c>
      <c r="C85" s="106">
        <v>30.03</v>
      </c>
      <c r="D85" s="106">
        <v>-46.99</v>
      </c>
      <c r="E85" s="106">
        <v>-35.29</v>
      </c>
      <c r="F85" s="106">
        <v>62.07</v>
      </c>
      <c r="G85" s="106">
        <v>-31.84</v>
      </c>
      <c r="H85" s="106">
        <v>37.450000000000003</v>
      </c>
      <c r="I85" s="106">
        <v>68.42</v>
      </c>
      <c r="J85" s="106">
        <v>307.76</v>
      </c>
      <c r="K85" s="106">
        <v>58.4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B90" s="106">
        <v>2855</v>
      </c>
      <c r="C90" s="106">
        <v>4487.1000000000004</v>
      </c>
      <c r="D90" s="106">
        <v>2733</v>
      </c>
      <c r="E90" s="106">
        <v>1700.05</v>
      </c>
      <c r="F90" s="106">
        <v>733.65</v>
      </c>
      <c r="G90" s="106">
        <v>1169.75</v>
      </c>
      <c r="H90" s="106">
        <v>1018.8</v>
      </c>
      <c r="I90" s="106">
        <v>1165.3499999999999</v>
      </c>
      <c r="J90" s="106">
        <v>7244</v>
      </c>
      <c r="K90" s="106">
        <v>9045.75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v>1.32</v>
      </c>
      <c r="C93" s="114">
        <v>1.32</v>
      </c>
      <c r="D93" s="114">
        <v>1.32</v>
      </c>
      <c r="E93" s="114">
        <v>1.32</v>
      </c>
      <c r="F93" s="114">
        <v>1.32</v>
      </c>
      <c r="G93" s="114">
        <v>1.32</v>
      </c>
      <c r="H93" s="114">
        <v>1.32</v>
      </c>
      <c r="I93" s="114">
        <v>1.32</v>
      </c>
      <c r="J93" s="114">
        <v>1.32</v>
      </c>
      <c r="K93" s="114">
        <v>1.32</v>
      </c>
    </row>
  </sheetData>
  <mergeCells count="2">
    <mergeCell ref="E1:K1"/>
    <mergeCell ref="E2:K2"/>
  </mergeCells>
  <conditionalFormatting sqref="E1:K1">
    <cfRule type="cellIs" dxfId="4" priority="1" operator="notEqual">
      <formula>""</formula>
    </cfRule>
  </conditionalFormatting>
  <hyperlinks>
    <hyperlink ref="E1:K1" r:id="rId1" display="https://www.screener.in/excel/" xr:uid="{691EBD31-E05E-4DA9-8D42-A78F1B51B5CD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3E98-842F-4BCE-891F-EE3DAD14E4DC}">
  <dimension ref="A1:AC42"/>
  <sheetViews>
    <sheetView showGridLines="0" topLeftCell="B1" zoomScaleNormal="100" workbookViewId="0">
      <selection activeCell="C5" sqref="C5"/>
    </sheetView>
  </sheetViews>
  <sheetFormatPr defaultRowHeight="15.75" x14ac:dyDescent="0.25"/>
  <cols>
    <col min="1" max="1" width="2.85546875" style="1" customWidth="1"/>
    <col min="2" max="2" width="13.28515625" style="1" customWidth="1"/>
    <col min="3" max="3" width="20.28515625" style="1" customWidth="1"/>
    <col min="4" max="4" width="10.5703125" style="1" bestFit="1" customWidth="1"/>
    <col min="5" max="5" width="14.42578125" style="1" bestFit="1" customWidth="1"/>
    <col min="6" max="7" width="10.85546875" style="1" bestFit="1" customWidth="1"/>
    <col min="8" max="8" width="9.140625" style="1" customWidth="1"/>
    <col min="9" max="11" width="10.85546875" style="1" bestFit="1" customWidth="1"/>
    <col min="12" max="13" width="9.5703125" style="1" bestFit="1" customWidth="1"/>
    <col min="14" max="14" width="12.42578125" style="1" bestFit="1" customWidth="1"/>
    <col min="15" max="15" width="9.28515625" style="1" bestFit="1" customWidth="1"/>
    <col min="16" max="16" width="10.5703125" style="1" bestFit="1" customWidth="1"/>
    <col min="17" max="19" width="9.140625" style="1"/>
    <col min="20" max="20" width="9.42578125" style="1" bestFit="1" customWidth="1"/>
    <col min="21" max="21" width="9.140625" style="1" bestFit="1" customWidth="1"/>
    <col min="22" max="22" width="12.28515625" style="1" bestFit="1" customWidth="1"/>
    <col min="23" max="23" width="9.140625" style="1"/>
    <col min="24" max="25" width="11.5703125" style="1" bestFit="1" customWidth="1"/>
    <col min="26" max="26" width="12.28515625" style="1" bestFit="1" customWidth="1"/>
    <col min="27" max="16384" width="9.140625" style="1"/>
  </cols>
  <sheetData>
    <row r="1" spans="1:29" x14ac:dyDescent="0.25">
      <c r="A1" s="5"/>
    </row>
    <row r="2" spans="1:29" ht="18.75" x14ac:dyDescent="0.3">
      <c r="A2" s="7"/>
      <c r="B2" s="8" t="s">
        <v>9</v>
      </c>
      <c r="C2" s="8"/>
      <c r="D2" s="8"/>
      <c r="E2" s="8"/>
      <c r="F2" s="9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8"/>
      <c r="T2" s="8"/>
      <c r="U2" s="9"/>
      <c r="V2" s="8"/>
      <c r="W2" s="8"/>
      <c r="X2" s="8"/>
      <c r="Y2" s="8"/>
      <c r="Z2" s="8"/>
      <c r="AA2" s="8"/>
      <c r="AB2" s="8"/>
      <c r="AC2" s="8"/>
    </row>
    <row r="3" spans="1:29" x14ac:dyDescent="0.25">
      <c r="A3" s="5"/>
    </row>
    <row r="4" spans="1:29" x14ac:dyDescent="0.25">
      <c r="A4" s="5"/>
      <c r="B4" s="10" t="s">
        <v>10</v>
      </c>
      <c r="C4" s="11">
        <v>45868</v>
      </c>
      <c r="F4" s="12"/>
    </row>
    <row r="5" spans="1:29" x14ac:dyDescent="0.25">
      <c r="A5" s="5"/>
      <c r="B5" s="10" t="s">
        <v>11</v>
      </c>
      <c r="C5" s="13" t="s">
        <v>12</v>
      </c>
    </row>
    <row r="6" spans="1:29" x14ac:dyDescent="0.25">
      <c r="A6" s="5"/>
      <c r="B6" s="14" t="s">
        <v>13</v>
      </c>
    </row>
    <row r="7" spans="1:29" ht="16.5" thickBot="1" x14ac:dyDescent="0.3">
      <c r="A7" s="5"/>
      <c r="B7" s="15"/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202" t="s">
        <v>14</v>
      </c>
      <c r="Y7" s="202"/>
      <c r="Z7" s="202"/>
      <c r="AA7" s="202"/>
      <c r="AB7" s="202"/>
      <c r="AC7" s="202"/>
    </row>
    <row r="8" spans="1:29" ht="16.5" thickBot="1" x14ac:dyDescent="0.3">
      <c r="A8" s="5"/>
      <c r="B8" s="15"/>
      <c r="C8" s="15"/>
      <c r="D8" s="17" t="s">
        <v>15</v>
      </c>
      <c r="E8" s="17" t="s">
        <v>16</v>
      </c>
      <c r="F8" s="17" t="s">
        <v>17</v>
      </c>
      <c r="G8" s="17" t="s">
        <v>18</v>
      </c>
      <c r="H8" s="17"/>
      <c r="I8" s="202" t="s">
        <v>19</v>
      </c>
      <c r="J8" s="202"/>
      <c r="K8" s="202"/>
      <c r="L8" s="202" t="s">
        <v>20</v>
      </c>
      <c r="M8" s="202"/>
      <c r="N8" s="202" t="s">
        <v>21</v>
      </c>
      <c r="O8" s="202"/>
      <c r="P8" s="17"/>
      <c r="Q8" s="202" t="s">
        <v>22</v>
      </c>
      <c r="R8" s="202"/>
      <c r="S8" s="205" t="s">
        <v>23</v>
      </c>
      <c r="T8" s="205"/>
      <c r="U8" s="205" t="s">
        <v>24</v>
      </c>
      <c r="V8" s="205"/>
      <c r="W8" s="17"/>
      <c r="X8" s="206" t="s">
        <v>25</v>
      </c>
      <c r="Y8" s="206"/>
      <c r="Z8" s="206" t="s">
        <v>26</v>
      </c>
      <c r="AA8" s="206"/>
      <c r="AB8" s="206" t="s">
        <v>27</v>
      </c>
      <c r="AC8" s="206"/>
    </row>
    <row r="9" spans="1:29" x14ac:dyDescent="0.25">
      <c r="A9" s="5"/>
      <c r="B9" s="18" t="s">
        <v>28</v>
      </c>
      <c r="C9" s="18" t="s">
        <v>29</v>
      </c>
      <c r="D9" s="18" t="s">
        <v>30</v>
      </c>
      <c r="E9" s="18" t="s">
        <v>31</v>
      </c>
      <c r="F9" s="18" t="s">
        <v>32</v>
      </c>
      <c r="G9" s="18" t="s">
        <v>33</v>
      </c>
      <c r="H9" s="19"/>
      <c r="I9" s="20" t="s">
        <v>34</v>
      </c>
      <c r="J9" s="19">
        <v>24</v>
      </c>
      <c r="K9" s="19">
        <v>25</v>
      </c>
      <c r="L9" s="19" t="s">
        <v>35</v>
      </c>
      <c r="M9" s="19" t="s">
        <v>36</v>
      </c>
      <c r="N9" s="19" t="str">
        <f>L9</f>
        <v>'24</v>
      </c>
      <c r="O9" s="19" t="str">
        <f>M9</f>
        <v>'25</v>
      </c>
      <c r="P9" s="18"/>
      <c r="Q9" s="19" t="s">
        <v>37</v>
      </c>
      <c r="R9" s="19" t="s">
        <v>38</v>
      </c>
      <c r="S9" s="19" t="s">
        <v>35</v>
      </c>
      <c r="T9" s="19" t="s">
        <v>36</v>
      </c>
      <c r="U9" s="19" t="str">
        <f>S9</f>
        <v>'24</v>
      </c>
      <c r="V9" s="19" t="str">
        <f>T9</f>
        <v>'25</v>
      </c>
      <c r="W9" s="19"/>
      <c r="X9" s="19" t="s">
        <v>35</v>
      </c>
      <c r="Y9" s="19" t="s">
        <v>36</v>
      </c>
      <c r="Z9" s="19" t="s">
        <v>35</v>
      </c>
      <c r="AA9" s="19" t="s">
        <v>36</v>
      </c>
      <c r="AB9" s="19" t="s">
        <v>35</v>
      </c>
      <c r="AC9" s="19" t="s">
        <v>36</v>
      </c>
    </row>
    <row r="10" spans="1:29" x14ac:dyDescent="0.25">
      <c r="A10" s="5"/>
      <c r="B10" s="6"/>
      <c r="C10" s="6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 spans="1:29" x14ac:dyDescent="0.25">
      <c r="A11" s="23"/>
      <c r="B11" s="137" t="str">
        <f>'Global Comps'!B11</f>
        <v>TATAMOTORS</v>
      </c>
      <c r="C11" s="125" t="str">
        <f>'[6]Indian Peers'!C6</f>
        <v>Tata Motors</v>
      </c>
      <c r="D11" s="26">
        <f>'[6]Indian Peers'!D6</f>
        <v>688</v>
      </c>
      <c r="E11" s="151">
        <f>'[6]Indian Peers'!E6</f>
        <v>368.25345930232561</v>
      </c>
      <c r="F11" s="151">
        <f>'[6]Indian Peers'!F6</f>
        <v>284064.38</v>
      </c>
      <c r="G11" s="151">
        <f>'[6]Indian Peers'!G6</f>
        <v>253358.38</v>
      </c>
      <c r="H11" s="25"/>
      <c r="I11" s="151">
        <f>'[6]Indian Peers'!I6</f>
        <v>345966.97</v>
      </c>
      <c r="J11" s="151">
        <f>'[6]Indian Peers'!J6</f>
        <v>434016</v>
      </c>
      <c r="K11" s="151">
        <f>'[6]Indian Peers'!K6</f>
        <v>439695</v>
      </c>
      <c r="L11" s="151">
        <f>'[6]Indian Peers'!L6</f>
        <v>76450.3</v>
      </c>
      <c r="M11" s="151">
        <f>'[6]Indian Peers'!M6</f>
        <v>75372.299999999988</v>
      </c>
      <c r="N11" s="151">
        <f>'[6]Indian Peers'!N6</f>
        <v>31399</v>
      </c>
      <c r="O11" s="151">
        <f>'[6]Indian Peers'!O6</f>
        <v>27830</v>
      </c>
      <c r="P11" s="28"/>
      <c r="Q11" s="28">
        <f>J11/I11-1</f>
        <v>0.25450126062612277</v>
      </c>
      <c r="R11" s="29">
        <f>K11/J11-1</f>
        <v>1.3084771068347711E-2</v>
      </c>
      <c r="S11" s="29">
        <f t="shared" ref="S11" si="0">L11/K11</f>
        <v>0.17387120617700907</v>
      </c>
      <c r="T11" s="29">
        <f t="shared" ref="T11" si="1">M11/K11</f>
        <v>0.17141950670351036</v>
      </c>
      <c r="U11" s="29">
        <f t="shared" ref="U11:V11" si="2">N11/J11</f>
        <v>7.2345259160952594E-2</v>
      </c>
      <c r="V11" s="29">
        <f t="shared" si="2"/>
        <v>6.3293874162771921E-2</v>
      </c>
      <c r="W11" s="28"/>
      <c r="X11" s="30">
        <f>$F11/J11</f>
        <v>0.65450209208877097</v>
      </c>
      <c r="Y11" s="30">
        <f>$F11/K11</f>
        <v>0.64604869284390321</v>
      </c>
      <c r="Z11" s="30">
        <f>$F11/L11</f>
        <v>3.7156738430065022</v>
      </c>
      <c r="AA11" s="30">
        <f>$F11/M11</f>
        <v>3.7688166607626417</v>
      </c>
      <c r="AB11" s="30">
        <f>$G11/N11</f>
        <v>8.0689951909296482</v>
      </c>
      <c r="AC11" s="31">
        <f>$G11/O11</f>
        <v>9.1037865612648226</v>
      </c>
    </row>
    <row r="12" spans="1:29" ht="4.5" customHeight="1" x14ac:dyDescent="0.25">
      <c r="A12" s="5"/>
      <c r="B12" s="32"/>
      <c r="E12" s="176"/>
      <c r="F12" s="176"/>
      <c r="G12" s="176"/>
      <c r="H12" s="33"/>
      <c r="I12" s="177"/>
      <c r="J12" s="177"/>
      <c r="K12" s="177"/>
      <c r="L12" s="177"/>
      <c r="M12" s="177"/>
      <c r="N12" s="177"/>
      <c r="O12" s="177"/>
      <c r="P12" s="33"/>
      <c r="Q12" s="33"/>
      <c r="R12" s="35"/>
      <c r="S12" s="35"/>
      <c r="T12" s="35"/>
      <c r="U12" s="35"/>
      <c r="V12" s="35"/>
      <c r="W12" s="33"/>
      <c r="X12" s="36"/>
      <c r="Y12" s="36"/>
      <c r="Z12" s="36"/>
      <c r="AA12" s="36"/>
      <c r="AB12" s="36"/>
      <c r="AC12" s="31"/>
    </row>
    <row r="13" spans="1:29" x14ac:dyDescent="0.25">
      <c r="A13" s="5">
        <v>1</v>
      </c>
      <c r="B13" s="137" t="s">
        <v>201</v>
      </c>
      <c r="C13" s="125" t="str">
        <f>'[6]Indian Peers'!C7</f>
        <v>Maruti Suzuki</v>
      </c>
      <c r="D13" s="26">
        <f>'[6]Indian Peers'!D7</f>
        <v>12667</v>
      </c>
      <c r="E13" s="151">
        <f>'[6]Indian Peers'!E7</f>
        <v>31.440257079576014</v>
      </c>
      <c r="F13" s="151">
        <f>'[6]Indian Peers'!F7</f>
        <v>397001.82999999996</v>
      </c>
      <c r="G13" s="151">
        <f>'[6]Indian Peers'!G7</f>
        <v>397467.73</v>
      </c>
      <c r="H13" s="26"/>
      <c r="I13" s="151">
        <f>'[6]Indian Peers'!I7</f>
        <v>118409.9</v>
      </c>
      <c r="J13" s="151">
        <f>'[6]Indian Peers'!J7</f>
        <v>141858.20000000001</v>
      </c>
      <c r="K13" s="151">
        <f>'[6]Indian Peers'!K7</f>
        <v>152913</v>
      </c>
      <c r="L13" s="151">
        <f>'[6]Indian Peers'!L7</f>
        <v>22873.9</v>
      </c>
      <c r="M13" s="151">
        <f>'[6]Indian Peers'!M7</f>
        <v>25422.399999999987</v>
      </c>
      <c r="N13" s="151">
        <f>'[6]Indian Peers'!N7</f>
        <v>13488.2</v>
      </c>
      <c r="O13" s="151">
        <f>'[6]Indian Peers'!O7</f>
        <v>14500.2</v>
      </c>
      <c r="P13" s="28"/>
      <c r="Q13" s="29">
        <f>J13/I13-1</f>
        <v>0.19802651636391899</v>
      </c>
      <c r="R13" s="29">
        <f>K13/J13-1</f>
        <v>7.7928522989858751E-2</v>
      </c>
      <c r="S13" s="29">
        <f>L13/K13</f>
        <v>0.14958767403687065</v>
      </c>
      <c r="T13" s="29">
        <f>M13/K13</f>
        <v>0.16625401372021992</v>
      </c>
      <c r="U13" s="29">
        <f>N13/J13</f>
        <v>9.508227229726586E-2</v>
      </c>
      <c r="V13" s="29">
        <f>O13/K13</f>
        <v>9.4826469953502981E-2</v>
      </c>
      <c r="W13" s="28"/>
      <c r="X13" s="30">
        <f t="shared" ref="X13:AA15" si="3">$F13/J13</f>
        <v>2.7985821757219527</v>
      </c>
      <c r="Y13" s="30">
        <f t="shared" si="3"/>
        <v>2.5962595070399503</v>
      </c>
      <c r="Z13" s="30">
        <f t="shared" si="3"/>
        <v>17.35610586738597</v>
      </c>
      <c r="AA13" s="30">
        <f t="shared" si="3"/>
        <v>15.616221521178179</v>
      </c>
      <c r="AB13" s="30">
        <f>$G13/N13</f>
        <v>29.467811123797095</v>
      </c>
      <c r="AC13" s="31">
        <f t="shared" ref="AB13:AC15" si="4">$G13/O13</f>
        <v>27.411189500834467</v>
      </c>
    </row>
    <row r="14" spans="1:29" x14ac:dyDescent="0.25">
      <c r="A14" s="5">
        <f>A13+1</f>
        <v>2</v>
      </c>
      <c r="B14" s="137" t="s">
        <v>53</v>
      </c>
      <c r="C14" s="125" t="str">
        <f>'Indian Peers'!C8</f>
        <v>Mahindra &amp; Mahindra</v>
      </c>
      <c r="D14" s="26">
        <f>'[6]Indian Peers'!D8</f>
        <v>3220</v>
      </c>
      <c r="E14" s="151">
        <f>'[6]Indian Peers'!E8</f>
        <v>124.35288296444291</v>
      </c>
      <c r="F14" s="151">
        <f>'[6]Indian Peers'!F8</f>
        <v>502674.06</v>
      </c>
      <c r="G14" s="151">
        <f>'[6]Indian Peers'!G8</f>
        <v>398339.59</v>
      </c>
      <c r="H14" s="25"/>
      <c r="I14" s="151">
        <f>'[6]Indian Peers'!I8</f>
        <v>121268.55</v>
      </c>
      <c r="J14" s="151">
        <f>'[6]Indian Peers'!J8</f>
        <v>139078.26999999999</v>
      </c>
      <c r="K14" s="151">
        <f>'[6]Indian Peers'!K8</f>
        <v>159210.82</v>
      </c>
      <c r="L14" s="151">
        <f>'[6]Indian Peers'!L8</f>
        <v>29615.709999999992</v>
      </c>
      <c r="M14" s="151">
        <f>'[6]Indian Peers'!M8</f>
        <v>36591.840000000004</v>
      </c>
      <c r="N14" s="151">
        <f>'[6]Indian Peers'!N8</f>
        <v>11268.64</v>
      </c>
      <c r="O14" s="151">
        <f>'[6]Indian Peers'!O8</f>
        <v>12929.1</v>
      </c>
      <c r="P14" s="28"/>
      <c r="Q14" s="29">
        <f t="shared" ref="Q14:Q18" si="5">J14/I14-1</f>
        <v>0.14686182031532491</v>
      </c>
      <c r="R14" s="29">
        <f t="shared" ref="R14:R18" si="6">K14/J14-1</f>
        <v>0.14475697749188288</v>
      </c>
      <c r="S14" s="29">
        <f t="shared" ref="S14:S18" si="7">L14/K14</f>
        <v>0.18601568662230364</v>
      </c>
      <c r="T14" s="29">
        <f t="shared" ref="T14:T18" si="8">M14/K14</f>
        <v>0.22983262067238899</v>
      </c>
      <c r="U14" s="29">
        <f t="shared" ref="U14:U18" si="9">N14/J14</f>
        <v>8.1023728581035709E-2</v>
      </c>
      <c r="V14" s="29">
        <f t="shared" ref="V14:V18" si="10">O14/K14</f>
        <v>8.1207420450444254E-2</v>
      </c>
      <c r="W14" s="28"/>
      <c r="X14" s="30">
        <f t="shared" si="3"/>
        <v>3.6143249409127685</v>
      </c>
      <c r="Y14" s="30">
        <f t="shared" si="3"/>
        <v>3.1572857925108355</v>
      </c>
      <c r="Z14" s="30">
        <f t="shared" si="3"/>
        <v>16.973223333156628</v>
      </c>
      <c r="AA14" s="30">
        <f t="shared" si="3"/>
        <v>13.737326682670233</v>
      </c>
      <c r="AB14" s="30">
        <f t="shared" si="4"/>
        <v>35.349393538173203</v>
      </c>
      <c r="AC14" s="31">
        <f t="shared" si="4"/>
        <v>30.809537400128395</v>
      </c>
    </row>
    <row r="15" spans="1:29" x14ac:dyDescent="0.25">
      <c r="A15" s="5">
        <f t="shared" ref="A15:A18" si="11">A14+1</f>
        <v>3</v>
      </c>
      <c r="B15" s="137" t="s">
        <v>202</v>
      </c>
      <c r="C15" s="125" t="str">
        <f>'[6]Indian Peers'!C9</f>
        <v>Force Motors</v>
      </c>
      <c r="D15" s="26">
        <f>'[6]Indian Peers'!D9</f>
        <v>14525</v>
      </c>
      <c r="E15" s="161">
        <f>'[6]Indian Peers'!E9</f>
        <v>1.3176262068965519</v>
      </c>
      <c r="F15" s="151">
        <f>'[6]Indian Peers'!F9</f>
        <v>18615.600000000002</v>
      </c>
      <c r="G15" s="151">
        <f>'[6]Indian Peers'!G9</f>
        <v>19105.580000000002</v>
      </c>
      <c r="H15" s="25"/>
      <c r="I15" s="151">
        <f>'[6]Indian Peers'!I9</f>
        <v>5028.9799999999996</v>
      </c>
      <c r="J15" s="151">
        <f>'[6]Indian Peers'!J9</f>
        <v>6992.13</v>
      </c>
      <c r="K15" s="151">
        <f>'[6]Indian Peers'!K9</f>
        <v>8071.73</v>
      </c>
      <c r="L15" s="151">
        <f>'[6]Indian Peers'!L9</f>
        <v>1163.3199999999997</v>
      </c>
      <c r="M15" s="151">
        <f>'[6]Indian Peers'!M9</f>
        <v>1372.9599999999984</v>
      </c>
      <c r="N15" s="151">
        <f>'[6]Indian Peers'!N9</f>
        <v>388.09</v>
      </c>
      <c r="O15" s="151">
        <f>'[6]Indian Peers'!O9</f>
        <v>800.74</v>
      </c>
      <c r="P15" s="28"/>
      <c r="Q15" s="29">
        <f t="shared" si="5"/>
        <v>0.39036743037355492</v>
      </c>
      <c r="R15" s="29">
        <f t="shared" si="6"/>
        <v>0.15440216357533387</v>
      </c>
      <c r="S15" s="29">
        <f t="shared" si="7"/>
        <v>0.14412275930934257</v>
      </c>
      <c r="T15" s="29">
        <f t="shared" si="8"/>
        <v>0.17009488672192932</v>
      </c>
      <c r="U15" s="29">
        <f t="shared" si="9"/>
        <v>5.5503830735412527E-2</v>
      </c>
      <c r="V15" s="29">
        <f t="shared" si="10"/>
        <v>9.9203020913732259E-2</v>
      </c>
      <c r="W15" s="28"/>
      <c r="X15" s="30">
        <f t="shared" si="3"/>
        <v>2.6623646871554163</v>
      </c>
      <c r="Y15" s="30">
        <f t="shared" si="3"/>
        <v>2.3062713941125388</v>
      </c>
      <c r="Z15" s="30">
        <f t="shared" si="3"/>
        <v>16.002131829591175</v>
      </c>
      <c r="AA15" s="30">
        <f t="shared" si="3"/>
        <v>13.558734413238568</v>
      </c>
      <c r="AB15" s="30">
        <f t="shared" si="4"/>
        <v>49.229766291324182</v>
      </c>
      <c r="AC15" s="31">
        <f t="shared" si="4"/>
        <v>23.859904588255866</v>
      </c>
    </row>
    <row r="16" spans="1:29" x14ac:dyDescent="0.25">
      <c r="A16" s="5">
        <f t="shared" si="11"/>
        <v>4</v>
      </c>
      <c r="B16" s="137" t="s">
        <v>203</v>
      </c>
      <c r="C16" s="125" t="str">
        <f>'[6]Indian Peers'!C12</f>
        <v xml:space="preserve">Ashok Leyland </v>
      </c>
      <c r="D16" s="26">
        <f>'[6]Indian Peers'!D12</f>
        <v>249.6</v>
      </c>
      <c r="E16" s="151">
        <f>'[6]Indian Peers'!E12</f>
        <v>293.65274496456169</v>
      </c>
      <c r="F16" s="151">
        <f>'[6]Indian Peers'!F12</f>
        <v>73333.899999999994</v>
      </c>
      <c r="G16" s="151">
        <f>'[6]Indian Peers'!G12</f>
        <v>73333.899999999994</v>
      </c>
      <c r="H16" s="25"/>
      <c r="I16" s="151">
        <f>'[6]Indian Peers'!I12</f>
        <v>41672.6</v>
      </c>
      <c r="J16" s="151">
        <f>'[6]Indian Peers'!J12</f>
        <v>45790.64</v>
      </c>
      <c r="K16" s="151">
        <f>'[6]Indian Peers'!K12</f>
        <v>48535.14</v>
      </c>
      <c r="L16" s="151">
        <f>'[6]Indian Peers'!L12</f>
        <v>8870.1600000000035</v>
      </c>
      <c r="M16" s="151">
        <f>'[6]Indian Peers'!M12</f>
        <v>10294.4</v>
      </c>
      <c r="N16" s="151">
        <f>'[6]Indian Peers'!N12</f>
        <v>2483.52</v>
      </c>
      <c r="O16" s="151">
        <f>'[6]Indian Peers'!O12</f>
        <v>3106.8</v>
      </c>
      <c r="P16" s="28"/>
      <c r="Q16" s="29">
        <f t="shared" si="5"/>
        <v>9.8818888190321807E-2</v>
      </c>
      <c r="R16" s="29">
        <f t="shared" si="6"/>
        <v>5.9935829680476171E-2</v>
      </c>
      <c r="S16" s="29">
        <f t="shared" si="7"/>
        <v>0.182757482516791</v>
      </c>
      <c r="T16" s="29">
        <f t="shared" si="8"/>
        <v>0.21210199455487302</v>
      </c>
      <c r="U16" s="29">
        <f t="shared" si="9"/>
        <v>5.4236411633469199E-2</v>
      </c>
      <c r="V16" s="29">
        <f t="shared" si="10"/>
        <v>6.4011353423519546E-2</v>
      </c>
      <c r="W16" s="28"/>
      <c r="X16" s="30">
        <f t="shared" ref="X16:AA17" si="12">$F16/J16</f>
        <v>1.6015041501931397</v>
      </c>
      <c r="Y16" s="30">
        <f t="shared" si="12"/>
        <v>1.5109444414912576</v>
      </c>
      <c r="Z16" s="30">
        <f t="shared" si="12"/>
        <v>8.2674833373918801</v>
      </c>
      <c r="AA16" s="30">
        <f t="shared" si="12"/>
        <v>7.1236691793596512</v>
      </c>
      <c r="AB16" s="30">
        <f>$G16/N16</f>
        <v>29.528209960056692</v>
      </c>
      <c r="AC16" s="31">
        <f>$G16/O16</f>
        <v>23.604319557100549</v>
      </c>
    </row>
    <row r="17" spans="1:29" x14ac:dyDescent="0.25">
      <c r="A17" s="5">
        <f t="shared" si="11"/>
        <v>5</v>
      </c>
      <c r="B17" s="137" t="s">
        <v>204</v>
      </c>
      <c r="C17" s="25" t="str">
        <f>'Indian Peers'!C11</f>
        <v>Hyundai</v>
      </c>
      <c r="D17" s="26">
        <v>2050</v>
      </c>
      <c r="E17" s="151">
        <f>'Indian Peers'!E11</f>
        <v>81.290897560975608</v>
      </c>
      <c r="F17" s="151">
        <f>'Indian Peers'!F11</f>
        <v>179403.79</v>
      </c>
      <c r="G17" s="151">
        <f>'Indian Peers'!G11</f>
        <v>166646.34</v>
      </c>
      <c r="H17" s="26"/>
      <c r="I17" s="151">
        <f>'Indian Peers'!I11</f>
        <v>59761.45</v>
      </c>
      <c r="J17" s="151">
        <f>'Indian Peers'!J11</f>
        <v>68538.61</v>
      </c>
      <c r="K17" s="151">
        <f>'Indian Peers'!K11</f>
        <v>67653.81</v>
      </c>
      <c r="L17" s="151">
        <f>'Indian Peers'!L11</f>
        <v>11141.639999999994</v>
      </c>
      <c r="M17" s="151">
        <f>'Indian Peers'!M11</f>
        <v>10822.709999999992</v>
      </c>
      <c r="N17" s="151">
        <f>'Indian Peers'!N11</f>
        <v>5954.31</v>
      </c>
      <c r="O17" s="151">
        <f>'Indian Peers'!O11</f>
        <v>5492.25</v>
      </c>
      <c r="P17" s="28"/>
      <c r="Q17" s="29">
        <f t="shared" si="5"/>
        <v>0.14686993036480889</v>
      </c>
      <c r="R17" s="29">
        <f t="shared" si="6"/>
        <v>-1.2909511879508506E-2</v>
      </c>
      <c r="S17" s="29">
        <f t="shared" si="7"/>
        <v>0.16468606867817193</v>
      </c>
      <c r="T17" s="29">
        <f t="shared" si="8"/>
        <v>0.1599719217587301</v>
      </c>
      <c r="U17" s="29">
        <f t="shared" si="9"/>
        <v>8.6875266364462314E-2</v>
      </c>
      <c r="V17" s="29">
        <f t="shared" si="10"/>
        <v>8.1181680676964088E-2</v>
      </c>
      <c r="W17" s="28"/>
      <c r="X17" s="30">
        <f t="shared" si="12"/>
        <v>2.6175580450201719</v>
      </c>
      <c r="Y17" s="30">
        <f t="shared" si="12"/>
        <v>2.6517913773075015</v>
      </c>
      <c r="Z17" s="30">
        <f t="shared" si="12"/>
        <v>16.102098972862173</v>
      </c>
      <c r="AA17" s="30">
        <f t="shared" si="12"/>
        <v>16.576605120159382</v>
      </c>
      <c r="AB17" s="30">
        <f>$G17/N17</f>
        <v>27.987514926162728</v>
      </c>
      <c r="AC17" s="31">
        <f>$G17/O17</f>
        <v>30.342089307660792</v>
      </c>
    </row>
    <row r="18" spans="1:29" x14ac:dyDescent="0.25">
      <c r="A18" s="5">
        <f t="shared" si="11"/>
        <v>6</v>
      </c>
      <c r="B18" s="137" t="s">
        <v>205</v>
      </c>
      <c r="C18" s="125" t="str">
        <f>'[6]Indian Peers'!C10</f>
        <v>Eicher Motors</v>
      </c>
      <c r="D18" s="26">
        <f>'[6]Indian Peers'!D10</f>
        <v>5630</v>
      </c>
      <c r="E18" s="151">
        <f>'[6]Indian Peers'!E10</f>
        <v>27.425224381625441</v>
      </c>
      <c r="F18" s="151">
        <f>'[6]Indian Peers'!F10</f>
        <v>155421.88999999998</v>
      </c>
      <c r="G18" s="151">
        <f>'[6]Indian Peers'!G10</f>
        <v>155226.76999999999</v>
      </c>
      <c r="H18" s="25"/>
      <c r="I18" s="151">
        <f>'[6]Indian Peers'!I10</f>
        <v>14442.18</v>
      </c>
      <c r="J18" s="151">
        <f>'[6]Indian Peers'!J10</f>
        <v>16535.78</v>
      </c>
      <c r="K18" s="151">
        <f>'[6]Indian Peers'!K10</f>
        <v>18870.349999999999</v>
      </c>
      <c r="L18" s="151">
        <f>'[6]Indian Peers'!L10</f>
        <v>4926.9699999999975</v>
      </c>
      <c r="M18" s="151">
        <f>'[6]Indian Peers'!M10</f>
        <v>5441.3599999999988</v>
      </c>
      <c r="N18" s="151">
        <f>'[6]Indian Peers'!N10</f>
        <v>4001.01</v>
      </c>
      <c r="O18" s="151">
        <f>'[6]Indian Peers'!O10</f>
        <v>4734.4399999999996</v>
      </c>
      <c r="P18" s="28"/>
      <c r="Q18" s="29">
        <f t="shared" si="5"/>
        <v>0.14496426439775711</v>
      </c>
      <c r="R18" s="29">
        <f t="shared" si="6"/>
        <v>0.14118293784750402</v>
      </c>
      <c r="S18" s="29">
        <f t="shared" si="7"/>
        <v>0.26109584612898001</v>
      </c>
      <c r="T18" s="29">
        <f t="shared" si="8"/>
        <v>0.28835501196321206</v>
      </c>
      <c r="U18" s="29">
        <f t="shared" si="9"/>
        <v>0.24196076628982729</v>
      </c>
      <c r="V18" s="29">
        <f t="shared" si="10"/>
        <v>0.25089306769614766</v>
      </c>
      <c r="W18" s="28"/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1">
        <v>0</v>
      </c>
    </row>
    <row r="19" spans="1:29" x14ac:dyDescent="0.25">
      <c r="A19" s="5"/>
      <c r="B19" s="32"/>
    </row>
    <row r="20" spans="1:29" x14ac:dyDescent="0.25">
      <c r="B20" s="24" t="s">
        <v>1</v>
      </c>
      <c r="C20" s="25"/>
      <c r="D20" s="25"/>
      <c r="E20" s="25"/>
      <c r="F20" s="25"/>
      <c r="G20" s="25"/>
      <c r="H20" s="28"/>
      <c r="I20" s="38"/>
      <c r="J20" s="28"/>
      <c r="K20" s="28"/>
      <c r="L20" s="28"/>
      <c r="M20" s="28"/>
      <c r="N20" s="28"/>
      <c r="O20" s="28"/>
      <c r="P20" s="28"/>
      <c r="Q20" s="139">
        <f t="shared" ref="Q20:V20" si="13">AVERAGE(Q13:Q16)</f>
        <v>0.20851866381078016</v>
      </c>
      <c r="R20" s="139">
        <f t="shared" si="13"/>
        <v>0.10925587343438792</v>
      </c>
      <c r="S20" s="139">
        <f t="shared" si="13"/>
        <v>0.16562090062132698</v>
      </c>
      <c r="T20" s="139">
        <f t="shared" si="13"/>
        <v>0.19457087891735281</v>
      </c>
      <c r="U20" s="139">
        <f t="shared" si="13"/>
        <v>7.1461560811795832E-2</v>
      </c>
      <c r="V20" s="139">
        <f t="shared" si="13"/>
        <v>8.4812066185299753E-2</v>
      </c>
      <c r="W20" s="28"/>
      <c r="X20" s="30">
        <f t="shared" ref="X20:AC20" si="14">AVERAGE(X13:X16)</f>
        <v>2.6691939884958193</v>
      </c>
      <c r="Y20" s="30">
        <f t="shared" si="14"/>
        <v>2.3926902837886459</v>
      </c>
      <c r="Z20" s="30">
        <f t="shared" si="14"/>
        <v>14.649736091881415</v>
      </c>
      <c r="AA20" s="30">
        <f t="shared" si="14"/>
        <v>12.508987949111658</v>
      </c>
      <c r="AB20" s="30">
        <f t="shared" si="14"/>
        <v>35.893795228337794</v>
      </c>
      <c r="AC20" s="130">
        <f t="shared" si="14"/>
        <v>26.421237761579818</v>
      </c>
    </row>
    <row r="21" spans="1:29" x14ac:dyDescent="0.25">
      <c r="B21" s="24" t="s">
        <v>0</v>
      </c>
      <c r="C21" s="25"/>
      <c r="D21" s="25"/>
      <c r="E21" s="25"/>
      <c r="F21" s="25"/>
      <c r="G21" s="25"/>
      <c r="H21" s="28"/>
      <c r="I21" s="28"/>
      <c r="J21" s="28"/>
      <c r="K21" s="28"/>
      <c r="L21" s="28"/>
      <c r="M21" s="28"/>
      <c r="N21" s="28"/>
      <c r="O21" s="28"/>
      <c r="P21" s="28"/>
      <c r="Q21" s="139">
        <f t="shared" ref="Q21:V21" si="15">MEDIAN(Q13:Q16)</f>
        <v>0.17244416833962195</v>
      </c>
      <c r="R21" s="139">
        <f t="shared" si="15"/>
        <v>0.11134275024087081</v>
      </c>
      <c r="S21" s="139">
        <f t="shared" si="15"/>
        <v>0.16617257827683082</v>
      </c>
      <c r="T21" s="139">
        <f t="shared" si="15"/>
        <v>0.19109844063840117</v>
      </c>
      <c r="U21" s="139">
        <f t="shared" si="15"/>
        <v>6.8263779658224111E-2</v>
      </c>
      <c r="V21" s="139">
        <f t="shared" si="15"/>
        <v>8.8016945201973618E-2</v>
      </c>
      <c r="W21" s="28"/>
      <c r="X21" s="30">
        <f t="shared" ref="X21:AC21" si="16">MEDIAN(X13:X16)</f>
        <v>2.7304734314386847</v>
      </c>
      <c r="Y21" s="30">
        <f t="shared" si="16"/>
        <v>2.4512654505762446</v>
      </c>
      <c r="Z21" s="30">
        <f t="shared" si="16"/>
        <v>16.487677581373902</v>
      </c>
      <c r="AA21" s="30">
        <f t="shared" si="16"/>
        <v>13.6480305479544</v>
      </c>
      <c r="AB21" s="30">
        <f t="shared" si="16"/>
        <v>32.438801749114944</v>
      </c>
      <c r="AC21" s="130">
        <f t="shared" si="16"/>
        <v>25.635547044545167</v>
      </c>
    </row>
    <row r="22" spans="1:29" x14ac:dyDescent="0.25">
      <c r="B22" s="6"/>
      <c r="C22" s="6"/>
      <c r="D22" s="21"/>
      <c r="E22" s="21"/>
      <c r="F22" s="21"/>
      <c r="G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 spans="1:29" ht="16.5" thickBot="1" x14ac:dyDescent="0.3">
      <c r="B23" s="15"/>
      <c r="C23" s="15"/>
      <c r="D23" s="202" t="s">
        <v>39</v>
      </c>
      <c r="E23" s="202"/>
      <c r="F23" s="202"/>
      <c r="G23" s="17"/>
      <c r="H23" s="202" t="s">
        <v>40</v>
      </c>
      <c r="I23" s="202"/>
      <c r="J23" s="202"/>
      <c r="K23" s="17"/>
      <c r="L23" s="202" t="s">
        <v>41</v>
      </c>
      <c r="M23" s="202"/>
      <c r="N23" s="202"/>
      <c r="O23" s="17"/>
      <c r="P23" s="17"/>
      <c r="Q23" s="17"/>
      <c r="R23" s="17"/>
      <c r="S23" s="17"/>
      <c r="T23" s="202" t="s">
        <v>7</v>
      </c>
      <c r="U23" s="202"/>
      <c r="V23" s="202"/>
      <c r="W23" s="17"/>
      <c r="X23" s="202" t="s">
        <v>8</v>
      </c>
      <c r="Y23" s="202"/>
      <c r="Z23" s="202"/>
      <c r="AA23" s="17"/>
      <c r="AB23" s="17"/>
      <c r="AC23" s="17"/>
    </row>
    <row r="24" spans="1:29" x14ac:dyDescent="0.25">
      <c r="A24" s="5"/>
      <c r="B24" s="207" t="s">
        <v>42</v>
      </c>
      <c r="C24" s="207"/>
      <c r="D24" s="18" t="s">
        <v>19</v>
      </c>
      <c r="E24" s="18" t="s">
        <v>20</v>
      </c>
      <c r="F24" s="18" t="s">
        <v>5</v>
      </c>
      <c r="G24" s="18"/>
      <c r="H24" s="18" t="s">
        <v>19</v>
      </c>
      <c r="I24" s="18" t="s">
        <v>20</v>
      </c>
      <c r="J24" s="18" t="s">
        <v>43</v>
      </c>
      <c r="K24" s="18"/>
      <c r="L24" s="18" t="s">
        <v>19</v>
      </c>
      <c r="M24" s="18" t="s">
        <v>20</v>
      </c>
      <c r="N24" s="18" t="s">
        <v>21</v>
      </c>
      <c r="O24" s="18"/>
      <c r="P24" s="18" t="s">
        <v>44</v>
      </c>
      <c r="Q24" s="18" t="s">
        <v>45</v>
      </c>
      <c r="R24" s="18" t="s">
        <v>46</v>
      </c>
      <c r="S24" s="18"/>
      <c r="T24" s="18" t="s">
        <v>19</v>
      </c>
      <c r="U24" s="18" t="s">
        <v>20</v>
      </c>
      <c r="V24" s="18" t="s">
        <v>21</v>
      </c>
      <c r="W24" s="18"/>
      <c r="X24" s="18" t="s">
        <v>19</v>
      </c>
      <c r="Y24" s="18" t="s">
        <v>20</v>
      </c>
      <c r="Z24" s="18" t="s">
        <v>21</v>
      </c>
      <c r="AA24" s="18"/>
      <c r="AB24" s="18"/>
      <c r="AC24" s="18"/>
    </row>
    <row r="25" spans="1:29" ht="3" customHeight="1" x14ac:dyDescent="0.25">
      <c r="A25" s="5"/>
    </row>
    <row r="26" spans="1:29" x14ac:dyDescent="0.25">
      <c r="A26" s="5"/>
      <c r="B26" s="208" t="s">
        <v>47</v>
      </c>
      <c r="C26" s="209"/>
      <c r="D26" s="39">
        <f>MIN(Y13:Y16)</f>
        <v>1.5109444414912576</v>
      </c>
      <c r="E26" s="39">
        <f>MIN(AA13:AA16)</f>
        <v>7.1236691793596512</v>
      </c>
      <c r="F26" s="39">
        <f>MIN(AC13:AC16)</f>
        <v>23.604319557100549</v>
      </c>
      <c r="G26" s="27"/>
      <c r="H26" s="40">
        <f>K11</f>
        <v>439695</v>
      </c>
      <c r="I26" s="40">
        <f>M11</f>
        <v>75372.299999999988</v>
      </c>
      <c r="J26" s="41">
        <f>'Tata Motors (IS)'!K13</f>
        <v>75.598294080895343</v>
      </c>
      <c r="K26" s="25"/>
      <c r="L26" s="40">
        <f t="shared" ref="L26:M29" si="17">D26*H26</f>
        <v>664354.71620149852</v>
      </c>
      <c r="M26" s="40">
        <f t="shared" si="17"/>
        <v>536927.3304874493</v>
      </c>
      <c r="N26" s="40" t="s">
        <v>48</v>
      </c>
      <c r="O26" s="25"/>
      <c r="P26" s="42">
        <f>'Tata Motors (DS)'!K69</f>
        <v>40834</v>
      </c>
      <c r="Q26" s="42">
        <f>'Tata Motors (BS)'!K6</f>
        <v>71540</v>
      </c>
      <c r="R26" s="43">
        <f>E11</f>
        <v>368.25345930232561</v>
      </c>
      <c r="S26" s="44"/>
      <c r="T26" s="45">
        <f t="shared" ref="T26:U29" si="18">L26+P26-Q26</f>
        <v>633648.71620149852</v>
      </c>
      <c r="U26" s="45">
        <f t="shared" si="18"/>
        <v>608099.07702814694</v>
      </c>
      <c r="V26" s="45">
        <f>R26*J26*F26</f>
        <v>657128.51976828917</v>
      </c>
      <c r="W26" s="46"/>
      <c r="X26" s="47">
        <f t="shared" ref="X26:Z29" si="19">T26/$R26</f>
        <v>1720.6863919268467</v>
      </c>
      <c r="Y26" s="47">
        <f t="shared" si="19"/>
        <v>1651.3058103519807</v>
      </c>
      <c r="Z26" s="47">
        <f t="shared" si="19"/>
        <v>1784.4462914571166</v>
      </c>
      <c r="AA26" s="25"/>
      <c r="AB26" s="46"/>
      <c r="AC26" s="48"/>
    </row>
    <row r="27" spans="1:29" x14ac:dyDescent="0.25">
      <c r="A27" s="5"/>
      <c r="B27" s="203" t="s">
        <v>1</v>
      </c>
      <c r="C27" s="204"/>
      <c r="D27" s="39">
        <f>Y20</f>
        <v>2.3926902837886459</v>
      </c>
      <c r="E27" s="39">
        <f>AA20</f>
        <v>12.508987949111658</v>
      </c>
      <c r="F27" s="39">
        <f>AC20</f>
        <v>26.421237761579818</v>
      </c>
      <c r="G27" s="27"/>
      <c r="H27" s="40">
        <f t="shared" ref="H27:J29" si="20">H26</f>
        <v>439695</v>
      </c>
      <c r="I27" s="49">
        <f t="shared" si="20"/>
        <v>75372.299999999988</v>
      </c>
      <c r="J27" s="41">
        <f t="shared" si="20"/>
        <v>75.598294080895343</v>
      </c>
      <c r="K27" s="40"/>
      <c r="L27" s="40">
        <f t="shared" si="17"/>
        <v>1052053.9543304488</v>
      </c>
      <c r="M27" s="40">
        <f t="shared" si="17"/>
        <v>942831.19239682844</v>
      </c>
      <c r="N27" s="40" t="s">
        <v>48</v>
      </c>
      <c r="O27" s="25"/>
      <c r="P27" s="42">
        <f t="shared" ref="P27:R29" si="21">P26</f>
        <v>40834</v>
      </c>
      <c r="Q27" s="42">
        <f t="shared" si="21"/>
        <v>71540</v>
      </c>
      <c r="R27" s="43">
        <f t="shared" si="21"/>
        <v>368.25345930232561</v>
      </c>
      <c r="S27" s="25"/>
      <c r="T27" s="45">
        <f t="shared" si="18"/>
        <v>1021347.9543304488</v>
      </c>
      <c r="U27" s="45">
        <f t="shared" si="18"/>
        <v>1014002.9389375261</v>
      </c>
      <c r="V27" s="45">
        <f>R27*J27*F27</f>
        <v>735549.6445772429</v>
      </c>
      <c r="W27" s="46"/>
      <c r="X27" s="47">
        <f t="shared" si="19"/>
        <v>2773.4918125832219</v>
      </c>
      <c r="Y27" s="47">
        <f t="shared" si="19"/>
        <v>2753.546269079467</v>
      </c>
      <c r="Z27" s="47">
        <f t="shared" si="19"/>
        <v>1997.4005022811682</v>
      </c>
      <c r="AA27" s="46"/>
      <c r="AB27" s="46"/>
      <c r="AC27" s="48"/>
    </row>
    <row r="28" spans="1:29" x14ac:dyDescent="0.25">
      <c r="A28" s="5"/>
      <c r="B28" s="203" t="s">
        <v>0</v>
      </c>
      <c r="C28" s="204"/>
      <c r="D28" s="39">
        <f>Y21</f>
        <v>2.4512654505762446</v>
      </c>
      <c r="E28" s="39">
        <f>AA21</f>
        <v>13.6480305479544</v>
      </c>
      <c r="F28" s="39">
        <f>AC21</f>
        <v>25.635547044545167</v>
      </c>
      <c r="G28" s="27"/>
      <c r="H28" s="40">
        <f t="shared" si="20"/>
        <v>439695</v>
      </c>
      <c r="I28" s="49">
        <f t="shared" si="20"/>
        <v>75372.299999999988</v>
      </c>
      <c r="J28" s="41">
        <f t="shared" si="20"/>
        <v>75.598294080895343</v>
      </c>
      <c r="K28" s="40"/>
      <c r="L28" s="40">
        <f t="shared" si="17"/>
        <v>1077809.1622911219</v>
      </c>
      <c r="M28" s="40">
        <f t="shared" si="17"/>
        <v>1028683.4528695833</v>
      </c>
      <c r="N28" s="40" t="s">
        <v>48</v>
      </c>
      <c r="O28" s="25"/>
      <c r="P28" s="42">
        <f t="shared" si="21"/>
        <v>40834</v>
      </c>
      <c r="Q28" s="42">
        <f t="shared" si="21"/>
        <v>71540</v>
      </c>
      <c r="R28" s="43">
        <f t="shared" si="21"/>
        <v>368.25345930232561</v>
      </c>
      <c r="S28" s="25"/>
      <c r="T28" s="45">
        <f t="shared" si="18"/>
        <v>1047103.1622911219</v>
      </c>
      <c r="U28" s="45">
        <f t="shared" si="18"/>
        <v>1099855.1994102811</v>
      </c>
      <c r="V28" s="45">
        <f>R28*J28*F28</f>
        <v>713676.53882506478</v>
      </c>
      <c r="W28" s="46"/>
      <c r="X28" s="47">
        <f t="shared" si="19"/>
        <v>2843.430620515855</v>
      </c>
      <c r="Y28" s="47">
        <f t="shared" si="19"/>
        <v>2986.6798848108888</v>
      </c>
      <c r="Z28" s="47">
        <f t="shared" si="19"/>
        <v>1938.0036243981531</v>
      </c>
      <c r="AA28" s="46"/>
      <c r="AB28" s="46"/>
      <c r="AC28" s="48"/>
    </row>
    <row r="29" spans="1:29" x14ac:dyDescent="0.25">
      <c r="A29" s="5"/>
      <c r="B29" s="203" t="s">
        <v>49</v>
      </c>
      <c r="C29" s="203"/>
      <c r="D29" s="39">
        <f>MAX(Y13:Y16)</f>
        <v>3.1572857925108355</v>
      </c>
      <c r="E29" s="39">
        <f>MAX(AA13:AA16)</f>
        <v>15.616221521178179</v>
      </c>
      <c r="F29" s="39">
        <f>MAX(AC13:AC16)</f>
        <v>30.809537400128395</v>
      </c>
      <c r="G29" s="27"/>
      <c r="H29" s="40">
        <f t="shared" si="20"/>
        <v>439695</v>
      </c>
      <c r="I29" s="49">
        <f t="shared" si="20"/>
        <v>75372.299999999988</v>
      </c>
      <c r="J29" s="41">
        <f t="shared" si="20"/>
        <v>75.598294080895343</v>
      </c>
      <c r="K29" s="40"/>
      <c r="L29" s="40">
        <f t="shared" si="17"/>
        <v>1388242.7765380519</v>
      </c>
      <c r="M29" s="40">
        <f t="shared" si="17"/>
        <v>1177030.5333606978</v>
      </c>
      <c r="N29" s="40" t="s">
        <v>48</v>
      </c>
      <c r="O29" s="25"/>
      <c r="P29" s="42">
        <f t="shared" si="21"/>
        <v>40834</v>
      </c>
      <c r="Q29" s="42">
        <f t="shared" si="21"/>
        <v>71540</v>
      </c>
      <c r="R29" s="43">
        <f t="shared" si="21"/>
        <v>368.25345930232561</v>
      </c>
      <c r="S29" s="25"/>
      <c r="T29" s="45">
        <f t="shared" si="18"/>
        <v>1357536.7765380519</v>
      </c>
      <c r="U29" s="45">
        <f t="shared" si="18"/>
        <v>1248202.2799013956</v>
      </c>
      <c r="V29" s="45">
        <f>R29*J29*F29</f>
        <v>857716.98089055298</v>
      </c>
      <c r="W29" s="46"/>
      <c r="X29" s="47">
        <f t="shared" si="19"/>
        <v>3686.419617374328</v>
      </c>
      <c r="Y29" s="47">
        <f t="shared" si="19"/>
        <v>3389.5194963441118</v>
      </c>
      <c r="Z29" s="47">
        <f t="shared" si="19"/>
        <v>2329.1484688712503</v>
      </c>
      <c r="AA29" s="46"/>
      <c r="AB29" s="46"/>
      <c r="AC29" s="48"/>
    </row>
    <row r="32" spans="1:29" x14ac:dyDescent="0.25">
      <c r="A32" s="5"/>
      <c r="D32" s="5"/>
      <c r="E32" s="34"/>
      <c r="F32" s="34"/>
      <c r="G32" s="34"/>
      <c r="I32" s="34"/>
      <c r="J32" s="34"/>
      <c r="K32" s="34"/>
      <c r="L32" s="34"/>
      <c r="M32" s="34"/>
      <c r="N32" s="34"/>
      <c r="O32" s="34"/>
      <c r="P32" s="37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 spans="1:29" x14ac:dyDescent="0.25">
      <c r="A33" s="5"/>
      <c r="B33" s="32"/>
      <c r="D33" s="5"/>
      <c r="E33" s="34"/>
      <c r="F33" s="34"/>
      <c r="G33" s="34"/>
      <c r="I33" s="34"/>
      <c r="J33" s="34"/>
      <c r="K33" s="34"/>
      <c r="L33" s="34"/>
      <c r="M33" s="34"/>
      <c r="N33" s="34"/>
      <c r="O33" s="34"/>
      <c r="P33" s="37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spans="1:29" x14ac:dyDescent="0.25">
      <c r="A34" s="5"/>
      <c r="B34" s="32"/>
      <c r="D34" s="5"/>
      <c r="E34" s="34"/>
      <c r="F34" s="34"/>
      <c r="G34" s="34"/>
      <c r="I34" s="34"/>
      <c r="J34" s="34"/>
      <c r="K34" s="34"/>
      <c r="L34" s="34"/>
      <c r="M34" s="34"/>
      <c r="N34" s="34"/>
      <c r="O34" s="34"/>
      <c r="P34" s="37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</row>
    <row r="35" spans="1:29" ht="6" customHeight="1" x14ac:dyDescent="0.25">
      <c r="A35" s="5"/>
      <c r="B35" s="32"/>
      <c r="D35" s="5"/>
      <c r="E35" s="34"/>
      <c r="F35" s="34"/>
      <c r="G35" s="34"/>
      <c r="I35" s="34"/>
      <c r="J35" s="34"/>
      <c r="K35" s="34"/>
      <c r="L35" s="34"/>
      <c r="M35" s="34"/>
      <c r="N35" s="34"/>
      <c r="O35" s="34"/>
      <c r="P35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</row>
    <row r="36" spans="1:29" x14ac:dyDescent="0.25">
      <c r="A36" s="5"/>
      <c r="B36" s="32"/>
      <c r="D36" s="5"/>
      <c r="E36" s="34"/>
      <c r="F36" s="34"/>
      <c r="G36" s="34"/>
      <c r="I36" s="34"/>
      <c r="J36" s="34"/>
      <c r="K36" s="34"/>
      <c r="L36" s="34"/>
      <c r="M36" s="34"/>
      <c r="N36" s="34"/>
      <c r="O36" s="126"/>
      <c r="P36" s="127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</row>
    <row r="37" spans="1:29" x14ac:dyDescent="0.25">
      <c r="A37" s="5"/>
      <c r="B37" s="32"/>
      <c r="D37" s="5"/>
      <c r="E37" s="34"/>
      <c r="F37" s="34"/>
      <c r="G37" s="34"/>
      <c r="I37" s="34"/>
      <c r="J37" s="34"/>
      <c r="K37" s="34"/>
      <c r="L37" s="34"/>
      <c r="M37" s="34"/>
      <c r="N37" s="34"/>
      <c r="O37" s="126"/>
      <c r="P37" s="127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</row>
    <row r="38" spans="1:29" x14ac:dyDescent="0.25">
      <c r="A38" s="5"/>
      <c r="B38" s="32"/>
      <c r="D38" s="5"/>
      <c r="E38" s="34"/>
      <c r="F38" s="34"/>
      <c r="G38" s="34"/>
      <c r="I38" s="34"/>
      <c r="J38" s="34"/>
      <c r="K38" s="34"/>
      <c r="L38" s="34"/>
      <c r="M38" s="34"/>
      <c r="N38" s="34"/>
      <c r="O38" s="126"/>
      <c r="P38" s="127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</row>
    <row r="39" spans="1:29" x14ac:dyDescent="0.25">
      <c r="O39" s="126"/>
      <c r="P39" s="127"/>
    </row>
    <row r="40" spans="1:29" x14ac:dyDescent="0.25">
      <c r="O40" s="126"/>
      <c r="P40" s="127"/>
    </row>
    <row r="41" spans="1:29" x14ac:dyDescent="0.25">
      <c r="O41" s="126"/>
      <c r="P41" s="127"/>
    </row>
    <row r="42" spans="1:29" x14ac:dyDescent="0.25">
      <c r="O42" s="126"/>
      <c r="P42" s="127"/>
    </row>
  </sheetData>
  <mergeCells count="20">
    <mergeCell ref="T23:V23"/>
    <mergeCell ref="X23:Z23"/>
    <mergeCell ref="X7:AC7"/>
    <mergeCell ref="I8:K8"/>
    <mergeCell ref="L8:M8"/>
    <mergeCell ref="N8:O8"/>
    <mergeCell ref="Q8:R8"/>
    <mergeCell ref="S8:T8"/>
    <mergeCell ref="U8:V8"/>
    <mergeCell ref="X8:Y8"/>
    <mergeCell ref="Z8:AA8"/>
    <mergeCell ref="AB8:AC8"/>
    <mergeCell ref="L23:N23"/>
    <mergeCell ref="H23:J23"/>
    <mergeCell ref="D23:F23"/>
    <mergeCell ref="B28:C28"/>
    <mergeCell ref="B29:C29"/>
    <mergeCell ref="B27:C27"/>
    <mergeCell ref="B24:C24"/>
    <mergeCell ref="B26:C26"/>
  </mergeCells>
  <conditionalFormatting sqref="H1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:P18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:P4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Q36 Q3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:Q3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:R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V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V3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:R3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:R3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:S36 S3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:S3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:T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36 T3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3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:U3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:U3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:V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V3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2:V3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2:X3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:AA18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2:Y3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2:Z3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2:AA3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:AB15 AC13:AC15 AC11 AB16:AC18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2:AB3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2:AC3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9FE4-48C2-488F-AB70-278CCD5C3D96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C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0.7109375" style="106" customWidth="1"/>
    <col min="2" max="6" width="13.42578125" style="106" customWidth="1"/>
    <col min="7" max="7" width="14.85546875" style="106" bestFit="1" customWidth="1"/>
    <col min="8" max="11" width="13.42578125" style="106" customWidth="1"/>
    <col min="12" max="12" width="13.28515625" style="106" customWidth="1"/>
    <col min="13" max="14" width="12.140625" style="106" customWidth="1"/>
    <col min="15" max="16384" width="8.85546875" style="106"/>
  </cols>
  <sheetData>
    <row r="1" spans="1:14" s="107" customFormat="1" x14ac:dyDescent="0.25">
      <c r="A1" s="107" t="str">
        <f>'[1]Data Sheet'!B1</f>
        <v>EICHER MOTORS LTD</v>
      </c>
      <c r="H1" s="106">
        <f>UPDATE</f>
        <v>0</v>
      </c>
      <c r="J1" s="123"/>
      <c r="K1" s="123"/>
      <c r="M1" s="107" t="s">
        <v>85</v>
      </c>
    </row>
    <row r="3" spans="1:14" s="107" customFormat="1" x14ac:dyDescent="0.25">
      <c r="A3" s="113" t="s">
        <v>84</v>
      </c>
      <c r="B3" s="112">
        <f>'[1]Data Sheet'!B16</f>
        <v>42460</v>
      </c>
      <c r="C3" s="112">
        <f>'[1]Data Sheet'!C16</f>
        <v>42825</v>
      </c>
      <c r="D3" s="112">
        <f>'[1]Data Sheet'!D16</f>
        <v>43190</v>
      </c>
      <c r="E3" s="112">
        <f>'[1]Data Sheet'!E16</f>
        <v>43555</v>
      </c>
      <c r="F3" s="112">
        <f>'[1]Data Sheet'!F16</f>
        <v>43921</v>
      </c>
      <c r="G3" s="112">
        <f>'[1]Data Sheet'!G16</f>
        <v>44286</v>
      </c>
      <c r="H3" s="112">
        <f>'[1]Data Sheet'!H16</f>
        <v>44651</v>
      </c>
      <c r="I3" s="112">
        <f>'[1]Data Sheet'!I16</f>
        <v>45016</v>
      </c>
      <c r="J3" s="112">
        <f>'[1]Data Sheet'!J16</f>
        <v>45382</v>
      </c>
      <c r="K3" s="112">
        <f>'[1]Data Sheet'!K16</f>
        <v>45747</v>
      </c>
      <c r="L3" s="121" t="s">
        <v>83</v>
      </c>
      <c r="M3" s="121" t="s">
        <v>82</v>
      </c>
      <c r="N3" s="121" t="s">
        <v>81</v>
      </c>
    </row>
    <row r="4" spans="1:14" s="107" customFormat="1" x14ac:dyDescent="0.25">
      <c r="A4" s="107" t="s">
        <v>80</v>
      </c>
      <c r="B4" s="115">
        <f>'[1]Data Sheet'!B17</f>
        <v>6173.46</v>
      </c>
      <c r="C4" s="115">
        <f>'[1]Data Sheet'!C17</f>
        <v>7033.36</v>
      </c>
      <c r="D4" s="115">
        <f>'[1]Data Sheet'!D17</f>
        <v>8964.9599999999991</v>
      </c>
      <c r="E4" s="115">
        <f>'[1]Data Sheet'!E17</f>
        <v>9797.06</v>
      </c>
      <c r="F4" s="115">
        <f>'[1]Data Sheet'!F17</f>
        <v>9153.58</v>
      </c>
      <c r="G4" s="115">
        <f>'[1]Data Sheet'!G17</f>
        <v>8720.35</v>
      </c>
      <c r="H4" s="115">
        <f>'[1]Data Sheet'!H17</f>
        <v>10297.83</v>
      </c>
      <c r="I4" s="115">
        <f>'[1]Data Sheet'!I17</f>
        <v>14442.18</v>
      </c>
      <c r="J4" s="115">
        <f>'[1]Data Sheet'!J17</f>
        <v>16535.78</v>
      </c>
      <c r="K4" s="115">
        <f>'[1]Data Sheet'!K17</f>
        <v>18870.349999999999</v>
      </c>
      <c r="L4" s="115">
        <f>SUM([1]Quarters!H4:K4)</f>
        <v>0</v>
      </c>
      <c r="M4" s="115">
        <f>$K4+M23*K4</f>
        <v>23091.813137588397</v>
      </c>
      <c r="N4" s="115">
        <f>$K4+N23*L4</f>
        <v>18870.349999999999</v>
      </c>
    </row>
    <row r="5" spans="1:14" x14ac:dyDescent="0.25">
      <c r="A5" s="106" t="s">
        <v>79</v>
      </c>
      <c r="B5" s="116">
        <f>SUM('[1]Data Sheet'!B18,'[1]Data Sheet'!B20:B24, -1*'[1]Data Sheet'!B19)</f>
        <v>4483.7299999999996</v>
      </c>
      <c r="C5" s="116">
        <f>SUM('[1]Data Sheet'!C18,'[1]Data Sheet'!C20:C24, -1*'[1]Data Sheet'!C19)</f>
        <v>4859.05</v>
      </c>
      <c r="D5" s="116">
        <f>SUM('[1]Data Sheet'!D18,'[1]Data Sheet'!D20:D24, -1*'[1]Data Sheet'!D19)</f>
        <v>6156.33</v>
      </c>
      <c r="E5" s="116">
        <f>SUM('[1]Data Sheet'!E18,'[1]Data Sheet'!E20:E24, -1*'[1]Data Sheet'!E19)</f>
        <v>6892.8200000000006</v>
      </c>
      <c r="F5" s="116">
        <f>SUM('[1]Data Sheet'!F18,'[1]Data Sheet'!F20:F24, -1*'[1]Data Sheet'!F19)</f>
        <v>6970.69</v>
      </c>
      <c r="G5" s="116">
        <f>SUM('[1]Data Sheet'!G18,'[1]Data Sheet'!G20:G24, -1*'[1]Data Sheet'!G19)</f>
        <v>6937.1200000000008</v>
      </c>
      <c r="H5" s="116">
        <f>SUM('[1]Data Sheet'!H18,'[1]Data Sheet'!H20:H24, -1*'[1]Data Sheet'!H19)</f>
        <v>8120.26</v>
      </c>
      <c r="I5" s="116">
        <f>SUM('[1]Data Sheet'!I18,'[1]Data Sheet'!I20:I24, -1*'[1]Data Sheet'!I19)</f>
        <v>10996.46</v>
      </c>
      <c r="J5" s="116">
        <f>SUM('[1]Data Sheet'!J18,'[1]Data Sheet'!J20:J24, -1*'[1]Data Sheet'!J19)</f>
        <v>12206.410000000002</v>
      </c>
      <c r="K5" s="116">
        <f>SUM('[1]Data Sheet'!K18,'[1]Data Sheet'!K20:K24, -1*'[1]Data Sheet'!K19)</f>
        <v>14158.32</v>
      </c>
      <c r="L5" s="116">
        <f>SUM([1]Quarters!H5:K5)</f>
        <v>0</v>
      </c>
      <c r="M5" s="116">
        <f>M4-M6</f>
        <v>17307.259124289998</v>
      </c>
      <c r="N5" s="116">
        <f>N4-N6</f>
        <v>18870.349999999999</v>
      </c>
    </row>
    <row r="6" spans="1:14" s="107" customFormat="1" x14ac:dyDescent="0.25">
      <c r="A6" s="107" t="s">
        <v>78</v>
      </c>
      <c r="B6" s="115">
        <f t="shared" ref="B6:K6" si="0">B4-B5</f>
        <v>1689.7300000000005</v>
      </c>
      <c r="C6" s="115">
        <f t="shared" si="0"/>
        <v>2174.3099999999995</v>
      </c>
      <c r="D6" s="115">
        <f t="shared" si="0"/>
        <v>2808.6299999999992</v>
      </c>
      <c r="E6" s="115">
        <f t="shared" si="0"/>
        <v>2904.2399999999989</v>
      </c>
      <c r="F6" s="115">
        <f t="shared" si="0"/>
        <v>2182.8900000000003</v>
      </c>
      <c r="G6" s="115">
        <f t="shared" si="0"/>
        <v>1783.2299999999996</v>
      </c>
      <c r="H6" s="115">
        <f t="shared" si="0"/>
        <v>2177.5699999999997</v>
      </c>
      <c r="I6" s="115">
        <f t="shared" si="0"/>
        <v>3445.7200000000012</v>
      </c>
      <c r="J6" s="115">
        <f t="shared" si="0"/>
        <v>4329.3699999999972</v>
      </c>
      <c r="K6" s="115">
        <f t="shared" si="0"/>
        <v>4712.0299999999988</v>
      </c>
      <c r="L6" s="115">
        <f>SUM([1]Quarters!H6:K6)</f>
        <v>0</v>
      </c>
      <c r="M6" s="115">
        <f>M4*M24</f>
        <v>5784.5540132983997</v>
      </c>
      <c r="N6" s="115">
        <f>N4*N24</f>
        <v>0</v>
      </c>
    </row>
    <row r="7" spans="1:14" x14ac:dyDescent="0.25">
      <c r="A7" s="106" t="s">
        <v>77</v>
      </c>
      <c r="B7" s="116">
        <f>'[1]Data Sheet'!B25</f>
        <v>325.91000000000003</v>
      </c>
      <c r="C7" s="116">
        <f>'[1]Data Sheet'!C25</f>
        <v>416.44</v>
      </c>
      <c r="D7" s="116">
        <f>'[1]Data Sheet'!D25</f>
        <v>535.66</v>
      </c>
      <c r="E7" s="116">
        <f>'[1]Data Sheet'!E25</f>
        <v>700.66</v>
      </c>
      <c r="F7" s="116">
        <f>'[1]Data Sheet'!F25</f>
        <v>572.41999999999996</v>
      </c>
      <c r="G7" s="116">
        <f>'[1]Data Sheet'!G25</f>
        <v>482.34</v>
      </c>
      <c r="H7" s="116">
        <f>'[1]Data Sheet'!H25</f>
        <v>495.65</v>
      </c>
      <c r="I7" s="116">
        <f>'[1]Data Sheet'!I25</f>
        <v>908.14</v>
      </c>
      <c r="J7" s="116">
        <f>'[1]Data Sheet'!J25</f>
        <v>1521.13</v>
      </c>
      <c r="K7" s="116">
        <f>'[1]Data Sheet'!K25</f>
        <v>2004.71</v>
      </c>
      <c r="L7" s="116">
        <f>SUM([1]Quarters!H7:K7)</f>
        <v>0</v>
      </c>
      <c r="M7" s="116">
        <v>0</v>
      </c>
      <c r="N7" s="116">
        <v>0</v>
      </c>
    </row>
    <row r="8" spans="1:14" x14ac:dyDescent="0.25">
      <c r="A8" s="106" t="s">
        <v>76</v>
      </c>
      <c r="B8" s="116">
        <f>'[1]Data Sheet'!B26</f>
        <v>136.6</v>
      </c>
      <c r="C8" s="116">
        <f>'[1]Data Sheet'!C26</f>
        <v>153.81</v>
      </c>
      <c r="D8" s="116">
        <f>'[1]Data Sheet'!D26</f>
        <v>223.3</v>
      </c>
      <c r="E8" s="116">
        <f>'[1]Data Sheet'!E26</f>
        <v>300.27999999999997</v>
      </c>
      <c r="F8" s="116">
        <f>'[1]Data Sheet'!F26</f>
        <v>381.54</v>
      </c>
      <c r="G8" s="116">
        <f>'[1]Data Sheet'!G26</f>
        <v>450.73</v>
      </c>
      <c r="H8" s="116">
        <f>'[1]Data Sheet'!H26</f>
        <v>451.93</v>
      </c>
      <c r="I8" s="116">
        <f>'[1]Data Sheet'!I26</f>
        <v>526.21</v>
      </c>
      <c r="J8" s="116">
        <f>'[1]Data Sheet'!J26</f>
        <v>597.6</v>
      </c>
      <c r="K8" s="116">
        <f>'[1]Data Sheet'!K26</f>
        <v>729.33</v>
      </c>
      <c r="L8" s="116">
        <f>SUM([1]Quarters!H8:K8)</f>
        <v>0</v>
      </c>
      <c r="M8" s="116">
        <f>+$L8</f>
        <v>0</v>
      </c>
      <c r="N8" s="116">
        <f>+$L8</f>
        <v>0</v>
      </c>
    </row>
    <row r="9" spans="1:14" x14ac:dyDescent="0.25">
      <c r="A9" s="106" t="s">
        <v>75</v>
      </c>
      <c r="B9" s="116">
        <f>'[1]Data Sheet'!B27</f>
        <v>2.12</v>
      </c>
      <c r="C9" s="116">
        <f>'[1]Data Sheet'!C27</f>
        <v>3.56</v>
      </c>
      <c r="D9" s="116">
        <f>'[1]Data Sheet'!D27</f>
        <v>5.34</v>
      </c>
      <c r="E9" s="116">
        <f>'[1]Data Sheet'!E27</f>
        <v>7.33</v>
      </c>
      <c r="F9" s="116">
        <f>'[1]Data Sheet'!F27</f>
        <v>18.88</v>
      </c>
      <c r="G9" s="116">
        <f>'[1]Data Sheet'!G27</f>
        <v>16.45</v>
      </c>
      <c r="H9" s="116">
        <f>'[1]Data Sheet'!H27</f>
        <v>18.78</v>
      </c>
      <c r="I9" s="116">
        <f>'[1]Data Sheet'!I27</f>
        <v>28.02</v>
      </c>
      <c r="J9" s="116">
        <f>'[1]Data Sheet'!J27</f>
        <v>50.88</v>
      </c>
      <c r="K9" s="116">
        <f>'[1]Data Sheet'!K27</f>
        <v>54.34</v>
      </c>
      <c r="L9" s="116">
        <f>SUM([1]Quarters!H9:K9)</f>
        <v>0</v>
      </c>
      <c r="M9" s="116">
        <f>+$L9</f>
        <v>0</v>
      </c>
      <c r="N9" s="116">
        <f>+$L9</f>
        <v>0</v>
      </c>
    </row>
    <row r="10" spans="1:14" x14ac:dyDescent="0.25">
      <c r="A10" s="106" t="s">
        <v>74</v>
      </c>
      <c r="B10" s="116">
        <f>'[1]Data Sheet'!B28</f>
        <v>1876.92</v>
      </c>
      <c r="C10" s="116">
        <f>'[1]Data Sheet'!C28</f>
        <v>2433.38</v>
      </c>
      <c r="D10" s="116">
        <f>'[1]Data Sheet'!D28</f>
        <v>3115.65</v>
      </c>
      <c r="E10" s="116">
        <f>'[1]Data Sheet'!E28</f>
        <v>3297.29</v>
      </c>
      <c r="F10" s="116">
        <f>'[1]Data Sheet'!F28</f>
        <v>2354.89</v>
      </c>
      <c r="G10" s="116">
        <f>'[1]Data Sheet'!G28</f>
        <v>1798.39</v>
      </c>
      <c r="H10" s="116">
        <f>'[1]Data Sheet'!H28</f>
        <v>2202.5100000000002</v>
      </c>
      <c r="I10" s="116">
        <f>'[1]Data Sheet'!I28</f>
        <v>3799.63</v>
      </c>
      <c r="J10" s="116">
        <f>'[1]Data Sheet'!J28</f>
        <v>5202.0200000000004</v>
      </c>
      <c r="K10" s="116">
        <f>'[1]Data Sheet'!K28</f>
        <v>5933.07</v>
      </c>
      <c r="L10" s="116">
        <f>SUM([1]Quarters!H10:K10)</f>
        <v>0</v>
      </c>
      <c r="M10" s="116">
        <f>M6+M7-SUM(M8:M9)</f>
        <v>5784.5540132983997</v>
      </c>
      <c r="N10" s="116">
        <f>N6+N7-SUM(N8:N9)</f>
        <v>0</v>
      </c>
    </row>
    <row r="11" spans="1:14" x14ac:dyDescent="0.25">
      <c r="A11" s="106" t="s">
        <v>73</v>
      </c>
      <c r="B11" s="116">
        <f>'[1]Data Sheet'!B29</f>
        <v>538.88</v>
      </c>
      <c r="C11" s="116">
        <f>'[1]Data Sheet'!C29</f>
        <v>720.3</v>
      </c>
      <c r="D11" s="116">
        <f>'[1]Data Sheet'!D29</f>
        <v>935.93</v>
      </c>
      <c r="E11" s="116">
        <f>'[1]Data Sheet'!E29</f>
        <v>1077.04</v>
      </c>
      <c r="F11" s="116">
        <f>'[1]Data Sheet'!F29</f>
        <v>527.45000000000005</v>
      </c>
      <c r="G11" s="116">
        <f>'[1]Data Sheet'!G29</f>
        <v>451.5</v>
      </c>
      <c r="H11" s="116">
        <f>'[1]Data Sheet'!H29</f>
        <v>525.91</v>
      </c>
      <c r="I11" s="116">
        <f>'[1]Data Sheet'!I29</f>
        <v>885.69</v>
      </c>
      <c r="J11" s="116">
        <f>'[1]Data Sheet'!J29</f>
        <v>1201.01</v>
      </c>
      <c r="K11" s="116">
        <f>'[1]Data Sheet'!K29</f>
        <v>1198.6300000000001</v>
      </c>
      <c r="L11" s="116">
        <f>SUM([1]Quarters!H11:K11)</f>
        <v>0</v>
      </c>
      <c r="M11" s="122">
        <f>IF($L10&gt;0,$L11/$L10,0)</f>
        <v>0</v>
      </c>
      <c r="N11" s="122">
        <f>IF($L10&gt;0,$L11/$L10,0)</f>
        <v>0</v>
      </c>
    </row>
    <row r="12" spans="1:14" s="107" customFormat="1" x14ac:dyDescent="0.25">
      <c r="A12" s="107" t="s">
        <v>72</v>
      </c>
      <c r="B12" s="115">
        <f>'[1]Data Sheet'!B30</f>
        <v>1338.04</v>
      </c>
      <c r="C12" s="115">
        <f>'[1]Data Sheet'!C30</f>
        <v>1667.08</v>
      </c>
      <c r="D12" s="115">
        <f>'[1]Data Sheet'!D30</f>
        <v>1959.67</v>
      </c>
      <c r="E12" s="115">
        <f>'[1]Data Sheet'!E30</f>
        <v>2202.73</v>
      </c>
      <c r="F12" s="115">
        <f>'[1]Data Sheet'!F30</f>
        <v>1827.44</v>
      </c>
      <c r="G12" s="115">
        <f>'[1]Data Sheet'!G30</f>
        <v>1346.89</v>
      </c>
      <c r="H12" s="115">
        <f>'[1]Data Sheet'!H30</f>
        <v>1676.6</v>
      </c>
      <c r="I12" s="115">
        <f>'[1]Data Sheet'!I30</f>
        <v>2913.94</v>
      </c>
      <c r="J12" s="115">
        <f>'[1]Data Sheet'!J30</f>
        <v>4001.01</v>
      </c>
      <c r="K12" s="115">
        <f>'[1]Data Sheet'!K30</f>
        <v>4734.4399999999996</v>
      </c>
      <c r="L12" s="115">
        <f>SUM([1]Quarters!H12:K12)</f>
        <v>0</v>
      </c>
      <c r="M12" s="115">
        <f>M10-M11*M10</f>
        <v>5784.5540132983997</v>
      </c>
      <c r="N12" s="115">
        <f>N10-N11*N10</f>
        <v>0</v>
      </c>
    </row>
    <row r="13" spans="1:14" x14ac:dyDescent="0.25">
      <c r="A13" s="106" t="s">
        <v>43</v>
      </c>
      <c r="B13" s="116">
        <f>IF('[1]Data Sheet'!B93&gt;0,B12/'[1]Data Sheet'!B93,0)</f>
        <v>49.265095729013254</v>
      </c>
      <c r="C13" s="116">
        <f>IF('[1]Data Sheet'!C93&gt;0,C12/'[1]Data Sheet'!C93,0)</f>
        <v>61.267181183388459</v>
      </c>
      <c r="D13" s="116">
        <f>IF('[1]Data Sheet'!D93&gt;0,D12/'[1]Data Sheet'!D93,0)</f>
        <v>71.888114453411589</v>
      </c>
      <c r="E13" s="116">
        <f>IF('[1]Data Sheet'!E93&gt;0,E12/'[1]Data Sheet'!E93,0)</f>
        <v>80.745234604105576</v>
      </c>
      <c r="F13" s="116">
        <f>IF('[1]Data Sheet'!F93&gt;0,F12/'[1]Data Sheet'!F93,0)</f>
        <v>66.914683266202857</v>
      </c>
      <c r="G13" s="116">
        <f>IF('[1]Data Sheet'!G93&gt;0,G12/'[1]Data Sheet'!G93,0)</f>
        <v>49.28247347237469</v>
      </c>
      <c r="H13" s="116">
        <f>IF('[1]Data Sheet'!H93&gt;0,H12/'[1]Data Sheet'!H93,0)</f>
        <v>61.324067300658371</v>
      </c>
      <c r="I13" s="116">
        <f>IF('[1]Data Sheet'!I93&gt;0,I12/'[1]Data Sheet'!I93,0)</f>
        <v>106.54259597806215</v>
      </c>
      <c r="J13" s="116">
        <f>IF('[1]Data Sheet'!J93&gt;0,J12/'[1]Data Sheet'!J93,0)</f>
        <v>146.12892622352084</v>
      </c>
      <c r="K13" s="116">
        <f>IF('[1]Data Sheet'!K93&gt;0,K12/'[1]Data Sheet'!K93,0)</f>
        <v>172.66374908825671</v>
      </c>
      <c r="L13" s="116">
        <f>IF('[1]Data Sheet'!$B6&gt;0,'Eicher Motors (IS)'!L12/'[1]Data Sheet'!$B6,0)</f>
        <v>0</v>
      </c>
      <c r="M13" s="116">
        <f>IF('[1]Data Sheet'!$B6&gt;0,'Eicher Motors (IS)'!M12/'[1]Data Sheet'!$B6,0)</f>
        <v>0</v>
      </c>
      <c r="N13" s="116">
        <f>IF('[1]Data Sheet'!$B6&gt;0,'Eicher Motors (IS)'!N12/'[1]Data Sheet'!$B6,0)</f>
        <v>0</v>
      </c>
    </row>
    <row r="14" spans="1:14" x14ac:dyDescent="0.25">
      <c r="A14" s="106" t="s">
        <v>71</v>
      </c>
      <c r="B14" s="116">
        <f t="shared" ref="B14:K14" si="1">IF(B15&gt;0,B15/B13,"")</f>
        <v>38.933447131625364</v>
      </c>
      <c r="C14" s="116">
        <f t="shared" si="1"/>
        <v>41.763795078820451</v>
      </c>
      <c r="D14" s="116">
        <f t="shared" si="1"/>
        <v>39.467859486546203</v>
      </c>
      <c r="E14" s="116">
        <f t="shared" si="1"/>
        <v>25.44756987919536</v>
      </c>
      <c r="F14" s="116">
        <f t="shared" si="1"/>
        <v>19.571040854966508</v>
      </c>
      <c r="G14" s="116">
        <f t="shared" si="1"/>
        <v>52.837242462264904</v>
      </c>
      <c r="H14" s="116">
        <f t="shared" si="1"/>
        <v>40.068281641417158</v>
      </c>
      <c r="I14" s="116">
        <f t="shared" si="1"/>
        <v>27.677662374654247</v>
      </c>
      <c r="J14" s="116">
        <f t="shared" si="1"/>
        <v>27.505163446229826</v>
      </c>
      <c r="K14" s="116">
        <f t="shared" si="1"/>
        <v>30.971758856380063</v>
      </c>
      <c r="L14" s="116">
        <f>IF(L13&gt;0,L15/L13,0)</f>
        <v>0</v>
      </c>
      <c r="M14" s="116">
        <f>M25</f>
        <v>28.71819489242138</v>
      </c>
      <c r="N14" s="116">
        <f>N25</f>
        <v>0</v>
      </c>
    </row>
    <row r="15" spans="1:14" s="107" customFormat="1" x14ac:dyDescent="0.25">
      <c r="A15" s="107" t="s">
        <v>30</v>
      </c>
      <c r="B15" s="115">
        <f>'[1]Data Sheet'!B90</f>
        <v>1918.06</v>
      </c>
      <c r="C15" s="115">
        <f>'[1]Data Sheet'!C90</f>
        <v>2558.75</v>
      </c>
      <c r="D15" s="115">
        <f>'[1]Data Sheet'!D90</f>
        <v>2837.27</v>
      </c>
      <c r="E15" s="115">
        <f>'[1]Data Sheet'!E90</f>
        <v>2054.77</v>
      </c>
      <c r="F15" s="115">
        <f>'[1]Data Sheet'!F90</f>
        <v>1309.5899999999999</v>
      </c>
      <c r="G15" s="115">
        <f>'[1]Data Sheet'!G90</f>
        <v>2603.9499999999998</v>
      </c>
      <c r="H15" s="115">
        <f>'[1]Data Sheet'!H90</f>
        <v>2457.15</v>
      </c>
      <c r="I15" s="115">
        <f>'[1]Data Sheet'!I90</f>
        <v>2948.85</v>
      </c>
      <c r="J15" s="115">
        <f>'[1]Data Sheet'!J90</f>
        <v>4019.3</v>
      </c>
      <c r="K15" s="115">
        <f>'[1]Data Sheet'!K90</f>
        <v>5347.7</v>
      </c>
      <c r="L15" s="115">
        <f>'[1]Data Sheet'!B8</f>
        <v>5660</v>
      </c>
      <c r="M15" s="85">
        <f>M13*M14</f>
        <v>0</v>
      </c>
      <c r="N15" s="84">
        <f>N13*N14</f>
        <v>0</v>
      </c>
    </row>
    <row r="17" spans="1:14" s="107" customFormat="1" x14ac:dyDescent="0.25">
      <c r="A17" s="107" t="s">
        <v>70</v>
      </c>
    </row>
    <row r="18" spans="1:14" x14ac:dyDescent="0.25">
      <c r="A18" s="106" t="s">
        <v>69</v>
      </c>
      <c r="B18" s="120">
        <f>IF('[1]Data Sheet'!B30&gt;0, '[1]Data Sheet'!B31/'[1]Data Sheet'!B30, 0)</f>
        <v>0.20298346835670086</v>
      </c>
      <c r="C18" s="120">
        <f>IF('[1]Data Sheet'!C30&gt;0, '[1]Data Sheet'!C31/'[1]Data Sheet'!C30, 0)</f>
        <v>0.16321952155865346</v>
      </c>
      <c r="D18" s="120">
        <f>IF('[1]Data Sheet'!D30&gt;0, '[1]Data Sheet'!D31/'[1]Data Sheet'!D30, 0)</f>
        <v>0.1530155587420331</v>
      </c>
      <c r="E18" s="120">
        <f>IF('[1]Data Sheet'!E30&gt;0, '[1]Data Sheet'!E31/'[1]Data Sheet'!E30, 0)</f>
        <v>0.15480789747268162</v>
      </c>
      <c r="F18" s="120">
        <f>IF('[1]Data Sheet'!F30&gt;0, '[1]Data Sheet'!F31/'[1]Data Sheet'!F30, 0)</f>
        <v>0.18673663704417107</v>
      </c>
      <c r="G18" s="120">
        <f>IF('[1]Data Sheet'!G30&gt;0, '[1]Data Sheet'!G31/'[1]Data Sheet'!G30, 0)</f>
        <v>0.34495021865185721</v>
      </c>
      <c r="H18" s="120">
        <f>IF('[1]Data Sheet'!H30&gt;0, '[1]Data Sheet'!H31/'[1]Data Sheet'!H30, 0)</f>
        <v>0.34244303948467136</v>
      </c>
      <c r="I18" s="120">
        <f>IF('[1]Data Sheet'!I30&gt;0, '[1]Data Sheet'!I31/'[1]Data Sheet'!I30, 0)</f>
        <v>0.34727894191369763</v>
      </c>
      <c r="J18" s="120">
        <f>IF('[1]Data Sheet'!J30&gt;0, '[1]Data Sheet'!J31/'[1]Data Sheet'!J30, 0)</f>
        <v>0.34900687576386963</v>
      </c>
      <c r="K18" s="120">
        <f>IF('[1]Data Sheet'!K30&gt;0, '[1]Data Sheet'!K31/'[1]Data Sheet'!K30, 0)</f>
        <v>0.40541225572612605</v>
      </c>
    </row>
    <row r="19" spans="1:14" x14ac:dyDescent="0.25">
      <c r="A19" s="106" t="s">
        <v>59</v>
      </c>
      <c r="B19" s="120">
        <f t="shared" ref="B19:L19" si="2">IF(B6&gt;0,B6/B4,0)</f>
        <v>0.27370874679677204</v>
      </c>
      <c r="C19" s="120">
        <f t="shared" si="2"/>
        <v>0.30914242979173534</v>
      </c>
      <c r="D19" s="120">
        <f t="shared" si="2"/>
        <v>0.31328974139315729</v>
      </c>
      <c r="E19" s="120">
        <f t="shared" si="2"/>
        <v>0.29643995239388132</v>
      </c>
      <c r="F19" s="120">
        <f t="shared" si="2"/>
        <v>0.23847390856910633</v>
      </c>
      <c r="G19" s="120">
        <f t="shared" si="2"/>
        <v>0.20449064544427684</v>
      </c>
      <c r="H19" s="120">
        <f t="shared" si="2"/>
        <v>0.21145911323065147</v>
      </c>
      <c r="I19" s="120">
        <f t="shared" si="2"/>
        <v>0.23858724929338931</v>
      </c>
      <c r="J19" s="120">
        <f t="shared" si="2"/>
        <v>0.26181831156437724</v>
      </c>
      <c r="K19" s="120">
        <f t="shared" si="2"/>
        <v>0.24970549035921427</v>
      </c>
      <c r="L19" s="120">
        <f t="shared" si="2"/>
        <v>0</v>
      </c>
    </row>
    <row r="20" spans="1:14" x14ac:dyDescent="0.25"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 spans="1:14" x14ac:dyDescent="0.25"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</row>
    <row r="22" spans="1:14" s="107" customFormat="1" x14ac:dyDescent="0.25">
      <c r="A22" s="113"/>
      <c r="B22" s="112"/>
      <c r="C22" s="112"/>
      <c r="D22" s="112"/>
      <c r="E22" s="112"/>
      <c r="F22" s="112"/>
      <c r="G22" s="112" t="s">
        <v>68</v>
      </c>
      <c r="H22" s="112" t="s">
        <v>67</v>
      </c>
      <c r="I22" s="112" t="s">
        <v>66</v>
      </c>
      <c r="J22" s="112" t="s">
        <v>65</v>
      </c>
      <c r="K22" s="112" t="s">
        <v>64</v>
      </c>
      <c r="L22" s="121" t="s">
        <v>63</v>
      </c>
      <c r="M22" s="121" t="s">
        <v>62</v>
      </c>
      <c r="N22" s="121" t="s">
        <v>61</v>
      </c>
    </row>
    <row r="23" spans="1:14" s="107" customFormat="1" x14ac:dyDescent="0.25">
      <c r="A23" s="106"/>
      <c r="B23" s="106"/>
      <c r="C23" s="106"/>
      <c r="D23" s="106"/>
      <c r="E23" s="106"/>
      <c r="F23" s="106"/>
      <c r="G23" s="106" t="s">
        <v>60</v>
      </c>
      <c r="H23" s="120">
        <f>IF(B4=0,"",POWER($K4/B4,1/9)-1)</f>
        <v>0.13218347816326093</v>
      </c>
      <c r="I23" s="120">
        <f>IF(D4=0,"",POWER($K4/D4,1/7)-1)</f>
        <v>0.11218220677231638</v>
      </c>
      <c r="J23" s="120">
        <f>IF(F4=0,"",POWER($K4/F4,1/5)-1)</f>
        <v>0.15568052490284168</v>
      </c>
      <c r="K23" s="120">
        <f>IF(H4=0,"",POWER($K4/H4, 1/3)-1)</f>
        <v>0.22370878852741982</v>
      </c>
      <c r="L23" s="120">
        <f>IF(ISERROR(MAX(IF(J4=0,"",(K4-J4)/J4),IF(K4=0,"",(L4-K4)/K4))),"",MAX(IF(J4=0,"",(K4-J4)/J4),IF(K4=0,"",(L4-K4)/K4)))</f>
        <v>0.14118293784750402</v>
      </c>
      <c r="M23" s="119">
        <f>MAX(K23:L23)</f>
        <v>0.22370878852741982</v>
      </c>
      <c r="N23" s="119">
        <f>MIN(H23:L23)</f>
        <v>0.11218220677231638</v>
      </c>
    </row>
    <row r="24" spans="1:14" x14ac:dyDescent="0.25">
      <c r="G24" s="106" t="s">
        <v>59</v>
      </c>
      <c r="H24" s="120">
        <f>IF(SUM(B4:$K$4)=0,"",SUMPRODUCT(B19:$K$19,B4:$K$4)/SUM(B4:$K$4))</f>
        <v>0.25645967397985847</v>
      </c>
      <c r="I24" s="120">
        <f>IF(SUM(E4:$K$4)=0,"",SUMPRODUCT(E19:$K$19,E4:$K$4)/SUM(E4:$K$4))</f>
        <v>0.24522607377398914</v>
      </c>
      <c r="J24" s="120">
        <f>IF(SUM(G4:$K$4)=0,"",SUMPRODUCT(G19:$K$19,G4:$K$4)/SUM(G4:$K$4))</f>
        <v>0.23883778598270364</v>
      </c>
      <c r="K24" s="120">
        <f>IF(SUM(I4:$K$4)=0, "", SUMPRODUCT(I19:$K$19,I4:$K$4)/SUM(I4:$K$4))</f>
        <v>0.25050237410255227</v>
      </c>
      <c r="L24" s="120">
        <f>L19</f>
        <v>0</v>
      </c>
      <c r="M24" s="119">
        <f>MAX(K24:L24)</f>
        <v>0.25050237410255227</v>
      </c>
      <c r="N24" s="119">
        <f>MIN(H24:L24)</f>
        <v>0</v>
      </c>
    </row>
    <row r="25" spans="1:14" x14ac:dyDescent="0.25">
      <c r="G25" s="106" t="s">
        <v>58</v>
      </c>
      <c r="H25" s="116">
        <f>IF(ISERROR(AVERAGEIF(B14:$L14,"&gt;0")),"",AVERAGEIF(B14:$L14,"&gt;0"))</f>
        <v>34.424382121210002</v>
      </c>
      <c r="I25" s="116">
        <f>IF(ISERROR(AVERAGEIF(E14:$L14,"&gt;0")),"",AVERAGEIF(E14:$L14,"&gt;0"))</f>
        <v>32.011245645015443</v>
      </c>
      <c r="J25" s="116">
        <f>IF(ISERROR(AVERAGEIF(G14:$L14,"&gt;0")),"",AVERAGEIF(G14:$L14,"&gt;0"))</f>
        <v>35.812021756189239</v>
      </c>
      <c r="K25" s="116">
        <f>IF(ISERROR(AVERAGEIF(I14:$L14,"&gt;0")),"",AVERAGEIF(I14:$L14,"&gt;0"))</f>
        <v>28.71819489242138</v>
      </c>
      <c r="L25" s="116">
        <f>L14</f>
        <v>0</v>
      </c>
      <c r="M25" s="115">
        <f>MAX(K25:L25)</f>
        <v>28.71819489242138</v>
      </c>
      <c r="N25" s="115">
        <f>MIN(H25:L25)</f>
        <v>0</v>
      </c>
    </row>
  </sheetData>
  <hyperlinks>
    <hyperlink ref="M1" r:id="rId1" xr:uid="{60F05AB5-15CF-4019-957E-18140BEAD291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47DC-D412-425F-A73B-2A69ECB16124}">
  <sheetPr>
    <pageSetUpPr fitToPage="1"/>
  </sheetPr>
  <dimension ref="A1:K24"/>
  <sheetViews>
    <sheetView zoomScale="125" workbookViewId="0">
      <pane xSplit="1" ySplit="3" topLeftCell="E4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2.85546875" style="106" bestFit="1" customWidth="1"/>
    <col min="2" max="2" width="13.42578125" style="106" customWidth="1"/>
    <col min="3" max="11" width="15.42578125" style="106" customWidth="1"/>
    <col min="12" max="16384" width="8.85546875" style="106"/>
  </cols>
  <sheetData>
    <row r="1" spans="1:11" s="107" customFormat="1" x14ac:dyDescent="0.25">
      <c r="A1" s="107">
        <f>'[1]Profit &amp; Loss'!A1</f>
        <v>0</v>
      </c>
      <c r="E1" s="106">
        <f>UPDATE</f>
        <v>0</v>
      </c>
      <c r="G1" s="106"/>
      <c r="J1" s="107" t="s">
        <v>85</v>
      </c>
    </row>
    <row r="2" spans="1:11" x14ac:dyDescent="0.25">
      <c r="G2" s="107"/>
      <c r="H2" s="107"/>
    </row>
    <row r="3" spans="1:11" x14ac:dyDescent="0.25">
      <c r="A3" s="113" t="s">
        <v>84</v>
      </c>
      <c r="B3" s="112">
        <f>'[1]Data Sheet'!B56</f>
        <v>42460</v>
      </c>
      <c r="C3" s="112">
        <f>'[1]Data Sheet'!C56</f>
        <v>42825</v>
      </c>
      <c r="D3" s="112">
        <f>'[1]Data Sheet'!D56</f>
        <v>43190</v>
      </c>
      <c r="E3" s="112">
        <f>'[1]Data Sheet'!E56</f>
        <v>43555</v>
      </c>
      <c r="F3" s="112">
        <f>'[1]Data Sheet'!F56</f>
        <v>43921</v>
      </c>
      <c r="G3" s="112">
        <f>'[1]Data Sheet'!G56</f>
        <v>44286</v>
      </c>
      <c r="H3" s="112">
        <f>'[1]Data Sheet'!H56</f>
        <v>44651</v>
      </c>
      <c r="I3" s="112">
        <f>'[1]Data Sheet'!I56</f>
        <v>45016</v>
      </c>
      <c r="J3" s="112">
        <f>'[1]Data Sheet'!J56</f>
        <v>45382</v>
      </c>
      <c r="K3" s="112">
        <f>'[1]Data Sheet'!K56</f>
        <v>45747</v>
      </c>
    </row>
    <row r="4" spans="1:11" x14ac:dyDescent="0.25">
      <c r="A4" s="106" t="s">
        <v>101</v>
      </c>
      <c r="B4" s="110">
        <f>'[1]Data Sheet'!B57</f>
        <v>27.16</v>
      </c>
      <c r="C4" s="110">
        <f>'[1]Data Sheet'!C57</f>
        <v>27.21</v>
      </c>
      <c r="D4" s="110">
        <f>'[1]Data Sheet'!D57</f>
        <v>27.26</v>
      </c>
      <c r="E4" s="110">
        <f>'[1]Data Sheet'!E57</f>
        <v>27.28</v>
      </c>
      <c r="F4" s="110">
        <f>'[1]Data Sheet'!F57</f>
        <v>27.3</v>
      </c>
      <c r="G4" s="110">
        <f>'[1]Data Sheet'!G57</f>
        <v>27.33</v>
      </c>
      <c r="H4" s="110">
        <f>'[1]Data Sheet'!H57</f>
        <v>27.34</v>
      </c>
      <c r="I4" s="110">
        <f>'[1]Data Sheet'!I57</f>
        <v>27.35</v>
      </c>
      <c r="J4" s="110">
        <f>'[1]Data Sheet'!J57</f>
        <v>27.38</v>
      </c>
      <c r="K4" s="110">
        <f>'[1]Data Sheet'!K57</f>
        <v>27.42</v>
      </c>
    </row>
    <row r="5" spans="1:11" x14ac:dyDescent="0.25">
      <c r="A5" s="106" t="s">
        <v>100</v>
      </c>
      <c r="B5" s="110">
        <f>'[1]Data Sheet'!B58</f>
        <v>3625.93</v>
      </c>
      <c r="C5" s="110">
        <f>'[1]Data Sheet'!C58</f>
        <v>5317.86</v>
      </c>
      <c r="D5" s="110">
        <f>'[1]Data Sheet'!D58</f>
        <v>7002.81</v>
      </c>
      <c r="E5" s="110">
        <f>'[1]Data Sheet'!E58</f>
        <v>8891.44</v>
      </c>
      <c r="F5" s="110">
        <f>'[1]Data Sheet'!F58</f>
        <v>9953.6299999999992</v>
      </c>
      <c r="G5" s="110">
        <f>'[1]Data Sheet'!G58</f>
        <v>11410.75</v>
      </c>
      <c r="H5" s="110">
        <f>'[1]Data Sheet'!H58</f>
        <v>12580.66</v>
      </c>
      <c r="I5" s="110">
        <f>'[1]Data Sheet'!I58</f>
        <v>14962.93</v>
      </c>
      <c r="J5" s="110">
        <f>'[1]Data Sheet'!J58</f>
        <v>18018.150000000001</v>
      </c>
      <c r="K5" s="110">
        <f>'[1]Data Sheet'!K58</f>
        <v>21269.07</v>
      </c>
    </row>
    <row r="6" spans="1:11" x14ac:dyDescent="0.25">
      <c r="A6" s="106" t="s">
        <v>99</v>
      </c>
      <c r="B6" s="110">
        <f>'[1]Data Sheet'!B59</f>
        <v>22.57</v>
      </c>
      <c r="C6" s="110">
        <f>'[1]Data Sheet'!C59</f>
        <v>111.85</v>
      </c>
      <c r="D6" s="110">
        <f>'[1]Data Sheet'!D59</f>
        <v>150.84</v>
      </c>
      <c r="E6" s="110">
        <f>'[1]Data Sheet'!E59</f>
        <v>186.76</v>
      </c>
      <c r="F6" s="110">
        <f>'[1]Data Sheet'!F59</f>
        <v>249</v>
      </c>
      <c r="G6" s="110">
        <f>'[1]Data Sheet'!G59</f>
        <v>219.25</v>
      </c>
      <c r="H6" s="110">
        <f>'[1]Data Sheet'!H59</f>
        <v>107.71</v>
      </c>
      <c r="I6" s="110">
        <f>'[1]Data Sheet'!I59</f>
        <v>288.41000000000003</v>
      </c>
      <c r="J6" s="110">
        <f>'[1]Data Sheet'!J59</f>
        <v>419.44</v>
      </c>
      <c r="K6" s="110">
        <f>'[1]Data Sheet'!K59</f>
        <v>458.13</v>
      </c>
    </row>
    <row r="7" spans="1:11" x14ac:dyDescent="0.25">
      <c r="A7" s="106" t="s">
        <v>98</v>
      </c>
      <c r="B7" s="110">
        <f>'[1]Data Sheet'!B60</f>
        <v>1263.3499999999999</v>
      </c>
      <c r="C7" s="110">
        <f>'[1]Data Sheet'!C60</f>
        <v>1552.16</v>
      </c>
      <c r="D7" s="110">
        <f>'[1]Data Sheet'!D60</f>
        <v>2341.3200000000002</v>
      </c>
      <c r="E7" s="110">
        <f>'[1]Data Sheet'!E60</f>
        <v>2281.35</v>
      </c>
      <c r="F7" s="110">
        <f>'[1]Data Sheet'!F60</f>
        <v>2219.79</v>
      </c>
      <c r="G7" s="110">
        <f>'[1]Data Sheet'!G60</f>
        <v>2901.28</v>
      </c>
      <c r="H7" s="110">
        <f>'[1]Data Sheet'!H60</f>
        <v>3424.12</v>
      </c>
      <c r="I7" s="110">
        <f>'[1]Data Sheet'!I60</f>
        <v>3918.95</v>
      </c>
      <c r="J7" s="110">
        <f>'[1]Data Sheet'!J60</f>
        <v>4650.16</v>
      </c>
      <c r="K7" s="110">
        <f>'[1]Data Sheet'!K60</f>
        <v>5419.79</v>
      </c>
    </row>
    <row r="8" spans="1:11" s="107" customFormat="1" x14ac:dyDescent="0.25">
      <c r="A8" s="107" t="s">
        <v>93</v>
      </c>
      <c r="B8" s="111">
        <f>'[1]Data Sheet'!B61</f>
        <v>4939.01</v>
      </c>
      <c r="C8" s="111">
        <f>'[1]Data Sheet'!C61</f>
        <v>7009.08</v>
      </c>
      <c r="D8" s="111">
        <f>'[1]Data Sheet'!D61</f>
        <v>9522.23</v>
      </c>
      <c r="E8" s="111">
        <f>'[1]Data Sheet'!E61</f>
        <v>11386.83</v>
      </c>
      <c r="F8" s="111">
        <f>'[1]Data Sheet'!F61</f>
        <v>12449.72</v>
      </c>
      <c r="G8" s="111">
        <f>'[1]Data Sheet'!G61</f>
        <v>14558.61</v>
      </c>
      <c r="H8" s="111">
        <f>'[1]Data Sheet'!H61</f>
        <v>16139.83</v>
      </c>
      <c r="I8" s="111">
        <f>'[1]Data Sheet'!I61</f>
        <v>19197.64</v>
      </c>
      <c r="J8" s="111">
        <f>'[1]Data Sheet'!J61</f>
        <v>23115.13</v>
      </c>
      <c r="K8" s="111">
        <f>'[1]Data Sheet'!K61</f>
        <v>27174.41</v>
      </c>
    </row>
    <row r="9" spans="1:11" s="107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s="106" t="s">
        <v>97</v>
      </c>
      <c r="B10" s="110">
        <f>'[1]Data Sheet'!B62</f>
        <v>789.59</v>
      </c>
      <c r="C10" s="110">
        <f>'[1]Data Sheet'!C62</f>
        <v>872.78</v>
      </c>
      <c r="D10" s="110">
        <f>'[1]Data Sheet'!D62</f>
        <v>1501.69</v>
      </c>
      <c r="E10" s="110">
        <f>'[1]Data Sheet'!E62</f>
        <v>1874.58</v>
      </c>
      <c r="F10" s="110">
        <f>'[1]Data Sheet'!F62</f>
        <v>2377.52</v>
      </c>
      <c r="G10" s="110">
        <f>'[1]Data Sheet'!G62</f>
        <v>2433.3000000000002</v>
      </c>
      <c r="H10" s="110">
        <f>'[1]Data Sheet'!H62</f>
        <v>2424.2800000000002</v>
      </c>
      <c r="I10" s="110">
        <f>'[1]Data Sheet'!I62</f>
        <v>2689.99</v>
      </c>
      <c r="J10" s="110">
        <f>'[1]Data Sheet'!J62</f>
        <v>2914.38</v>
      </c>
      <c r="K10" s="110">
        <f>'[1]Data Sheet'!K62</f>
        <v>3854.64</v>
      </c>
    </row>
    <row r="11" spans="1:11" x14ac:dyDescent="0.25">
      <c r="A11" s="106" t="s">
        <v>96</v>
      </c>
      <c r="B11" s="110">
        <f>'[1]Data Sheet'!B63</f>
        <v>94.48</v>
      </c>
      <c r="C11" s="110">
        <f>'[1]Data Sheet'!C63</f>
        <v>373.77</v>
      </c>
      <c r="D11" s="110">
        <f>'[1]Data Sheet'!D63</f>
        <v>333.21</v>
      </c>
      <c r="E11" s="110">
        <f>'[1]Data Sheet'!E63</f>
        <v>449.74</v>
      </c>
      <c r="F11" s="110">
        <f>'[1]Data Sheet'!F63</f>
        <v>312.17</v>
      </c>
      <c r="G11" s="110">
        <f>'[1]Data Sheet'!G63</f>
        <v>314.29000000000002</v>
      </c>
      <c r="H11" s="110">
        <f>'[1]Data Sheet'!H63</f>
        <v>504.78</v>
      </c>
      <c r="I11" s="110">
        <f>'[1]Data Sheet'!I63</f>
        <v>472.07</v>
      </c>
      <c r="J11" s="110">
        <f>'[1]Data Sheet'!J63</f>
        <v>555.1</v>
      </c>
      <c r="K11" s="110">
        <f>'[1]Data Sheet'!K63</f>
        <v>110.3</v>
      </c>
    </row>
    <row r="12" spans="1:11" x14ac:dyDescent="0.25">
      <c r="A12" s="106" t="s">
        <v>95</v>
      </c>
      <c r="B12" s="110">
        <f>'[1]Data Sheet'!B64</f>
        <v>3388.24</v>
      </c>
      <c r="C12" s="110">
        <f>'[1]Data Sheet'!C64</f>
        <v>4987.13</v>
      </c>
      <c r="D12" s="110">
        <f>'[1]Data Sheet'!D64</f>
        <v>5580.84</v>
      </c>
      <c r="E12" s="110">
        <f>'[1]Data Sheet'!E64</f>
        <v>4922.5200000000004</v>
      </c>
      <c r="F12" s="110">
        <f>'[1]Data Sheet'!F64</f>
        <v>5748.77</v>
      </c>
      <c r="G12" s="110">
        <f>'[1]Data Sheet'!G64</f>
        <v>3902.14</v>
      </c>
      <c r="H12" s="110">
        <f>'[1]Data Sheet'!H64</f>
        <v>7720.58</v>
      </c>
      <c r="I12" s="110">
        <f>'[1]Data Sheet'!I64</f>
        <v>12320.66</v>
      </c>
      <c r="J12" s="110">
        <f>'[1]Data Sheet'!J64</f>
        <v>13526.96</v>
      </c>
      <c r="K12" s="110">
        <f>'[1]Data Sheet'!K64</f>
        <v>14790.9</v>
      </c>
    </row>
    <row r="13" spans="1:11" x14ac:dyDescent="0.25">
      <c r="A13" s="106" t="s">
        <v>94</v>
      </c>
      <c r="B13" s="110">
        <f>'[1]Data Sheet'!B65</f>
        <v>666.7</v>
      </c>
      <c r="C13" s="110">
        <f>'[1]Data Sheet'!C65</f>
        <v>775.4</v>
      </c>
      <c r="D13" s="110">
        <f>'[1]Data Sheet'!D65</f>
        <v>2106.4899999999998</v>
      </c>
      <c r="E13" s="110">
        <f>'[1]Data Sheet'!E65</f>
        <v>4139.99</v>
      </c>
      <c r="F13" s="110">
        <f>'[1]Data Sheet'!F65</f>
        <v>4011.26</v>
      </c>
      <c r="G13" s="110">
        <f>'[1]Data Sheet'!G65</f>
        <v>7908.88</v>
      </c>
      <c r="H13" s="110">
        <f>'[1]Data Sheet'!H65</f>
        <v>5490.19</v>
      </c>
      <c r="I13" s="110">
        <f>'[1]Data Sheet'!I65</f>
        <v>3714.92</v>
      </c>
      <c r="J13" s="110">
        <f>'[1]Data Sheet'!J65</f>
        <v>6118.69</v>
      </c>
      <c r="K13" s="110">
        <f>'[1]Data Sheet'!K65</f>
        <v>8418.57</v>
      </c>
    </row>
    <row r="14" spans="1:11" s="107" customFormat="1" x14ac:dyDescent="0.25">
      <c r="A14" s="107" t="s">
        <v>93</v>
      </c>
      <c r="B14" s="110">
        <f>'[1]Data Sheet'!B66</f>
        <v>4939.01</v>
      </c>
      <c r="C14" s="110">
        <f>'[1]Data Sheet'!C66</f>
        <v>7009.08</v>
      </c>
      <c r="D14" s="110">
        <f>'[1]Data Sheet'!D66</f>
        <v>9522.23</v>
      </c>
      <c r="E14" s="110">
        <f>'[1]Data Sheet'!E66</f>
        <v>11386.83</v>
      </c>
      <c r="F14" s="110">
        <f>'[1]Data Sheet'!F66</f>
        <v>12449.72</v>
      </c>
      <c r="G14" s="110">
        <f>'[1]Data Sheet'!G66</f>
        <v>14558.61</v>
      </c>
      <c r="H14" s="110">
        <f>'[1]Data Sheet'!H66</f>
        <v>16139.83</v>
      </c>
      <c r="I14" s="110">
        <f>'[1]Data Sheet'!I66</f>
        <v>19197.64</v>
      </c>
      <c r="J14" s="110">
        <f>'[1]Data Sheet'!J66</f>
        <v>23115.13</v>
      </c>
      <c r="K14" s="110">
        <f>'[1]Data Sheet'!K66</f>
        <v>27174.41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s="106" t="s">
        <v>92</v>
      </c>
      <c r="B16" s="109">
        <f t="shared" ref="B16:K16" si="0">B13-B7</f>
        <v>-596.64999999999986</v>
      </c>
      <c r="C16" s="109">
        <f t="shared" si="0"/>
        <v>-776.7600000000001</v>
      </c>
      <c r="D16" s="109">
        <f t="shared" si="0"/>
        <v>-234.83000000000038</v>
      </c>
      <c r="E16" s="109">
        <f t="shared" si="0"/>
        <v>1858.6399999999999</v>
      </c>
      <c r="F16" s="109">
        <f t="shared" si="0"/>
        <v>1791.4700000000003</v>
      </c>
      <c r="G16" s="109">
        <f t="shared" si="0"/>
        <v>5007.6000000000004</v>
      </c>
      <c r="H16" s="109">
        <f t="shared" si="0"/>
        <v>2066.0699999999997</v>
      </c>
      <c r="I16" s="109">
        <f t="shared" si="0"/>
        <v>-204.02999999999975</v>
      </c>
      <c r="J16" s="109">
        <f t="shared" si="0"/>
        <v>1468.5299999999997</v>
      </c>
      <c r="K16" s="109">
        <f t="shared" si="0"/>
        <v>2998.7799999999997</v>
      </c>
    </row>
    <row r="17" spans="1:11" x14ac:dyDescent="0.25">
      <c r="A17" s="106" t="s">
        <v>91</v>
      </c>
      <c r="B17" s="109">
        <f>'[1]Data Sheet'!B67</f>
        <v>32.64</v>
      </c>
      <c r="C17" s="109">
        <f>'[1]Data Sheet'!C67</f>
        <v>50.04</v>
      </c>
      <c r="D17" s="109">
        <f>'[1]Data Sheet'!D67</f>
        <v>68</v>
      </c>
      <c r="E17" s="109">
        <f>'[1]Data Sheet'!E67</f>
        <v>84.29</v>
      </c>
      <c r="F17" s="109">
        <f>'[1]Data Sheet'!F67</f>
        <v>86.76</v>
      </c>
      <c r="G17" s="109">
        <f>'[1]Data Sheet'!G67</f>
        <v>158.16</v>
      </c>
      <c r="H17" s="109">
        <f>'[1]Data Sheet'!H67</f>
        <v>302.04000000000002</v>
      </c>
      <c r="I17" s="109">
        <f>'[1]Data Sheet'!I67</f>
        <v>368.92</v>
      </c>
      <c r="J17" s="109">
        <f>'[1]Data Sheet'!J67</f>
        <v>373.78</v>
      </c>
      <c r="K17" s="109">
        <f>'[1]Data Sheet'!K67</f>
        <v>549.64</v>
      </c>
    </row>
    <row r="18" spans="1:11" x14ac:dyDescent="0.25">
      <c r="A18" s="106" t="s">
        <v>90</v>
      </c>
      <c r="B18" s="109">
        <f>'[1]Data Sheet'!B68</f>
        <v>308.39</v>
      </c>
      <c r="C18" s="109">
        <f>'[1]Data Sheet'!C68</f>
        <v>335.9</v>
      </c>
      <c r="D18" s="109">
        <f>'[1]Data Sheet'!D68</f>
        <v>394.64</v>
      </c>
      <c r="E18" s="109">
        <f>'[1]Data Sheet'!E68</f>
        <v>633.38</v>
      </c>
      <c r="F18" s="109">
        <f>'[1]Data Sheet'!F68</f>
        <v>572.35</v>
      </c>
      <c r="G18" s="109">
        <f>'[1]Data Sheet'!G68</f>
        <v>874.6</v>
      </c>
      <c r="H18" s="109">
        <f>'[1]Data Sheet'!H68</f>
        <v>1132.4000000000001</v>
      </c>
      <c r="I18" s="109">
        <f>'[1]Data Sheet'!I68</f>
        <v>1278.44</v>
      </c>
      <c r="J18" s="109">
        <f>'[1]Data Sheet'!J68</f>
        <v>1409.64</v>
      </c>
      <c r="K18" s="109">
        <f>'[1]Data Sheet'!K68</f>
        <v>1563.75</v>
      </c>
    </row>
    <row r="20" spans="1:11" x14ac:dyDescent="0.25">
      <c r="A20" s="106" t="s">
        <v>89</v>
      </c>
      <c r="B20" s="109">
        <f>IF('[1]Profit &amp; Loss'!B4&gt;0,' Eicher Motors (BS)'!B17/('[1]Profit &amp; Loss'!B4/365),0)</f>
        <v>0</v>
      </c>
      <c r="C20" s="109">
        <f>IF('[1]Profit &amp; Loss'!C4&gt;0,' Eicher Motors (BS)'!C17/('[1]Profit &amp; Loss'!C4/365),0)</f>
        <v>0</v>
      </c>
      <c r="D20" s="109">
        <f>IF('[1]Profit &amp; Loss'!D4&gt;0,' Eicher Motors (BS)'!D17/('[1]Profit &amp; Loss'!D4/365),0)</f>
        <v>0</v>
      </c>
      <c r="E20" s="109">
        <f>IF('[1]Profit &amp; Loss'!E4&gt;0,' Eicher Motors (BS)'!E17/('[1]Profit &amp; Loss'!E4/365),0)</f>
        <v>0</v>
      </c>
      <c r="F20" s="109">
        <f>IF('[1]Profit &amp; Loss'!F4&gt;0,' Eicher Motors (BS)'!F17/('[1]Profit &amp; Loss'!F4/365),0)</f>
        <v>0</v>
      </c>
      <c r="G20" s="109">
        <f>IF('[1]Profit &amp; Loss'!G4&gt;0,' Eicher Motors (BS)'!G17/('[1]Profit &amp; Loss'!G4/365),0)</f>
        <v>0</v>
      </c>
      <c r="H20" s="109">
        <f>IF('[1]Profit &amp; Loss'!H4&gt;0,' Eicher Motors (BS)'!H17/('[1]Profit &amp; Loss'!H4/365),0)</f>
        <v>0</v>
      </c>
      <c r="I20" s="109">
        <f>IF('[1]Profit &amp; Loss'!I4&gt;0,' Eicher Motors (BS)'!I17/('[1]Profit &amp; Loss'!I4/365),0)</f>
        <v>0</v>
      </c>
      <c r="J20" s="109">
        <f>IF('[1]Profit &amp; Loss'!J4&gt;0,' Eicher Motors (BS)'!J17/('[1]Profit &amp; Loss'!J4/365),0)</f>
        <v>0</v>
      </c>
      <c r="K20" s="109">
        <f>IF('[1]Profit &amp; Loss'!K4&gt;0,' Eicher Motors (BS)'!K17/('[1]Profit &amp; Loss'!K4/365),0)</f>
        <v>0</v>
      </c>
    </row>
    <row r="21" spans="1:11" x14ac:dyDescent="0.25">
      <c r="A21" s="106" t="s">
        <v>88</v>
      </c>
      <c r="B21" s="109">
        <f>IF(' Eicher Motors (BS)'!B18&gt;0,'[1]Profit &amp; Loss'!B4/' Eicher Motors (BS)'!B18,0)</f>
        <v>0</v>
      </c>
      <c r="C21" s="109">
        <f>IF(' Eicher Motors (BS)'!C18&gt;0,'[1]Profit &amp; Loss'!C4/' Eicher Motors (BS)'!C18,0)</f>
        <v>0</v>
      </c>
      <c r="D21" s="109">
        <f>IF(' Eicher Motors (BS)'!D18&gt;0,'[1]Profit &amp; Loss'!D4/' Eicher Motors (BS)'!D18,0)</f>
        <v>0</v>
      </c>
      <c r="E21" s="109">
        <f>IF(' Eicher Motors (BS)'!E18&gt;0,'[1]Profit &amp; Loss'!E4/' Eicher Motors (BS)'!E18,0)</f>
        <v>0</v>
      </c>
      <c r="F21" s="109">
        <f>IF(' Eicher Motors (BS)'!F18&gt;0,'[1]Profit &amp; Loss'!F4/' Eicher Motors (BS)'!F18,0)</f>
        <v>0</v>
      </c>
      <c r="G21" s="109">
        <f>IF(' Eicher Motors (BS)'!G18&gt;0,'[1]Profit &amp; Loss'!G4/' Eicher Motors (BS)'!G18,0)</f>
        <v>0</v>
      </c>
      <c r="H21" s="109">
        <f>IF(' Eicher Motors (BS)'!H18&gt;0,'[1]Profit &amp; Loss'!H4/' Eicher Motors (BS)'!H18,0)</f>
        <v>0</v>
      </c>
      <c r="I21" s="109">
        <f>IF(' Eicher Motors (BS)'!I18&gt;0,'[1]Profit &amp; Loss'!I4/' Eicher Motors (BS)'!I18,0)</f>
        <v>0</v>
      </c>
      <c r="J21" s="109">
        <f>IF(' Eicher Motors (BS)'!J18&gt;0,'[1]Profit &amp; Loss'!J4/' Eicher Motors (BS)'!J18,0)</f>
        <v>0</v>
      </c>
      <c r="K21" s="109">
        <f>IF(' Eicher Motors (BS)'!K18&gt;0,'[1]Profit &amp; Loss'!K4/' Eicher Motors (BS)'!K18,0)</f>
        <v>0</v>
      </c>
    </row>
    <row r="23" spans="1:11" s="107" customFormat="1" x14ac:dyDescent="0.25">
      <c r="A23" s="107" t="s">
        <v>87</v>
      </c>
      <c r="B23" s="108">
        <f>IF(SUM(' Eicher Motors (BS)'!B4:B5)&gt;0,'[1]Profit &amp; Loss'!B12/SUM(' Eicher Motors (BS)'!B4:B5),"")</f>
        <v>0</v>
      </c>
      <c r="C23" s="108">
        <f>IF(SUM(' Eicher Motors (BS)'!C4:C5)&gt;0,'[1]Profit &amp; Loss'!C12/SUM(' Eicher Motors (BS)'!C4:C5),"")</f>
        <v>0</v>
      </c>
      <c r="D23" s="108">
        <f>IF(SUM(' Eicher Motors (BS)'!D4:D5)&gt;0,'[1]Profit &amp; Loss'!D12/SUM(' Eicher Motors (BS)'!D4:D5),"")</f>
        <v>0</v>
      </c>
      <c r="E23" s="108">
        <f>IF(SUM(' Eicher Motors (BS)'!E4:E5)&gt;0,'[1]Profit &amp; Loss'!E12/SUM(' Eicher Motors (BS)'!E4:E5),"")</f>
        <v>0</v>
      </c>
      <c r="F23" s="108">
        <f>IF(SUM(' Eicher Motors (BS)'!F4:F5)&gt;0,'[1]Profit &amp; Loss'!F12/SUM(' Eicher Motors (BS)'!F4:F5),"")</f>
        <v>0</v>
      </c>
      <c r="G23" s="108">
        <f>IF(SUM(' Eicher Motors (BS)'!G4:G5)&gt;0,'[1]Profit &amp; Loss'!G12/SUM(' Eicher Motors (BS)'!G4:G5),"")</f>
        <v>0</v>
      </c>
      <c r="H23" s="108">
        <f>IF(SUM(' Eicher Motors (BS)'!H4:H5)&gt;0,'[1]Profit &amp; Loss'!H12/SUM(' Eicher Motors (BS)'!H4:H5),"")</f>
        <v>0</v>
      </c>
      <c r="I23" s="108">
        <f>IF(SUM(' Eicher Motors (BS)'!I4:I5)&gt;0,'[1]Profit &amp; Loss'!I12/SUM(' Eicher Motors (BS)'!I4:I5),"")</f>
        <v>0</v>
      </c>
      <c r="J23" s="108">
        <f>IF(SUM(' Eicher Motors (BS)'!J4:J5)&gt;0,'[1]Profit &amp; Loss'!J12/SUM(' Eicher Motors (BS)'!J4:J5),"")</f>
        <v>0</v>
      </c>
      <c r="K23" s="108">
        <f>IF(SUM(' Eicher Motors (BS)'!K4:K5)&gt;0,'[1]Profit &amp; Loss'!K12/SUM(' Eicher Motors (BS)'!K4:K5),"")</f>
        <v>0</v>
      </c>
    </row>
    <row r="24" spans="1:11" s="107" customFormat="1" x14ac:dyDescent="0.25">
      <c r="A24" s="107" t="s">
        <v>86</v>
      </c>
      <c r="B24" s="108"/>
      <c r="C24" s="108">
        <f>IF((B4+B5+B6+C4+C5+C6)&gt;0,('[1]Profit &amp; Loss'!C10+'[1]Profit &amp; Loss'!C9)*2/(B4+B5+B6+C4+C5+C6),"")</f>
        <v>0</v>
      </c>
      <c r="D24" s="108">
        <f>IF((C4+C5+C6+D4+D5+D6)&gt;0,('[1]Profit &amp; Loss'!D10+'[1]Profit &amp; Loss'!D9)*2/(C4+C5+C6+D4+D5+D6),"")</f>
        <v>0</v>
      </c>
      <c r="E24" s="108">
        <f>IF((D4+D5+D6+E4+E5+E6)&gt;0,('[1]Profit &amp; Loss'!E10+'[1]Profit &amp; Loss'!E9)*2/(D4+D5+D6+E4+E5+E6),"")</f>
        <v>0</v>
      </c>
      <c r="F24" s="108">
        <f>IF((E4+E5+E6+F4+F5+F6)&gt;0,('[1]Profit &amp; Loss'!F10+'[1]Profit &amp; Loss'!F9)*2/(E4+E5+E6+F4+F5+F6),"")</f>
        <v>0</v>
      </c>
      <c r="G24" s="108">
        <f>IF((F4+F5+F6+G4+G5+G6)&gt;0,('[1]Profit &amp; Loss'!G10+'[1]Profit &amp; Loss'!G9)*2/(F4+F5+F6+G4+G5+G6),"")</f>
        <v>0</v>
      </c>
      <c r="H24" s="108">
        <f>IF((G4+G5+G6+H4+H5+H6)&gt;0,('[1]Profit &amp; Loss'!H10+'[1]Profit &amp; Loss'!H9)*2/(G4+G5+G6+H4+H5+H6),"")</f>
        <v>0</v>
      </c>
      <c r="I24" s="108">
        <f>IF((H4+H5+H6+I4+I5+I6)&gt;0,('[1]Profit &amp; Loss'!I10+'[1]Profit &amp; Loss'!I9)*2/(H4+H5+H6+I4+I5+I6),"")</f>
        <v>0</v>
      </c>
      <c r="J24" s="108">
        <f>IF((I4+I5+I6+J4+J5+J6)&gt;0,('[1]Profit &amp; Loss'!J10+'[1]Profit &amp; Loss'!J9)*2/(I4+I5+I6+J4+J5+J6),"")</f>
        <v>0</v>
      </c>
      <c r="K24" s="108">
        <f>IF((J4+J5+J6+K4+K5+K6)&gt;0,('[1]Profit &amp; Loss'!K10+'[1]Profit &amp; Loss'!K9)*2/(J4+J5+J6+K4+K5+K6),"")</f>
        <v>0</v>
      </c>
    </row>
  </sheetData>
  <hyperlinks>
    <hyperlink ref="J1" r:id="rId1" xr:uid="{68541B50-288A-486A-BFD2-2AFBAAA2130B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9208-A64B-4B4A-BD1D-C0A8C76500F1}">
  <dimension ref="A1:K93"/>
  <sheetViews>
    <sheetView zoomScale="120" zoomScaleNormal="120" zoomScalePageLayoutView="120" workbookViewId="0">
      <pane xSplit="1" ySplit="1" topLeftCell="B2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140</v>
      </c>
      <c r="E1" s="210" t="str">
        <f>IF(B2&lt;&gt;B3, "A NEW VERSION OF THE WORKSHEET IS AVAILABLE", "")</f>
        <v/>
      </c>
      <c r="F1" s="210"/>
      <c r="G1" s="210"/>
      <c r="H1" s="210"/>
      <c r="I1" s="210"/>
      <c r="J1" s="210"/>
      <c r="K1" s="210"/>
    </row>
    <row r="2" spans="1:11" x14ac:dyDescent="0.25">
      <c r="A2" s="115" t="s">
        <v>134</v>
      </c>
      <c r="B2" s="109">
        <v>2.1</v>
      </c>
      <c r="E2" s="211" t="s">
        <v>133</v>
      </c>
      <c r="F2" s="211"/>
      <c r="G2" s="211"/>
      <c r="H2" s="211"/>
      <c r="I2" s="211"/>
      <c r="J2" s="211"/>
      <c r="K2" s="211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27.425224381625441</v>
      </c>
    </row>
    <row r="7" spans="1:11" x14ac:dyDescent="0.25">
      <c r="A7" s="109" t="s">
        <v>129</v>
      </c>
      <c r="B7" s="106">
        <v>1</v>
      </c>
    </row>
    <row r="8" spans="1:11" x14ac:dyDescent="0.25">
      <c r="A8" s="109" t="s">
        <v>128</v>
      </c>
      <c r="B8" s="106">
        <v>5660</v>
      </c>
    </row>
    <row r="9" spans="1:11" x14ac:dyDescent="0.25">
      <c r="A9" s="109" t="s">
        <v>127</v>
      </c>
      <c r="B9" s="106">
        <v>155226.76999999999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12">
        <v>42460</v>
      </c>
      <c r="C16" s="112">
        <v>42825</v>
      </c>
      <c r="D16" s="112">
        <v>43190</v>
      </c>
      <c r="E16" s="112">
        <v>43555</v>
      </c>
      <c r="F16" s="112">
        <v>43921</v>
      </c>
      <c r="G16" s="112">
        <v>44286</v>
      </c>
      <c r="H16" s="112">
        <v>44651</v>
      </c>
      <c r="I16" s="112">
        <v>45016</v>
      </c>
      <c r="J16" s="112">
        <v>45382</v>
      </c>
      <c r="K16" s="112">
        <v>45747</v>
      </c>
    </row>
    <row r="17" spans="1:11" s="116" customFormat="1" x14ac:dyDescent="0.25">
      <c r="A17" s="116" t="s">
        <v>80</v>
      </c>
      <c r="B17" s="106">
        <v>6173.46</v>
      </c>
      <c r="C17" s="106">
        <v>7033.36</v>
      </c>
      <c r="D17" s="106">
        <v>8964.9599999999991</v>
      </c>
      <c r="E17" s="106">
        <v>9797.06</v>
      </c>
      <c r="F17" s="106">
        <v>9153.58</v>
      </c>
      <c r="G17" s="106">
        <v>8720.35</v>
      </c>
      <c r="H17" s="106">
        <v>10297.83</v>
      </c>
      <c r="I17" s="106">
        <v>14442.18</v>
      </c>
      <c r="J17" s="106">
        <v>16535.78</v>
      </c>
      <c r="K17" s="106">
        <v>18870.349999999999</v>
      </c>
    </row>
    <row r="18" spans="1:11" s="116" customFormat="1" x14ac:dyDescent="0.25">
      <c r="A18" s="109" t="s">
        <v>125</v>
      </c>
      <c r="B18" s="106">
        <v>3497.73</v>
      </c>
      <c r="C18" s="106">
        <v>3725.72</v>
      </c>
      <c r="D18" s="106">
        <v>4679.07</v>
      </c>
      <c r="E18" s="106">
        <v>5269.64</v>
      </c>
      <c r="F18" s="106">
        <v>4914.58</v>
      </c>
      <c r="G18" s="106">
        <v>5319.85</v>
      </c>
      <c r="H18" s="106">
        <v>6107.28</v>
      </c>
      <c r="I18" s="106">
        <v>8281.0400000000009</v>
      </c>
      <c r="J18" s="106">
        <v>9187.35</v>
      </c>
      <c r="K18" s="106">
        <v>10460.59</v>
      </c>
    </row>
    <row r="19" spans="1:11" s="116" customFormat="1" x14ac:dyDescent="0.25">
      <c r="A19" s="109" t="s">
        <v>124</v>
      </c>
      <c r="B19" s="106">
        <v>62.05</v>
      </c>
      <c r="C19" s="106">
        <v>19.61</v>
      </c>
      <c r="D19" s="106">
        <v>33.869999999999997</v>
      </c>
      <c r="E19" s="106">
        <v>210.16</v>
      </c>
      <c r="F19" s="106">
        <v>-84.09</v>
      </c>
      <c r="G19" s="106">
        <v>205.9</v>
      </c>
      <c r="H19" s="106">
        <v>148.59</v>
      </c>
      <c r="I19" s="106">
        <v>63.25</v>
      </c>
      <c r="J19" s="106">
        <v>197.03</v>
      </c>
      <c r="K19" s="106">
        <v>163.51</v>
      </c>
    </row>
    <row r="20" spans="1:11" s="116" customFormat="1" x14ac:dyDescent="0.25">
      <c r="A20" s="109" t="s">
        <v>123</v>
      </c>
      <c r="B20" s="106">
        <v>46.18</v>
      </c>
      <c r="C20" s="106">
        <v>46.02</v>
      </c>
      <c r="D20" s="106">
        <v>52.41</v>
      </c>
      <c r="E20" s="106">
        <v>66.959999999999994</v>
      </c>
      <c r="F20" s="106">
        <v>62.86</v>
      </c>
      <c r="G20" s="106">
        <v>52.98</v>
      </c>
      <c r="H20" s="106">
        <v>55.78</v>
      </c>
      <c r="I20" s="106">
        <v>72.97</v>
      </c>
      <c r="J20" s="106">
        <v>80.61</v>
      </c>
    </row>
    <row r="21" spans="1:11" s="116" customFormat="1" x14ac:dyDescent="0.25">
      <c r="A21" s="109" t="s">
        <v>122</v>
      </c>
      <c r="B21" s="106">
        <v>173.76</v>
      </c>
      <c r="C21" s="106">
        <v>173.09</v>
      </c>
      <c r="D21" s="106">
        <v>210.76</v>
      </c>
      <c r="E21" s="106">
        <v>263.49</v>
      </c>
      <c r="F21" s="106">
        <v>256.58</v>
      </c>
      <c r="G21" s="106">
        <v>250.85</v>
      </c>
      <c r="H21" s="106">
        <v>332.41</v>
      </c>
      <c r="I21" s="106">
        <v>397.21</v>
      </c>
      <c r="J21" s="106">
        <v>394.36</v>
      </c>
    </row>
    <row r="22" spans="1:11" s="116" customFormat="1" x14ac:dyDescent="0.25">
      <c r="A22" s="109" t="s">
        <v>121</v>
      </c>
      <c r="B22" s="106">
        <v>350.21</v>
      </c>
      <c r="C22" s="106">
        <v>426.28</v>
      </c>
      <c r="D22" s="106">
        <v>573.67999999999995</v>
      </c>
      <c r="E22" s="106">
        <v>702.44</v>
      </c>
      <c r="F22" s="106">
        <v>795.78</v>
      </c>
      <c r="G22" s="106">
        <v>843.23</v>
      </c>
      <c r="H22" s="106">
        <v>821.02</v>
      </c>
      <c r="I22" s="106">
        <v>1001.93</v>
      </c>
      <c r="J22" s="106">
        <v>1235.69</v>
      </c>
      <c r="K22" s="106">
        <v>1391.23</v>
      </c>
    </row>
    <row r="23" spans="1:11" s="116" customFormat="1" x14ac:dyDescent="0.25">
      <c r="A23" s="109" t="s">
        <v>120</v>
      </c>
      <c r="B23" s="106">
        <v>397.4</v>
      </c>
      <c r="C23" s="106">
        <v>412.25</v>
      </c>
      <c r="D23" s="106">
        <v>565.66</v>
      </c>
      <c r="E23" s="106">
        <v>654.82000000000005</v>
      </c>
      <c r="F23" s="106">
        <v>667.16</v>
      </c>
      <c r="G23" s="106">
        <v>522.52</v>
      </c>
      <c r="H23" s="106">
        <v>815.51</v>
      </c>
      <c r="I23" s="106">
        <v>1164.58</v>
      </c>
      <c r="J23" s="106">
        <v>1384.91</v>
      </c>
    </row>
    <row r="24" spans="1:11" s="116" customFormat="1" x14ac:dyDescent="0.25">
      <c r="A24" s="109" t="s">
        <v>119</v>
      </c>
      <c r="B24" s="106">
        <v>80.5</v>
      </c>
      <c r="C24" s="106">
        <v>95.3</v>
      </c>
      <c r="D24" s="106">
        <v>108.62</v>
      </c>
      <c r="E24" s="106">
        <v>145.63</v>
      </c>
      <c r="F24" s="106">
        <v>189.64</v>
      </c>
      <c r="G24" s="106">
        <v>153.59</v>
      </c>
      <c r="H24" s="106">
        <v>136.85</v>
      </c>
      <c r="I24" s="106">
        <v>141.97999999999999</v>
      </c>
      <c r="J24" s="106">
        <v>120.52</v>
      </c>
      <c r="K24" s="106">
        <v>2470.0100000000002</v>
      </c>
    </row>
    <row r="25" spans="1:11" s="116" customFormat="1" x14ac:dyDescent="0.25">
      <c r="A25" s="116" t="s">
        <v>77</v>
      </c>
      <c r="B25" s="106">
        <v>325.91000000000003</v>
      </c>
      <c r="C25" s="106">
        <v>416.44</v>
      </c>
      <c r="D25" s="106">
        <v>535.66</v>
      </c>
      <c r="E25" s="106">
        <v>700.66</v>
      </c>
      <c r="F25" s="106">
        <v>572.41999999999996</v>
      </c>
      <c r="G25" s="106">
        <v>482.34</v>
      </c>
      <c r="H25" s="106">
        <v>495.65</v>
      </c>
      <c r="I25" s="106">
        <v>908.14</v>
      </c>
      <c r="J25" s="106">
        <v>1521.13</v>
      </c>
      <c r="K25" s="106">
        <v>2004.71</v>
      </c>
    </row>
    <row r="26" spans="1:11" s="116" customFormat="1" x14ac:dyDescent="0.25">
      <c r="A26" s="116" t="s">
        <v>76</v>
      </c>
      <c r="B26" s="106">
        <v>136.6</v>
      </c>
      <c r="C26" s="106">
        <v>153.81</v>
      </c>
      <c r="D26" s="106">
        <v>223.3</v>
      </c>
      <c r="E26" s="106">
        <v>300.27999999999997</v>
      </c>
      <c r="F26" s="106">
        <v>381.54</v>
      </c>
      <c r="G26" s="106">
        <v>450.73</v>
      </c>
      <c r="H26" s="106">
        <v>451.93</v>
      </c>
      <c r="I26" s="106">
        <v>526.21</v>
      </c>
      <c r="J26" s="106">
        <v>597.6</v>
      </c>
      <c r="K26" s="106">
        <v>729.33</v>
      </c>
    </row>
    <row r="27" spans="1:11" s="116" customFormat="1" x14ac:dyDescent="0.25">
      <c r="A27" s="116" t="s">
        <v>75</v>
      </c>
      <c r="B27" s="106">
        <v>2.12</v>
      </c>
      <c r="C27" s="106">
        <v>3.56</v>
      </c>
      <c r="D27" s="106">
        <v>5.34</v>
      </c>
      <c r="E27" s="106">
        <v>7.33</v>
      </c>
      <c r="F27" s="106">
        <v>18.88</v>
      </c>
      <c r="G27" s="106">
        <v>16.45</v>
      </c>
      <c r="H27" s="106">
        <v>18.78</v>
      </c>
      <c r="I27" s="106">
        <v>28.02</v>
      </c>
      <c r="J27" s="106">
        <v>50.88</v>
      </c>
      <c r="K27" s="106">
        <v>54.34</v>
      </c>
    </row>
    <row r="28" spans="1:11" s="116" customFormat="1" x14ac:dyDescent="0.25">
      <c r="A28" s="116" t="s">
        <v>74</v>
      </c>
      <c r="B28" s="106">
        <v>1876.92</v>
      </c>
      <c r="C28" s="106">
        <v>2433.38</v>
      </c>
      <c r="D28" s="106">
        <v>3115.65</v>
      </c>
      <c r="E28" s="106">
        <v>3297.29</v>
      </c>
      <c r="F28" s="106">
        <v>2354.89</v>
      </c>
      <c r="G28" s="106">
        <v>1798.39</v>
      </c>
      <c r="H28" s="106">
        <v>2202.5100000000002</v>
      </c>
      <c r="I28" s="106">
        <v>3799.63</v>
      </c>
      <c r="J28" s="106">
        <v>5202.0200000000004</v>
      </c>
      <c r="K28" s="106">
        <v>5933.07</v>
      </c>
    </row>
    <row r="29" spans="1:11" s="116" customFormat="1" x14ac:dyDescent="0.25">
      <c r="A29" s="116" t="s">
        <v>73</v>
      </c>
      <c r="B29" s="106">
        <v>538.88</v>
      </c>
      <c r="C29" s="106">
        <v>720.3</v>
      </c>
      <c r="D29" s="106">
        <v>935.93</v>
      </c>
      <c r="E29" s="106">
        <v>1077.04</v>
      </c>
      <c r="F29" s="106">
        <v>527.45000000000005</v>
      </c>
      <c r="G29" s="106">
        <v>451.5</v>
      </c>
      <c r="H29" s="106">
        <v>525.91</v>
      </c>
      <c r="I29" s="106">
        <v>885.69</v>
      </c>
      <c r="J29" s="106">
        <v>1201.01</v>
      </c>
      <c r="K29" s="106">
        <v>1198.6300000000001</v>
      </c>
    </row>
    <row r="30" spans="1:11" s="116" customFormat="1" x14ac:dyDescent="0.25">
      <c r="A30" s="116" t="s">
        <v>72</v>
      </c>
      <c r="B30" s="106">
        <v>1338.04</v>
      </c>
      <c r="C30" s="106">
        <v>1667.08</v>
      </c>
      <c r="D30" s="106">
        <v>1959.67</v>
      </c>
      <c r="E30" s="106">
        <v>2202.73</v>
      </c>
      <c r="F30" s="106">
        <v>1827.44</v>
      </c>
      <c r="G30" s="106">
        <v>1346.89</v>
      </c>
      <c r="H30" s="106">
        <v>1676.6</v>
      </c>
      <c r="I30" s="106">
        <v>2913.94</v>
      </c>
      <c r="J30" s="106">
        <v>4001.01</v>
      </c>
      <c r="K30" s="106">
        <v>4734.4399999999996</v>
      </c>
    </row>
    <row r="31" spans="1:11" s="116" customFormat="1" x14ac:dyDescent="0.25">
      <c r="A31" s="116" t="s">
        <v>118</v>
      </c>
      <c r="B31" s="106">
        <v>271.60000000000002</v>
      </c>
      <c r="C31" s="106">
        <v>272.10000000000002</v>
      </c>
      <c r="D31" s="106">
        <v>299.86</v>
      </c>
      <c r="E31" s="106">
        <v>341</v>
      </c>
      <c r="F31" s="106">
        <v>341.25</v>
      </c>
      <c r="G31" s="106">
        <v>464.61</v>
      </c>
      <c r="H31" s="106">
        <v>574.14</v>
      </c>
      <c r="I31" s="106">
        <v>1011.95</v>
      </c>
      <c r="J31" s="106">
        <v>1396.38</v>
      </c>
      <c r="K31" s="106">
        <v>1919.4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12">
        <v>44926</v>
      </c>
      <c r="C41" s="112">
        <v>45016</v>
      </c>
      <c r="D41" s="112">
        <v>45107</v>
      </c>
      <c r="E41" s="112">
        <v>45199</v>
      </c>
      <c r="F41" s="112">
        <v>45291</v>
      </c>
      <c r="G41" s="112">
        <v>45382</v>
      </c>
      <c r="H41" s="112">
        <v>45473</v>
      </c>
      <c r="I41" s="112">
        <v>45565</v>
      </c>
      <c r="J41" s="112">
        <v>45657</v>
      </c>
      <c r="K41" s="112">
        <v>45747</v>
      </c>
    </row>
    <row r="42" spans="1:11" s="116" customFormat="1" x14ac:dyDescent="0.25">
      <c r="A42" s="116" t="s">
        <v>80</v>
      </c>
      <c r="B42" s="106">
        <v>3721</v>
      </c>
      <c r="C42" s="106">
        <v>3804.32</v>
      </c>
      <c r="D42" s="106">
        <v>3986.37</v>
      </c>
      <c r="E42" s="106">
        <v>4114.53</v>
      </c>
      <c r="F42" s="106">
        <v>4178.84</v>
      </c>
      <c r="G42" s="106">
        <v>4256.04</v>
      </c>
      <c r="H42" s="106">
        <v>4393.05</v>
      </c>
      <c r="I42" s="106">
        <v>4263.07</v>
      </c>
      <c r="J42" s="106">
        <v>4973.12</v>
      </c>
      <c r="K42" s="106">
        <v>5241.1099999999997</v>
      </c>
    </row>
    <row r="43" spans="1:11" s="116" customFormat="1" x14ac:dyDescent="0.25">
      <c r="A43" s="116" t="s">
        <v>79</v>
      </c>
      <c r="B43" s="106">
        <v>2863.77</v>
      </c>
      <c r="C43" s="106">
        <v>2870.67</v>
      </c>
      <c r="D43" s="106">
        <v>2965.53</v>
      </c>
      <c r="E43" s="106">
        <v>3027.37</v>
      </c>
      <c r="F43" s="106">
        <v>3088.57</v>
      </c>
      <c r="G43" s="106">
        <v>3127.4</v>
      </c>
      <c r="H43" s="106">
        <v>3227.62</v>
      </c>
      <c r="I43" s="106">
        <v>3175.35</v>
      </c>
      <c r="J43" s="106">
        <v>3771.93</v>
      </c>
      <c r="K43" s="106">
        <v>3983.42</v>
      </c>
    </row>
    <row r="44" spans="1:11" s="116" customFormat="1" x14ac:dyDescent="0.25">
      <c r="A44" s="116" t="s">
        <v>77</v>
      </c>
      <c r="B44" s="106">
        <v>256.20999999999998</v>
      </c>
      <c r="C44" s="106">
        <v>378.89</v>
      </c>
      <c r="D44" s="106">
        <v>343.65</v>
      </c>
      <c r="E44" s="106">
        <v>375.4</v>
      </c>
      <c r="F44" s="106">
        <v>367.58</v>
      </c>
      <c r="G44" s="106">
        <v>436.96</v>
      </c>
      <c r="H44" s="106">
        <v>456.51</v>
      </c>
      <c r="I44" s="106">
        <v>467.53</v>
      </c>
      <c r="J44" s="106">
        <v>452.29</v>
      </c>
      <c r="K44" s="106">
        <v>628.38</v>
      </c>
    </row>
    <row r="45" spans="1:11" s="116" customFormat="1" x14ac:dyDescent="0.25">
      <c r="A45" s="116" t="s">
        <v>76</v>
      </c>
      <c r="B45" s="106">
        <v>134.84</v>
      </c>
      <c r="C45" s="106">
        <v>148.03</v>
      </c>
      <c r="D45" s="106">
        <v>142.27000000000001</v>
      </c>
      <c r="E45" s="106">
        <v>142.54</v>
      </c>
      <c r="F45" s="106">
        <v>147.54</v>
      </c>
      <c r="G45" s="106">
        <v>165.25</v>
      </c>
      <c r="H45" s="106">
        <v>168.63</v>
      </c>
      <c r="I45" s="106">
        <v>180.06</v>
      </c>
      <c r="J45" s="106">
        <v>179.27</v>
      </c>
      <c r="K45" s="106">
        <v>201.37</v>
      </c>
    </row>
    <row r="46" spans="1:11" s="116" customFormat="1" x14ac:dyDescent="0.25">
      <c r="A46" s="116" t="s">
        <v>75</v>
      </c>
      <c r="B46" s="106">
        <v>7.58</v>
      </c>
      <c r="C46" s="106">
        <v>8.16</v>
      </c>
      <c r="D46" s="106">
        <v>10.43</v>
      </c>
      <c r="E46" s="106">
        <v>12.68</v>
      </c>
      <c r="F46" s="106">
        <v>12.43</v>
      </c>
      <c r="G46" s="106">
        <v>15.34</v>
      </c>
      <c r="H46" s="106">
        <v>12.27</v>
      </c>
      <c r="I46" s="106">
        <v>13.14</v>
      </c>
      <c r="J46" s="106">
        <v>13.39</v>
      </c>
      <c r="K46" s="106">
        <v>15.54</v>
      </c>
    </row>
    <row r="47" spans="1:11" s="116" customFormat="1" x14ac:dyDescent="0.25">
      <c r="A47" s="116" t="s">
        <v>74</v>
      </c>
      <c r="B47" s="106">
        <v>971.02</v>
      </c>
      <c r="C47" s="106">
        <v>1156.3499999999999</v>
      </c>
      <c r="D47" s="106">
        <v>1211.79</v>
      </c>
      <c r="E47" s="106">
        <v>1307.3399999999999</v>
      </c>
      <c r="F47" s="106">
        <v>1297.8800000000001</v>
      </c>
      <c r="G47" s="106">
        <v>1385.01</v>
      </c>
      <c r="H47" s="106">
        <v>1441.04</v>
      </c>
      <c r="I47" s="106">
        <v>1362.05</v>
      </c>
      <c r="J47" s="106">
        <v>1460.82</v>
      </c>
      <c r="K47" s="106">
        <v>1669.16</v>
      </c>
    </row>
    <row r="48" spans="1:11" s="116" customFormat="1" x14ac:dyDescent="0.25">
      <c r="A48" s="116" t="s">
        <v>73</v>
      </c>
      <c r="B48" s="106">
        <v>230.18</v>
      </c>
      <c r="C48" s="106">
        <v>250.77</v>
      </c>
      <c r="D48" s="106">
        <v>293.45</v>
      </c>
      <c r="E48" s="106">
        <v>291.08999999999997</v>
      </c>
      <c r="F48" s="106">
        <v>301.91000000000003</v>
      </c>
      <c r="G48" s="106">
        <v>314.56</v>
      </c>
      <c r="H48" s="106">
        <v>339.58</v>
      </c>
      <c r="I48" s="106">
        <v>261.72000000000003</v>
      </c>
      <c r="J48" s="106">
        <v>290.32</v>
      </c>
      <c r="K48" s="106">
        <v>307.01</v>
      </c>
    </row>
    <row r="49" spans="1:11" s="116" customFormat="1" x14ac:dyDescent="0.25">
      <c r="A49" s="116" t="s">
        <v>72</v>
      </c>
      <c r="B49" s="106">
        <v>740.84</v>
      </c>
      <c r="C49" s="106">
        <v>905.58</v>
      </c>
      <c r="D49" s="106">
        <v>918.34</v>
      </c>
      <c r="E49" s="106">
        <v>1016.25</v>
      </c>
      <c r="F49" s="106">
        <v>995.97</v>
      </c>
      <c r="G49" s="106">
        <v>1070.45</v>
      </c>
      <c r="H49" s="106">
        <v>1101.46</v>
      </c>
      <c r="I49" s="106">
        <v>1100.33</v>
      </c>
      <c r="J49" s="106">
        <v>1170.5</v>
      </c>
      <c r="K49" s="106">
        <v>1362.15</v>
      </c>
    </row>
    <row r="50" spans="1:11" x14ac:dyDescent="0.25">
      <c r="A50" s="116" t="s">
        <v>78</v>
      </c>
      <c r="B50" s="106">
        <v>857.23</v>
      </c>
      <c r="C50" s="106">
        <v>933.65</v>
      </c>
      <c r="D50" s="106">
        <v>1020.84</v>
      </c>
      <c r="E50" s="106">
        <v>1087.1600000000001</v>
      </c>
      <c r="F50" s="106">
        <v>1090.27</v>
      </c>
      <c r="G50" s="106">
        <v>1128.6400000000001</v>
      </c>
      <c r="H50" s="106">
        <v>1165.43</v>
      </c>
      <c r="I50" s="106">
        <v>1087.72</v>
      </c>
      <c r="J50" s="106">
        <v>1201.19</v>
      </c>
      <c r="K50" s="106">
        <v>1257.69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12">
        <v>42460</v>
      </c>
      <c r="C56" s="112">
        <v>42825</v>
      </c>
      <c r="D56" s="112">
        <v>43190</v>
      </c>
      <c r="E56" s="112">
        <v>43555</v>
      </c>
      <c r="F56" s="112">
        <v>43921</v>
      </c>
      <c r="G56" s="112">
        <v>44286</v>
      </c>
      <c r="H56" s="112">
        <v>44651</v>
      </c>
      <c r="I56" s="112">
        <v>45016</v>
      </c>
      <c r="J56" s="112">
        <v>45382</v>
      </c>
      <c r="K56" s="112">
        <v>45747</v>
      </c>
    </row>
    <row r="57" spans="1:11" x14ac:dyDescent="0.25">
      <c r="A57" s="116" t="s">
        <v>101</v>
      </c>
      <c r="B57" s="106">
        <v>27.16</v>
      </c>
      <c r="C57" s="106">
        <v>27.21</v>
      </c>
      <c r="D57" s="106">
        <v>27.26</v>
      </c>
      <c r="E57" s="106">
        <v>27.28</v>
      </c>
      <c r="F57" s="106">
        <v>27.3</v>
      </c>
      <c r="G57" s="106">
        <v>27.33</v>
      </c>
      <c r="H57" s="106">
        <v>27.34</v>
      </c>
      <c r="I57" s="106">
        <v>27.35</v>
      </c>
      <c r="J57" s="106">
        <v>27.38</v>
      </c>
      <c r="K57" s="106">
        <v>27.42</v>
      </c>
    </row>
    <row r="58" spans="1:11" x14ac:dyDescent="0.25">
      <c r="A58" s="116" t="s">
        <v>100</v>
      </c>
      <c r="B58" s="106">
        <v>3625.93</v>
      </c>
      <c r="C58" s="106">
        <v>5317.86</v>
      </c>
      <c r="D58" s="106">
        <v>7002.81</v>
      </c>
      <c r="E58" s="106">
        <v>8891.44</v>
      </c>
      <c r="F58" s="106">
        <v>9953.6299999999992</v>
      </c>
      <c r="G58" s="106">
        <v>11410.75</v>
      </c>
      <c r="H58" s="106">
        <v>12580.66</v>
      </c>
      <c r="I58" s="106">
        <v>14962.93</v>
      </c>
      <c r="J58" s="106">
        <v>18018.150000000001</v>
      </c>
      <c r="K58" s="106">
        <v>21269.07</v>
      </c>
    </row>
    <row r="59" spans="1:11" x14ac:dyDescent="0.25">
      <c r="A59" s="116" t="s">
        <v>99</v>
      </c>
      <c r="B59" s="106">
        <v>22.57</v>
      </c>
      <c r="C59" s="106">
        <v>111.85</v>
      </c>
      <c r="D59" s="106">
        <v>150.84</v>
      </c>
      <c r="E59" s="106">
        <v>186.76</v>
      </c>
      <c r="F59" s="106">
        <v>249</v>
      </c>
      <c r="G59" s="106">
        <v>219.25</v>
      </c>
      <c r="H59" s="106">
        <v>107.71</v>
      </c>
      <c r="I59" s="106">
        <v>288.41000000000003</v>
      </c>
      <c r="J59" s="106">
        <v>419.44</v>
      </c>
      <c r="K59" s="106">
        <v>458.13</v>
      </c>
    </row>
    <row r="60" spans="1:11" x14ac:dyDescent="0.25">
      <c r="A60" s="116" t="s">
        <v>98</v>
      </c>
      <c r="B60" s="106">
        <v>1263.3499999999999</v>
      </c>
      <c r="C60" s="106">
        <v>1552.16</v>
      </c>
      <c r="D60" s="106">
        <v>2341.3200000000002</v>
      </c>
      <c r="E60" s="106">
        <v>2281.35</v>
      </c>
      <c r="F60" s="106">
        <v>2219.79</v>
      </c>
      <c r="G60" s="106">
        <v>2901.28</v>
      </c>
      <c r="H60" s="106">
        <v>3424.12</v>
      </c>
      <c r="I60" s="106">
        <v>3918.95</v>
      </c>
      <c r="J60" s="106">
        <v>4650.16</v>
      </c>
      <c r="K60" s="106">
        <v>5419.79</v>
      </c>
    </row>
    <row r="61" spans="1:11" s="115" customFormat="1" x14ac:dyDescent="0.25">
      <c r="A61" s="115" t="s">
        <v>93</v>
      </c>
      <c r="B61" s="106">
        <v>4939.01</v>
      </c>
      <c r="C61" s="106">
        <v>7009.08</v>
      </c>
      <c r="D61" s="106">
        <v>9522.23</v>
      </c>
      <c r="E61" s="106">
        <v>11386.83</v>
      </c>
      <c r="F61" s="106">
        <v>12449.72</v>
      </c>
      <c r="G61" s="106">
        <v>14558.61</v>
      </c>
      <c r="H61" s="106">
        <v>16139.83</v>
      </c>
      <c r="I61" s="106">
        <v>19197.64</v>
      </c>
      <c r="J61" s="106">
        <v>23115.13</v>
      </c>
      <c r="K61" s="106">
        <v>27174.41</v>
      </c>
    </row>
    <row r="62" spans="1:11" x14ac:dyDescent="0.25">
      <c r="A62" s="116" t="s">
        <v>97</v>
      </c>
      <c r="B62" s="106">
        <v>789.59</v>
      </c>
      <c r="C62" s="106">
        <v>872.78</v>
      </c>
      <c r="D62" s="106">
        <v>1501.69</v>
      </c>
      <c r="E62" s="106">
        <v>1874.58</v>
      </c>
      <c r="F62" s="106">
        <v>2377.52</v>
      </c>
      <c r="G62" s="106">
        <v>2433.3000000000002</v>
      </c>
      <c r="H62" s="106">
        <v>2424.2800000000002</v>
      </c>
      <c r="I62" s="106">
        <v>2689.99</v>
      </c>
      <c r="J62" s="106">
        <v>2914.38</v>
      </c>
      <c r="K62" s="106">
        <v>3854.64</v>
      </c>
    </row>
    <row r="63" spans="1:11" x14ac:dyDescent="0.25">
      <c r="A63" s="116" t="s">
        <v>96</v>
      </c>
      <c r="B63" s="106">
        <v>94.48</v>
      </c>
      <c r="C63" s="106">
        <v>373.77</v>
      </c>
      <c r="D63" s="106">
        <v>333.21</v>
      </c>
      <c r="E63" s="106">
        <v>449.74</v>
      </c>
      <c r="F63" s="106">
        <v>312.17</v>
      </c>
      <c r="G63" s="106">
        <v>314.29000000000002</v>
      </c>
      <c r="H63" s="106">
        <v>504.78</v>
      </c>
      <c r="I63" s="106">
        <v>472.07</v>
      </c>
      <c r="J63" s="106">
        <v>555.1</v>
      </c>
      <c r="K63" s="106">
        <v>110.3</v>
      </c>
    </row>
    <row r="64" spans="1:11" x14ac:dyDescent="0.25">
      <c r="A64" s="116" t="s">
        <v>95</v>
      </c>
      <c r="B64" s="106">
        <v>3388.24</v>
      </c>
      <c r="C64" s="106">
        <v>4987.13</v>
      </c>
      <c r="D64" s="106">
        <v>5580.84</v>
      </c>
      <c r="E64" s="106">
        <v>4922.5200000000004</v>
      </c>
      <c r="F64" s="106">
        <v>5748.77</v>
      </c>
      <c r="G64" s="106">
        <v>3902.14</v>
      </c>
      <c r="H64" s="106">
        <v>7720.58</v>
      </c>
      <c r="I64" s="106">
        <v>12320.66</v>
      </c>
      <c r="J64" s="106">
        <v>13526.96</v>
      </c>
      <c r="K64" s="106">
        <v>14790.9</v>
      </c>
    </row>
    <row r="65" spans="1:11" x14ac:dyDescent="0.25">
      <c r="A65" s="116" t="s">
        <v>94</v>
      </c>
      <c r="B65" s="106">
        <v>666.7</v>
      </c>
      <c r="C65" s="106">
        <v>775.4</v>
      </c>
      <c r="D65" s="106">
        <v>2106.4899999999998</v>
      </c>
      <c r="E65" s="106">
        <v>4139.99</v>
      </c>
      <c r="F65" s="106">
        <v>4011.26</v>
      </c>
      <c r="G65" s="106">
        <v>7908.88</v>
      </c>
      <c r="H65" s="106">
        <v>5490.19</v>
      </c>
      <c r="I65" s="106">
        <v>3714.92</v>
      </c>
      <c r="J65" s="106">
        <v>6118.69</v>
      </c>
      <c r="K65" s="106">
        <v>8418.57</v>
      </c>
    </row>
    <row r="66" spans="1:11" s="115" customFormat="1" x14ac:dyDescent="0.25">
      <c r="A66" s="115" t="s">
        <v>93</v>
      </c>
      <c r="B66" s="106">
        <v>4939.01</v>
      </c>
      <c r="C66" s="106">
        <v>7009.08</v>
      </c>
      <c r="D66" s="106">
        <v>9522.23</v>
      </c>
      <c r="E66" s="106">
        <v>11386.83</v>
      </c>
      <c r="F66" s="106">
        <v>12449.72</v>
      </c>
      <c r="G66" s="106">
        <v>14558.61</v>
      </c>
      <c r="H66" s="106">
        <v>16139.83</v>
      </c>
      <c r="I66" s="106">
        <v>19197.64</v>
      </c>
      <c r="J66" s="106">
        <v>23115.13</v>
      </c>
      <c r="K66" s="106">
        <v>27174.41</v>
      </c>
    </row>
    <row r="67" spans="1:11" s="116" customFormat="1" x14ac:dyDescent="0.25">
      <c r="A67" s="116" t="s">
        <v>115</v>
      </c>
      <c r="B67" s="106">
        <v>32.64</v>
      </c>
      <c r="C67" s="106">
        <v>50.04</v>
      </c>
      <c r="D67" s="106">
        <v>68</v>
      </c>
      <c r="E67" s="106">
        <v>84.29</v>
      </c>
      <c r="F67" s="106">
        <v>86.76</v>
      </c>
      <c r="G67" s="106">
        <v>158.16</v>
      </c>
      <c r="H67" s="106">
        <v>302.04000000000002</v>
      </c>
      <c r="I67" s="106">
        <v>368.92</v>
      </c>
      <c r="J67" s="106">
        <v>373.78</v>
      </c>
      <c r="K67" s="106">
        <v>549.64</v>
      </c>
    </row>
    <row r="68" spans="1:11" x14ac:dyDescent="0.25">
      <c r="A68" s="116" t="s">
        <v>90</v>
      </c>
      <c r="B68" s="106">
        <v>308.39</v>
      </c>
      <c r="C68" s="106">
        <v>335.9</v>
      </c>
      <c r="D68" s="106">
        <v>394.64</v>
      </c>
      <c r="E68" s="106">
        <v>633.38</v>
      </c>
      <c r="F68" s="106">
        <v>572.35</v>
      </c>
      <c r="G68" s="106">
        <v>874.6</v>
      </c>
      <c r="H68" s="106">
        <v>1132.4000000000001</v>
      </c>
      <c r="I68" s="106">
        <v>1278.44</v>
      </c>
      <c r="J68" s="106">
        <v>1409.64</v>
      </c>
      <c r="K68" s="106">
        <v>1563.75</v>
      </c>
    </row>
    <row r="69" spans="1:11" x14ac:dyDescent="0.25">
      <c r="A69" s="109" t="s">
        <v>114</v>
      </c>
      <c r="B69" s="106">
        <v>49.17</v>
      </c>
      <c r="C69" s="106">
        <v>25.06</v>
      </c>
      <c r="D69" s="106">
        <v>1212</v>
      </c>
      <c r="E69" s="106">
        <v>2965.29</v>
      </c>
      <c r="F69" s="106">
        <v>2950.59</v>
      </c>
      <c r="G69" s="106">
        <v>5830.36</v>
      </c>
      <c r="H69" s="106">
        <v>2722.47</v>
      </c>
      <c r="I69" s="106">
        <v>765.58</v>
      </c>
      <c r="J69" s="106">
        <v>146.31</v>
      </c>
      <c r="K69" s="106">
        <v>263.01</v>
      </c>
    </row>
    <row r="70" spans="1:11" x14ac:dyDescent="0.25">
      <c r="A70" s="109" t="s">
        <v>113</v>
      </c>
      <c r="B70" s="106">
        <v>27161183</v>
      </c>
      <c r="C70" s="106">
        <v>27210249</v>
      </c>
      <c r="D70" s="106">
        <v>27255549</v>
      </c>
      <c r="E70" s="106">
        <v>27282570</v>
      </c>
      <c r="F70" s="106">
        <v>27304570</v>
      </c>
      <c r="G70" s="106">
        <v>273335922</v>
      </c>
      <c r="H70" s="106">
        <v>273423102</v>
      </c>
      <c r="I70" s="106">
        <v>273481570</v>
      </c>
      <c r="J70" s="106">
        <v>273805630</v>
      </c>
    </row>
    <row r="71" spans="1:11" x14ac:dyDescent="0.25">
      <c r="A71" s="109" t="s">
        <v>112</v>
      </c>
    </row>
    <row r="72" spans="1:11" x14ac:dyDescent="0.25">
      <c r="A72" s="109" t="s">
        <v>111</v>
      </c>
      <c r="B72" s="106">
        <v>10</v>
      </c>
      <c r="C72" s="106">
        <v>10</v>
      </c>
      <c r="D72" s="106">
        <v>10</v>
      </c>
      <c r="E72" s="106">
        <v>10</v>
      </c>
      <c r="F72" s="106">
        <v>10</v>
      </c>
      <c r="G72" s="106">
        <v>1</v>
      </c>
      <c r="H72" s="106">
        <v>1</v>
      </c>
      <c r="I72" s="106">
        <v>1</v>
      </c>
      <c r="J72" s="106">
        <v>1</v>
      </c>
      <c r="K72" s="106">
        <v>1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12">
        <v>42460</v>
      </c>
      <c r="C81" s="112">
        <v>42825</v>
      </c>
      <c r="D81" s="112">
        <v>43190</v>
      </c>
      <c r="E81" s="112">
        <v>43555</v>
      </c>
      <c r="F81" s="112">
        <v>43921</v>
      </c>
      <c r="G81" s="112">
        <v>44286</v>
      </c>
      <c r="H81" s="112">
        <v>44651</v>
      </c>
      <c r="I81" s="112">
        <v>45016</v>
      </c>
      <c r="J81" s="112">
        <v>45382</v>
      </c>
      <c r="K81" s="112">
        <v>45747</v>
      </c>
    </row>
    <row r="82" spans="1:11" s="115" customFormat="1" x14ac:dyDescent="0.25">
      <c r="A82" s="116" t="s">
        <v>108</v>
      </c>
      <c r="B82" s="106">
        <v>1463.08</v>
      </c>
      <c r="C82" s="106">
        <v>1707.97</v>
      </c>
      <c r="D82" s="106">
        <v>2482.25</v>
      </c>
      <c r="E82" s="106">
        <v>1575.47</v>
      </c>
      <c r="F82" s="106">
        <v>1694.12</v>
      </c>
      <c r="G82" s="106">
        <v>1690.97</v>
      </c>
      <c r="H82" s="106">
        <v>1527.04</v>
      </c>
      <c r="I82" s="106">
        <v>2822.66</v>
      </c>
      <c r="J82" s="106">
        <v>3723.71</v>
      </c>
      <c r="K82" s="106">
        <v>3979.92</v>
      </c>
    </row>
    <row r="83" spans="1:11" s="116" customFormat="1" x14ac:dyDescent="0.25">
      <c r="A83" s="116" t="s">
        <v>107</v>
      </c>
      <c r="B83" s="106">
        <v>-1001.4</v>
      </c>
      <c r="C83" s="106">
        <v>-1743.58</v>
      </c>
      <c r="D83" s="106">
        <v>-2145.02</v>
      </c>
      <c r="E83" s="106">
        <v>-659.88</v>
      </c>
      <c r="F83" s="106">
        <v>-1508.41</v>
      </c>
      <c r="G83" s="106">
        <v>-1625.3</v>
      </c>
      <c r="H83" s="106">
        <v>-983.25</v>
      </c>
      <c r="I83" s="106">
        <v>-2396.8000000000002</v>
      </c>
      <c r="J83" s="106">
        <v>-2833.93</v>
      </c>
      <c r="K83" s="106">
        <v>-2483.34</v>
      </c>
    </row>
    <row r="84" spans="1:11" s="116" customFormat="1" x14ac:dyDescent="0.25">
      <c r="A84" s="116" t="s">
        <v>106</v>
      </c>
      <c r="B84" s="106">
        <v>-465.52</v>
      </c>
      <c r="C84" s="106">
        <v>25.29</v>
      </c>
      <c r="D84" s="106">
        <v>-262.01</v>
      </c>
      <c r="E84" s="106">
        <v>-292.3</v>
      </c>
      <c r="F84" s="106">
        <v>-858.25</v>
      </c>
      <c r="G84" s="106">
        <v>-14.76</v>
      </c>
      <c r="H84" s="106">
        <v>-593.36</v>
      </c>
      <c r="I84" s="106">
        <v>-417.44</v>
      </c>
      <c r="J84" s="106">
        <v>-844.36</v>
      </c>
      <c r="K84" s="106">
        <v>-1398.67</v>
      </c>
    </row>
    <row r="85" spans="1:11" s="115" customFormat="1" x14ac:dyDescent="0.25">
      <c r="A85" s="116" t="s">
        <v>105</v>
      </c>
      <c r="B85" s="106">
        <v>-3.84</v>
      </c>
      <c r="C85" s="106">
        <v>-10.32</v>
      </c>
      <c r="D85" s="106">
        <v>75.22</v>
      </c>
      <c r="E85" s="106">
        <v>623.29</v>
      </c>
      <c r="F85" s="106">
        <v>-672.54</v>
      </c>
      <c r="G85" s="106">
        <v>50.91</v>
      </c>
      <c r="H85" s="106">
        <v>-49.57</v>
      </c>
      <c r="I85" s="106">
        <v>8.42</v>
      </c>
      <c r="J85" s="106">
        <v>45.42</v>
      </c>
      <c r="K85" s="106">
        <v>97.91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B90" s="106">
        <v>1918.06</v>
      </c>
      <c r="C90" s="106">
        <v>2558.75</v>
      </c>
      <c r="D90" s="106">
        <v>2837.27</v>
      </c>
      <c r="E90" s="106">
        <v>2054.77</v>
      </c>
      <c r="F90" s="106">
        <v>1309.5899999999999</v>
      </c>
      <c r="G90" s="106">
        <v>2603.9499999999998</v>
      </c>
      <c r="H90" s="106">
        <v>2457.15</v>
      </c>
      <c r="I90" s="106">
        <v>2948.85</v>
      </c>
      <c r="J90" s="106">
        <v>4019.3</v>
      </c>
      <c r="K90" s="106">
        <v>5347.7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v>27.16</v>
      </c>
      <c r="C93" s="114">
        <v>27.21</v>
      </c>
      <c r="D93" s="114">
        <v>27.26</v>
      </c>
      <c r="E93" s="114">
        <v>27.28</v>
      </c>
      <c r="F93" s="114">
        <v>27.31</v>
      </c>
      <c r="G93" s="114">
        <v>27.33</v>
      </c>
      <c r="H93" s="114">
        <v>27.34</v>
      </c>
      <c r="I93" s="114">
        <v>27.35</v>
      </c>
      <c r="J93" s="114">
        <v>27.38</v>
      </c>
      <c r="K93" s="114">
        <v>27.42</v>
      </c>
    </row>
  </sheetData>
  <mergeCells count="2">
    <mergeCell ref="E1:K1"/>
    <mergeCell ref="E2:K2"/>
  </mergeCells>
  <conditionalFormatting sqref="E1:K1">
    <cfRule type="cellIs" dxfId="3" priority="1" operator="notEqual">
      <formula>""</formula>
    </cfRule>
  </conditionalFormatting>
  <hyperlinks>
    <hyperlink ref="E1:K1" r:id="rId1" display="https://www.screener.in/excel/" xr:uid="{F7C82DB2-7C8C-4C47-A414-1C31093D3CCE}"/>
  </hyperlinks>
  <pageMargins left="0.7" right="0.7" top="0.75" bottom="0.75" header="0.3" footer="0.3"/>
  <pageSetup paperSize="9"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9F6B-C6C9-4A50-94BB-4286CF8EE9E7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C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0.7109375" style="106" customWidth="1"/>
    <col min="2" max="6" width="13.42578125" style="106" customWidth="1"/>
    <col min="7" max="7" width="14.85546875" style="106" bestFit="1" customWidth="1"/>
    <col min="8" max="11" width="13.42578125" style="106" customWidth="1"/>
    <col min="12" max="12" width="13.28515625" style="106" customWidth="1"/>
    <col min="13" max="14" width="12.140625" style="106" customWidth="1"/>
    <col min="15" max="16384" width="8.85546875" style="106"/>
  </cols>
  <sheetData>
    <row r="1" spans="1:14" s="107" customFormat="1" x14ac:dyDescent="0.25">
      <c r="A1" s="107" t="str">
        <f>'[3]Data Sheet'!B1</f>
        <v>BAJAJ AUTO LTD</v>
      </c>
      <c r="H1" s="106">
        <f>UPDATE</f>
        <v>0</v>
      </c>
      <c r="J1" s="123"/>
      <c r="K1" s="123"/>
      <c r="M1" s="107" t="s">
        <v>85</v>
      </c>
    </row>
    <row r="3" spans="1:14" s="107" customFormat="1" x14ac:dyDescent="0.25">
      <c r="A3" s="113" t="s">
        <v>84</v>
      </c>
      <c r="B3" s="112">
        <f>'[3]Data Sheet'!B16</f>
        <v>42460</v>
      </c>
      <c r="C3" s="112">
        <f>'[3]Data Sheet'!C16</f>
        <v>42825</v>
      </c>
      <c r="D3" s="112">
        <f>'[3]Data Sheet'!D16</f>
        <v>43190</v>
      </c>
      <c r="E3" s="112">
        <f>'[3]Data Sheet'!E16</f>
        <v>43555</v>
      </c>
      <c r="F3" s="112">
        <f>'[3]Data Sheet'!F16</f>
        <v>43921</v>
      </c>
      <c r="G3" s="112">
        <f>'[3]Data Sheet'!G16</f>
        <v>44286</v>
      </c>
      <c r="H3" s="112">
        <f>'[3]Data Sheet'!H16</f>
        <v>44651</v>
      </c>
      <c r="I3" s="112">
        <f>'[3]Data Sheet'!I16</f>
        <v>45016</v>
      </c>
      <c r="J3" s="112">
        <f>'[3]Data Sheet'!J16</f>
        <v>45382</v>
      </c>
      <c r="K3" s="112">
        <f>'[3]Data Sheet'!K16</f>
        <v>45747</v>
      </c>
      <c r="L3" s="121" t="s">
        <v>83</v>
      </c>
      <c r="M3" s="121" t="s">
        <v>82</v>
      </c>
      <c r="N3" s="121" t="s">
        <v>81</v>
      </c>
    </row>
    <row r="4" spans="1:14" s="107" customFormat="1" x14ac:dyDescent="0.25">
      <c r="A4" s="107" t="s">
        <v>80</v>
      </c>
      <c r="B4" s="115">
        <f>'[3]Data Sheet'!B17</f>
        <v>22573.69</v>
      </c>
      <c r="C4" s="115">
        <f>'[3]Data Sheet'!C17</f>
        <v>21754.720000000001</v>
      </c>
      <c r="D4" s="115">
        <f>'[3]Data Sheet'!D17</f>
        <v>25209.93</v>
      </c>
      <c r="E4" s="115">
        <f>'[3]Data Sheet'!E17</f>
        <v>30357.63</v>
      </c>
      <c r="F4" s="115">
        <f>'[3]Data Sheet'!F17</f>
        <v>29918.65</v>
      </c>
      <c r="G4" s="115">
        <f>'[3]Data Sheet'!G17</f>
        <v>27741.08</v>
      </c>
      <c r="H4" s="115">
        <f>'[3]Data Sheet'!H17</f>
        <v>33144.71</v>
      </c>
      <c r="I4" s="115">
        <f>'[3]Data Sheet'!I17</f>
        <v>36455.379999999997</v>
      </c>
      <c r="J4" s="115">
        <f>'[3]Data Sheet'!J17</f>
        <v>44870.43</v>
      </c>
      <c r="K4" s="115">
        <f>'[3]Data Sheet'!K17</f>
        <v>50994.55</v>
      </c>
      <c r="L4" s="115">
        <f>SUM([3]Quarters!H4:K4)</f>
        <v>0</v>
      </c>
      <c r="M4" s="115">
        <f>$K4+M23*K4</f>
        <v>58869.942341468974</v>
      </c>
      <c r="N4" s="115">
        <f>$K4+N23*L4</f>
        <v>50994.55</v>
      </c>
    </row>
    <row r="5" spans="1:14" x14ac:dyDescent="0.25">
      <c r="A5" s="106" t="s">
        <v>79</v>
      </c>
      <c r="B5" s="116">
        <f>SUM('[3]Data Sheet'!B18,'[3]Data Sheet'!B20:B24, -1*'[3]Data Sheet'!B19)</f>
        <v>17780.740000000002</v>
      </c>
      <c r="C5" s="116">
        <f>SUM('[3]Data Sheet'!C18,'[3]Data Sheet'!C20:C24, -1*'[3]Data Sheet'!C19)</f>
        <v>17326.09</v>
      </c>
      <c r="D5" s="116">
        <f>SUM('[3]Data Sheet'!D18,'[3]Data Sheet'!D20:D24, -1*'[3]Data Sheet'!D19)</f>
        <v>20364.129999999997</v>
      </c>
      <c r="E5" s="116">
        <f>SUM('[3]Data Sheet'!E18,'[3]Data Sheet'!E20:E24, -1*'[3]Data Sheet'!E19)</f>
        <v>25159.71</v>
      </c>
      <c r="F5" s="116">
        <f>SUM('[3]Data Sheet'!F18,'[3]Data Sheet'!F20:F24, -1*'[3]Data Sheet'!F19)</f>
        <v>24809.310000000005</v>
      </c>
      <c r="G5" s="116">
        <f>SUM('[3]Data Sheet'!G18,'[3]Data Sheet'!G20:G24, -1*'[3]Data Sheet'!G19)</f>
        <v>22803.300000000003</v>
      </c>
      <c r="H5" s="116">
        <f>SUM('[3]Data Sheet'!H18,'[3]Data Sheet'!H20:H24, -1*'[3]Data Sheet'!H19)</f>
        <v>27885.91</v>
      </c>
      <c r="I5" s="116">
        <f>SUM('[3]Data Sheet'!I18,'[3]Data Sheet'!I20:I24, -1*'[3]Data Sheet'!I19)</f>
        <v>29990.739999999998</v>
      </c>
      <c r="J5" s="116">
        <f>SUM('[3]Data Sheet'!J18,'[3]Data Sheet'!J20:J24, -1*'[3]Data Sheet'!J19)</f>
        <v>36105.75</v>
      </c>
      <c r="K5" s="116">
        <f>SUM('[3]Data Sheet'!K18,'[3]Data Sheet'!K20:K24, -1*'[3]Data Sheet'!K19)</f>
        <v>41442.300000000003</v>
      </c>
      <c r="L5" s="116">
        <f>SUM([3]Quarters!H5:K5)</f>
        <v>0</v>
      </c>
      <c r="M5" s="116">
        <f>M4-M6</f>
        <v>47844.506822467381</v>
      </c>
      <c r="N5" s="116">
        <f>N4-N6</f>
        <v>50994.55</v>
      </c>
    </row>
    <row r="6" spans="1:14" s="107" customFormat="1" x14ac:dyDescent="0.25">
      <c r="A6" s="107" t="s">
        <v>78</v>
      </c>
      <c r="B6" s="115">
        <f t="shared" ref="B6:K6" si="0">B4-B5</f>
        <v>4792.9499999999971</v>
      </c>
      <c r="C6" s="115">
        <f t="shared" si="0"/>
        <v>4428.630000000001</v>
      </c>
      <c r="D6" s="115">
        <f t="shared" si="0"/>
        <v>4845.8000000000029</v>
      </c>
      <c r="E6" s="115">
        <f t="shared" si="0"/>
        <v>5197.9200000000019</v>
      </c>
      <c r="F6" s="115">
        <f t="shared" si="0"/>
        <v>5109.3399999999965</v>
      </c>
      <c r="G6" s="115">
        <f t="shared" si="0"/>
        <v>4937.7799999999988</v>
      </c>
      <c r="H6" s="115">
        <f t="shared" si="0"/>
        <v>5258.7999999999993</v>
      </c>
      <c r="I6" s="115">
        <f t="shared" si="0"/>
        <v>6464.6399999999994</v>
      </c>
      <c r="J6" s="115">
        <f t="shared" si="0"/>
        <v>8764.68</v>
      </c>
      <c r="K6" s="115">
        <f t="shared" si="0"/>
        <v>9552.25</v>
      </c>
      <c r="L6" s="115">
        <f>SUM([3]Quarters!H6:K6)</f>
        <v>0</v>
      </c>
      <c r="M6" s="115">
        <f>M4*M24</f>
        <v>11025.43551900159</v>
      </c>
      <c r="N6" s="115">
        <f>N4*N24</f>
        <v>0</v>
      </c>
    </row>
    <row r="7" spans="1:14" x14ac:dyDescent="0.25">
      <c r="A7" s="106" t="s">
        <v>77</v>
      </c>
      <c r="B7" s="116">
        <f>'[3]Data Sheet'!B25</f>
        <v>1194.1500000000001</v>
      </c>
      <c r="C7" s="116">
        <f>'[3]Data Sheet'!C25</f>
        <v>1467.61</v>
      </c>
      <c r="D7" s="116">
        <f>'[3]Data Sheet'!D25</f>
        <v>1403.72</v>
      </c>
      <c r="E7" s="116">
        <f>'[3]Data Sheet'!E25</f>
        <v>2027.83</v>
      </c>
      <c r="F7" s="116">
        <f>'[3]Data Sheet'!F25</f>
        <v>1832.38</v>
      </c>
      <c r="G7" s="116">
        <f>'[3]Data Sheet'!G25</f>
        <v>1569.68</v>
      </c>
      <c r="H7" s="116">
        <f>'[3]Data Sheet'!H25</f>
        <v>2671.3</v>
      </c>
      <c r="I7" s="116">
        <f>'[3]Data Sheet'!I25</f>
        <v>1702.7</v>
      </c>
      <c r="J7" s="116">
        <f>'[3]Data Sheet'!J25</f>
        <v>1700.49</v>
      </c>
      <c r="K7" s="116">
        <f>'[3]Data Sheet'!K25</f>
        <v>1474.41</v>
      </c>
      <c r="L7" s="116">
        <f>SUM([3]Quarters!H7:K7)</f>
        <v>0</v>
      </c>
      <c r="M7" s="116">
        <v>0</v>
      </c>
      <c r="N7" s="116">
        <v>0</v>
      </c>
    </row>
    <row r="8" spans="1:14" x14ac:dyDescent="0.25">
      <c r="A8" s="106" t="s">
        <v>76</v>
      </c>
      <c r="B8" s="116">
        <f>'[3]Data Sheet'!B26</f>
        <v>307.16000000000003</v>
      </c>
      <c r="C8" s="116">
        <f>'[3]Data Sheet'!C26</f>
        <v>307.29000000000002</v>
      </c>
      <c r="D8" s="116">
        <f>'[3]Data Sheet'!D26</f>
        <v>314.8</v>
      </c>
      <c r="E8" s="116">
        <f>'[3]Data Sheet'!E26</f>
        <v>265.69</v>
      </c>
      <c r="F8" s="116">
        <f>'[3]Data Sheet'!F26</f>
        <v>246.43</v>
      </c>
      <c r="G8" s="116">
        <f>'[3]Data Sheet'!G26</f>
        <v>259.37</v>
      </c>
      <c r="H8" s="116">
        <f>'[3]Data Sheet'!H26</f>
        <v>269.76</v>
      </c>
      <c r="I8" s="116">
        <f>'[3]Data Sheet'!I26</f>
        <v>285.85000000000002</v>
      </c>
      <c r="J8" s="116">
        <f>'[3]Data Sheet'!J26</f>
        <v>364.77</v>
      </c>
      <c r="K8" s="116">
        <f>'[3]Data Sheet'!K26</f>
        <v>414.23</v>
      </c>
      <c r="L8" s="116">
        <f>SUM([3]Quarters!H8:K8)</f>
        <v>0</v>
      </c>
      <c r="M8" s="116">
        <f>+$L8</f>
        <v>0</v>
      </c>
      <c r="N8" s="116">
        <f>+$L8</f>
        <v>0</v>
      </c>
    </row>
    <row r="9" spans="1:14" x14ac:dyDescent="0.25">
      <c r="A9" s="106" t="s">
        <v>75</v>
      </c>
      <c r="B9" s="116">
        <f>'[3]Data Sheet'!B27</f>
        <v>1.05</v>
      </c>
      <c r="C9" s="116">
        <f>'[3]Data Sheet'!C27</f>
        <v>1.4</v>
      </c>
      <c r="D9" s="116">
        <f>'[3]Data Sheet'!D27</f>
        <v>1.31</v>
      </c>
      <c r="E9" s="116">
        <f>'[3]Data Sheet'!E27</f>
        <v>4.4800000000000004</v>
      </c>
      <c r="F9" s="116">
        <f>'[3]Data Sheet'!F27</f>
        <v>3.16</v>
      </c>
      <c r="G9" s="116">
        <f>'[3]Data Sheet'!G27</f>
        <v>6.66</v>
      </c>
      <c r="H9" s="116">
        <f>'[3]Data Sheet'!H27</f>
        <v>8.66</v>
      </c>
      <c r="I9" s="116">
        <f>'[3]Data Sheet'!I27</f>
        <v>39.51</v>
      </c>
      <c r="J9" s="116">
        <f>'[3]Data Sheet'!J27</f>
        <v>60.36</v>
      </c>
      <c r="K9" s="116">
        <f>'[3]Data Sheet'!K27</f>
        <v>388.9</v>
      </c>
      <c r="L9" s="116">
        <f>SUM([3]Quarters!H9:K9)</f>
        <v>0</v>
      </c>
      <c r="M9" s="116">
        <f>+$L9</f>
        <v>0</v>
      </c>
      <c r="N9" s="116">
        <f>+$L9</f>
        <v>0</v>
      </c>
    </row>
    <row r="10" spans="1:14" x14ac:dyDescent="0.25">
      <c r="A10" s="106" t="s">
        <v>74</v>
      </c>
      <c r="B10" s="116">
        <f>'[3]Data Sheet'!B28</f>
        <v>5678.89</v>
      </c>
      <c r="C10" s="116">
        <f>'[3]Data Sheet'!C28</f>
        <v>5587.55</v>
      </c>
      <c r="D10" s="116">
        <f>'[3]Data Sheet'!D28</f>
        <v>5933.41</v>
      </c>
      <c r="E10" s="116">
        <f>'[3]Data Sheet'!E28</f>
        <v>6955.58</v>
      </c>
      <c r="F10" s="116">
        <f>'[3]Data Sheet'!F28</f>
        <v>6692.13</v>
      </c>
      <c r="G10" s="116">
        <f>'[3]Data Sheet'!G28</f>
        <v>6241.43</v>
      </c>
      <c r="H10" s="116">
        <f>'[3]Data Sheet'!H28</f>
        <v>7651.68</v>
      </c>
      <c r="I10" s="116">
        <f>'[3]Data Sheet'!I28</f>
        <v>7841.98</v>
      </c>
      <c r="J10" s="116">
        <f>'[3]Data Sheet'!J28</f>
        <v>10040.040000000001</v>
      </c>
      <c r="K10" s="116">
        <f>'[3]Data Sheet'!K28</f>
        <v>10223.530000000001</v>
      </c>
      <c r="L10" s="116">
        <f>SUM([3]Quarters!H10:K10)</f>
        <v>0</v>
      </c>
      <c r="M10" s="116">
        <f>M6+M7-SUM(M8:M9)</f>
        <v>11025.43551900159</v>
      </c>
      <c r="N10" s="116">
        <f>N6+N7-SUM(N8:N9)</f>
        <v>0</v>
      </c>
    </row>
    <row r="11" spans="1:14" x14ac:dyDescent="0.25">
      <c r="A11" s="106" t="s">
        <v>73</v>
      </c>
      <c r="B11" s="116">
        <f>'[3]Data Sheet'!B29</f>
        <v>1617.65</v>
      </c>
      <c r="C11" s="116">
        <f>'[3]Data Sheet'!C29</f>
        <v>1508.07</v>
      </c>
      <c r="D11" s="116">
        <f>'[3]Data Sheet'!D29</f>
        <v>1714.47</v>
      </c>
      <c r="E11" s="116">
        <f>'[3]Data Sheet'!E29</f>
        <v>2027.98</v>
      </c>
      <c r="F11" s="116">
        <f>'[3]Data Sheet'!F29</f>
        <v>1480.22</v>
      </c>
      <c r="G11" s="116">
        <f>'[3]Data Sheet'!G29</f>
        <v>1384.41</v>
      </c>
      <c r="H11" s="116">
        <f>'[3]Data Sheet'!H29</f>
        <v>1485.81</v>
      </c>
      <c r="I11" s="116">
        <f>'[3]Data Sheet'!I29</f>
        <v>1781.77</v>
      </c>
      <c r="J11" s="116">
        <f>'[3]Data Sheet'!J29</f>
        <v>2331.8000000000002</v>
      </c>
      <c r="K11" s="116">
        <f>'[3]Data Sheet'!K29</f>
        <v>2898.8</v>
      </c>
      <c r="L11" s="116">
        <f>SUM([3]Quarters!H11:K11)</f>
        <v>0</v>
      </c>
      <c r="M11" s="122">
        <f>IF($L10&gt;0,$L11/$L10,0)</f>
        <v>0</v>
      </c>
      <c r="N11" s="122">
        <f>IF($L10&gt;0,$L11/$L10,0)</f>
        <v>0</v>
      </c>
    </row>
    <row r="12" spans="1:14" s="107" customFormat="1" x14ac:dyDescent="0.25">
      <c r="A12" s="107" t="s">
        <v>72</v>
      </c>
      <c r="B12" s="115">
        <f>'[3]Data Sheet'!B30</f>
        <v>4061.24</v>
      </c>
      <c r="C12" s="115">
        <f>'[3]Data Sheet'!C30</f>
        <v>4079.49</v>
      </c>
      <c r="D12" s="115">
        <f>'[3]Data Sheet'!D30</f>
        <v>4218.95</v>
      </c>
      <c r="E12" s="115">
        <f>'[3]Data Sheet'!E30</f>
        <v>4927.6099999999997</v>
      </c>
      <c r="F12" s="115">
        <f>'[3]Data Sheet'!F30</f>
        <v>5211.91</v>
      </c>
      <c r="G12" s="115">
        <f>'[3]Data Sheet'!G30</f>
        <v>4857.0200000000004</v>
      </c>
      <c r="H12" s="115">
        <f>'[3]Data Sheet'!H30</f>
        <v>6165.87</v>
      </c>
      <c r="I12" s="115">
        <f>'[3]Data Sheet'!I30</f>
        <v>6060.21</v>
      </c>
      <c r="J12" s="115">
        <f>'[3]Data Sheet'!J30</f>
        <v>7708.24</v>
      </c>
      <c r="K12" s="115">
        <f>'[3]Data Sheet'!K30</f>
        <v>7324.73</v>
      </c>
      <c r="L12" s="115">
        <f>SUM([3]Quarters!H12:K12)</f>
        <v>0</v>
      </c>
      <c r="M12" s="115">
        <f>M10-M11*M10</f>
        <v>11025.43551900159</v>
      </c>
      <c r="N12" s="115">
        <f>N10-N11*N10</f>
        <v>0</v>
      </c>
    </row>
    <row r="13" spans="1:14" x14ac:dyDescent="0.25">
      <c r="A13" s="106" t="s">
        <v>43</v>
      </c>
      <c r="B13" s="116">
        <f>IF('[3]Data Sheet'!B93&gt;0,B12/'[3]Data Sheet'!B93,0)</f>
        <v>140.33310297166551</v>
      </c>
      <c r="C13" s="116">
        <f>IF('[3]Data Sheet'!C93&gt;0,C12/'[3]Data Sheet'!C93,0)</f>
        <v>140.96371803731859</v>
      </c>
      <c r="D13" s="116">
        <f>IF('[3]Data Sheet'!D93&gt;0,D12/'[3]Data Sheet'!D93,0)</f>
        <v>145.78265376641326</v>
      </c>
      <c r="E13" s="116">
        <f>IF('[3]Data Sheet'!E93&gt;0,E12/'[3]Data Sheet'!E93,0)</f>
        <v>170.26986869384933</v>
      </c>
      <c r="F13" s="116">
        <f>IF('[3]Data Sheet'!F93&gt;0,F12/'[3]Data Sheet'!F93,0)</f>
        <v>180.09364201796819</v>
      </c>
      <c r="G13" s="116">
        <f>IF('[3]Data Sheet'!G93&gt;0,G12/'[3]Data Sheet'!G93,0)</f>
        <v>167.83068417415342</v>
      </c>
      <c r="H13" s="116">
        <f>IF('[3]Data Sheet'!H93&gt;0,H12/'[3]Data Sheet'!H93,0)</f>
        <v>213.05701451278506</v>
      </c>
      <c r="I13" s="116">
        <f>IF('[3]Data Sheet'!I93&gt;0,I12/'[3]Data Sheet'!I93,0)</f>
        <v>214.1416961130742</v>
      </c>
      <c r="J13" s="116">
        <f>IF('[3]Data Sheet'!J93&gt;0,J12/'[3]Data Sheet'!J93,0)</f>
        <v>276.08309455587391</v>
      </c>
      <c r="K13" s="116">
        <f>IF('[3]Data Sheet'!K93&gt;0,K12/'[3]Data Sheet'!K93,0)</f>
        <v>262.25313283208021</v>
      </c>
      <c r="L13" s="116">
        <f>IF('[3]Data Sheet'!$B6&gt;0,'Bajaj Auto (IS)'!L12/'[3]Data Sheet'!$B6,0)</f>
        <v>0</v>
      </c>
      <c r="M13" s="116">
        <f>IF('[3]Data Sheet'!$B6&gt;0,'Bajaj Auto (IS)'!M12/'[3]Data Sheet'!$B6,0)</f>
        <v>0</v>
      </c>
      <c r="N13" s="116">
        <f>IF('[3]Data Sheet'!$B6&gt;0,'Bajaj Auto (IS)'!N12/'[3]Data Sheet'!$B6,0)</f>
        <v>0</v>
      </c>
    </row>
    <row r="14" spans="1:14" x14ac:dyDescent="0.25">
      <c r="A14" s="106" t="s">
        <v>71</v>
      </c>
      <c r="B14" s="116">
        <f t="shared" ref="B14:K14" si="1">IF(B15&gt;0,B15/B13,"")</f>
        <v>17.144564960455426</v>
      </c>
      <c r="C14" s="116">
        <f t="shared" si="1"/>
        <v>19.901929652971326</v>
      </c>
      <c r="D14" s="116">
        <f t="shared" si="1"/>
        <v>18.827342822266203</v>
      </c>
      <c r="E14" s="116">
        <f t="shared" si="1"/>
        <v>17.096976830552745</v>
      </c>
      <c r="F14" s="116">
        <f t="shared" si="1"/>
        <v>11.229435849813218</v>
      </c>
      <c r="G14" s="116">
        <f t="shared" si="1"/>
        <v>21.870851674483532</v>
      </c>
      <c r="H14" s="116">
        <f t="shared" si="1"/>
        <v>17.145645302285001</v>
      </c>
      <c r="I14" s="116">
        <f t="shared" si="1"/>
        <v>18.141025641025642</v>
      </c>
      <c r="J14" s="116">
        <f t="shared" si="1"/>
        <v>33.135495002750304</v>
      </c>
      <c r="K14" s="116">
        <f t="shared" si="1"/>
        <v>30.042920421640115</v>
      </c>
      <c r="L14" s="116">
        <f>IF(L13&gt;0,L15/L13,0)</f>
        <v>0</v>
      </c>
      <c r="M14" s="116">
        <f>M25</f>
        <v>27.106480355138686</v>
      </c>
      <c r="N14" s="116">
        <f>N25</f>
        <v>0</v>
      </c>
    </row>
    <row r="15" spans="1:14" s="107" customFormat="1" x14ac:dyDescent="0.25">
      <c r="A15" s="107" t="s">
        <v>30</v>
      </c>
      <c r="B15" s="115">
        <f>'[3]Data Sheet'!B90</f>
        <v>2405.9499999999998</v>
      </c>
      <c r="C15" s="115">
        <f>'[3]Data Sheet'!C90</f>
        <v>2805.45</v>
      </c>
      <c r="D15" s="115">
        <f>'[3]Data Sheet'!D90</f>
        <v>2744.7</v>
      </c>
      <c r="E15" s="115">
        <f>'[3]Data Sheet'!E90</f>
        <v>2911.1</v>
      </c>
      <c r="F15" s="115">
        <f>'[3]Data Sheet'!F90</f>
        <v>2022.35</v>
      </c>
      <c r="G15" s="115">
        <f>'[3]Data Sheet'!G90</f>
        <v>3670.6</v>
      </c>
      <c r="H15" s="115">
        <f>'[3]Data Sheet'!H90</f>
        <v>3653</v>
      </c>
      <c r="I15" s="115">
        <f>'[3]Data Sheet'!I90</f>
        <v>3884.75</v>
      </c>
      <c r="J15" s="115">
        <f>'[3]Data Sheet'!J90</f>
        <v>9148.15</v>
      </c>
      <c r="K15" s="115">
        <f>'[3]Data Sheet'!K90</f>
        <v>7878.85</v>
      </c>
      <c r="L15" s="115">
        <f>'[3]Data Sheet'!B8</f>
        <v>8436</v>
      </c>
      <c r="M15" s="85">
        <f>M13*M14</f>
        <v>0</v>
      </c>
      <c r="N15" s="84">
        <f>N13*N14</f>
        <v>0</v>
      </c>
    </row>
    <row r="17" spans="1:14" s="107" customFormat="1" x14ac:dyDescent="0.25">
      <c r="A17" s="107" t="s">
        <v>70</v>
      </c>
    </row>
    <row r="18" spans="1:14" x14ac:dyDescent="0.25">
      <c r="A18" s="106" t="s">
        <v>69</v>
      </c>
      <c r="B18" s="120">
        <f>IF('[3]Data Sheet'!B30&gt;0, '[3]Data Sheet'!B31/'[3]Data Sheet'!B30, 0)</f>
        <v>0.39188523702120537</v>
      </c>
      <c r="C18" s="120">
        <f>IF('[3]Data Sheet'!C30&gt;0, '[3]Data Sheet'!C31/'[3]Data Sheet'!C30, 0)</f>
        <v>0.3901320998458141</v>
      </c>
      <c r="D18" s="120">
        <f>IF('[3]Data Sheet'!D30&gt;0, '[3]Data Sheet'!D31/'[3]Data Sheet'!D30, 0)</f>
        <v>0.41152893492456655</v>
      </c>
      <c r="E18" s="120">
        <f>IF('[3]Data Sheet'!E30&gt;0, '[3]Data Sheet'!E31/'[3]Data Sheet'!E30, 0)</f>
        <v>0.35234525459604149</v>
      </c>
      <c r="F18" s="120">
        <f>IF('[3]Data Sheet'!F30&gt;0, '[3]Data Sheet'!F31/'[3]Data Sheet'!F30, 0)</f>
        <v>0.66625095214614227</v>
      </c>
      <c r="G18" s="120">
        <f>IF('[3]Data Sheet'!G30&gt;0, '[3]Data Sheet'!G31/'[3]Data Sheet'!G30, 0)</f>
        <v>0.83408756809731055</v>
      </c>
      <c r="H18" s="120">
        <f>IF('[3]Data Sheet'!H30&gt;0, '[3]Data Sheet'!H31/'[3]Data Sheet'!H30, 0)</f>
        <v>0.65703298966731372</v>
      </c>
      <c r="I18" s="120">
        <f>IF('[3]Data Sheet'!I30&gt;0, '[3]Data Sheet'!I31/'[3]Data Sheet'!I30, 0)</f>
        <v>0.6536803180087819</v>
      </c>
      <c r="J18" s="120">
        <f>IF('[3]Data Sheet'!J30&gt;0, '[3]Data Sheet'!J31/'[3]Data Sheet'!J30, 0)</f>
        <v>0.28974707585648607</v>
      </c>
      <c r="K18" s="120">
        <f>IF('[3]Data Sheet'!K30&gt;0, '[3]Data Sheet'!K31/'[3]Data Sheet'!K30, 0)</f>
        <v>0.80063838530567</v>
      </c>
    </row>
    <row r="19" spans="1:14" x14ac:dyDescent="0.25">
      <c r="A19" s="106" t="s">
        <v>59</v>
      </c>
      <c r="B19" s="120">
        <f t="shared" ref="B19:L19" si="2">IF(B6&gt;0,B6/B4,0)</f>
        <v>0.21232461329981928</v>
      </c>
      <c r="C19" s="120">
        <f t="shared" si="2"/>
        <v>0.20357099516794519</v>
      </c>
      <c r="D19" s="120">
        <f t="shared" si="2"/>
        <v>0.19221790778475001</v>
      </c>
      <c r="E19" s="120">
        <f t="shared" si="2"/>
        <v>0.17122285237681603</v>
      </c>
      <c r="F19" s="120">
        <f t="shared" si="2"/>
        <v>0.17077441662641851</v>
      </c>
      <c r="G19" s="120">
        <f t="shared" si="2"/>
        <v>0.17799523306230322</v>
      </c>
      <c r="H19" s="120">
        <f t="shared" si="2"/>
        <v>0.15866181963879</v>
      </c>
      <c r="I19" s="120">
        <f t="shared" si="2"/>
        <v>0.17733020475990099</v>
      </c>
      <c r="J19" s="120">
        <f t="shared" si="2"/>
        <v>0.19533309576039276</v>
      </c>
      <c r="K19" s="120">
        <f t="shared" si="2"/>
        <v>0.18731903703434974</v>
      </c>
      <c r="L19" s="120">
        <f t="shared" si="2"/>
        <v>0</v>
      </c>
    </row>
    <row r="20" spans="1:14" x14ac:dyDescent="0.25"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 spans="1:14" x14ac:dyDescent="0.25"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</row>
    <row r="22" spans="1:14" s="107" customFormat="1" x14ac:dyDescent="0.25">
      <c r="A22" s="113"/>
      <c r="B22" s="112"/>
      <c r="C22" s="112"/>
      <c r="D22" s="112"/>
      <c r="E22" s="112"/>
      <c r="F22" s="112"/>
      <c r="G22" s="112" t="s">
        <v>68</v>
      </c>
      <c r="H22" s="112" t="s">
        <v>67</v>
      </c>
      <c r="I22" s="112" t="s">
        <v>66</v>
      </c>
      <c r="J22" s="112" t="s">
        <v>65</v>
      </c>
      <c r="K22" s="112" t="s">
        <v>64</v>
      </c>
      <c r="L22" s="121" t="s">
        <v>63</v>
      </c>
      <c r="M22" s="121" t="s">
        <v>62</v>
      </c>
      <c r="N22" s="121" t="s">
        <v>61</v>
      </c>
    </row>
    <row r="23" spans="1:14" s="107" customFormat="1" x14ac:dyDescent="0.25">
      <c r="A23" s="106"/>
      <c r="B23" s="106"/>
      <c r="C23" s="106"/>
      <c r="D23" s="106"/>
      <c r="E23" s="106"/>
      <c r="F23" s="106"/>
      <c r="G23" s="106" t="s">
        <v>60</v>
      </c>
      <c r="H23" s="120">
        <f>IF(B4=0,"",POWER($K4/B4,1/9)-1)</f>
        <v>9.4774261771457535E-2</v>
      </c>
      <c r="I23" s="120">
        <f>IF(D4=0,"",POWER($K4/D4,1/7)-1)</f>
        <v>0.10587858019696772</v>
      </c>
      <c r="J23" s="120">
        <f>IF(F4=0,"",POWER($K4/F4,1/5)-1)</f>
        <v>0.11254184351617047</v>
      </c>
      <c r="K23" s="120">
        <f>IF(H4=0,"",POWER($K4/H4, 1/3)-1)</f>
        <v>0.15443596112660996</v>
      </c>
      <c r="L23" s="120">
        <f>IF(ISERROR(MAX(IF(J4=0,"",(K4-J4)/J4),IF(K4=0,"",(L4-K4)/K4))),"",MAX(IF(J4=0,"",(K4-J4)/J4),IF(K4=0,"",(L4-K4)/K4)))</f>
        <v>0.13648454004118085</v>
      </c>
      <c r="M23" s="119">
        <f>MAX(K23:L23)</f>
        <v>0.15443596112660996</v>
      </c>
      <c r="N23" s="119">
        <f>MIN(H23:L23)</f>
        <v>9.4774261771457535E-2</v>
      </c>
    </row>
    <row r="24" spans="1:14" x14ac:dyDescent="0.25">
      <c r="G24" s="106" t="s">
        <v>59</v>
      </c>
      <c r="H24" s="120">
        <f>IF(SUM(B4:$K$4)=0,"",SUMPRODUCT(B19:$K$19,B4:$K$4)/SUM(B4:$K$4))</f>
        <v>0.18374295250426156</v>
      </c>
      <c r="I24" s="120">
        <f>IF(SUM(E4:$K$4)=0,"",SUMPRODUCT(E19:$K$19,E4:$K$4)/SUM(E4:$K$4))</f>
        <v>0.17865305299463949</v>
      </c>
      <c r="J24" s="120">
        <f>IF(SUM(G4:$K$4)=0,"",SUMPRODUCT(G19:$K$19,G4:$K$4)/SUM(G4:$K$4))</f>
        <v>0.18104056211461172</v>
      </c>
      <c r="K24" s="120">
        <f>IF(SUM(I4:$K$4)=0, "", SUMPRODUCT(I19:$K$19,I4:$K$4)/SUM(I4:$K$4))</f>
        <v>0.18728463253878694</v>
      </c>
      <c r="L24" s="120">
        <f>L19</f>
        <v>0</v>
      </c>
      <c r="M24" s="119">
        <f>MAX(K24:L24)</f>
        <v>0.18728463253878694</v>
      </c>
      <c r="N24" s="119">
        <f>MIN(H24:L24)</f>
        <v>0</v>
      </c>
    </row>
    <row r="25" spans="1:14" x14ac:dyDescent="0.25">
      <c r="G25" s="106" t="s">
        <v>58</v>
      </c>
      <c r="H25" s="116">
        <f>IF(ISERROR(AVERAGEIF(B14:$L14,"&gt;0")),"",AVERAGEIF(B14:$L14,"&gt;0"))</f>
        <v>20.453618815824349</v>
      </c>
      <c r="I25" s="116">
        <f>IF(ISERROR(AVERAGEIF(E14:$L14,"&gt;0")),"",AVERAGEIF(E14:$L14,"&gt;0"))</f>
        <v>21.237478674650077</v>
      </c>
      <c r="J25" s="116">
        <f>IF(ISERROR(AVERAGEIF(G14:$L14,"&gt;0")),"",AVERAGEIF(G14:$L14,"&gt;0"))</f>
        <v>24.067187608436917</v>
      </c>
      <c r="K25" s="116">
        <f>IF(ISERROR(AVERAGEIF(I14:$L14,"&gt;0")),"",AVERAGEIF(I14:$L14,"&gt;0"))</f>
        <v>27.106480355138686</v>
      </c>
      <c r="L25" s="116">
        <f>L14</f>
        <v>0</v>
      </c>
      <c r="M25" s="115">
        <f>MAX(K25:L25)</f>
        <v>27.106480355138686</v>
      </c>
      <c r="N25" s="115">
        <f>MIN(H25:L25)</f>
        <v>0</v>
      </c>
    </row>
  </sheetData>
  <hyperlinks>
    <hyperlink ref="M1" r:id="rId1" xr:uid="{1EC917E2-0748-47B4-ABC9-35781B282F47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F6C4-09D1-4AF8-85CB-060E36CD9DEA}">
  <sheetPr>
    <pageSetUpPr fitToPage="1"/>
  </sheetPr>
  <dimension ref="A1:K24"/>
  <sheetViews>
    <sheetView zoomScale="125" workbookViewId="0">
      <pane xSplit="1" ySplit="3" topLeftCell="E4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2.85546875" style="106" bestFit="1" customWidth="1"/>
    <col min="2" max="2" width="13.42578125" style="106" customWidth="1"/>
    <col min="3" max="11" width="15.42578125" style="106" customWidth="1"/>
    <col min="12" max="16384" width="8.85546875" style="106"/>
  </cols>
  <sheetData>
    <row r="1" spans="1:11" s="107" customFormat="1" x14ac:dyDescent="0.25">
      <c r="A1" s="107">
        <f>'[3]Profit &amp; Loss'!A1</f>
        <v>0</v>
      </c>
      <c r="E1" s="106">
        <f>UPDATE</f>
        <v>0</v>
      </c>
      <c r="G1" s="106"/>
      <c r="J1" s="107" t="s">
        <v>85</v>
      </c>
    </row>
    <row r="2" spans="1:11" x14ac:dyDescent="0.25">
      <c r="G2" s="107"/>
      <c r="H2" s="107"/>
    </row>
    <row r="3" spans="1:11" x14ac:dyDescent="0.25">
      <c r="A3" s="113" t="s">
        <v>84</v>
      </c>
      <c r="B3" s="112">
        <f>'[3]Data Sheet'!B56</f>
        <v>42460</v>
      </c>
      <c r="C3" s="112">
        <f>'[3]Data Sheet'!C56</f>
        <v>42825</v>
      </c>
      <c r="D3" s="112">
        <f>'[3]Data Sheet'!D56</f>
        <v>43190</v>
      </c>
      <c r="E3" s="112">
        <f>'[3]Data Sheet'!E56</f>
        <v>43555</v>
      </c>
      <c r="F3" s="112">
        <f>'[3]Data Sheet'!F56</f>
        <v>43921</v>
      </c>
      <c r="G3" s="112">
        <f>'[3]Data Sheet'!G56</f>
        <v>44286</v>
      </c>
      <c r="H3" s="112">
        <f>'[3]Data Sheet'!H56</f>
        <v>44651</v>
      </c>
      <c r="I3" s="112">
        <f>'[3]Data Sheet'!I56</f>
        <v>45016</v>
      </c>
      <c r="J3" s="112">
        <f>'[3]Data Sheet'!J56</f>
        <v>45382</v>
      </c>
      <c r="K3" s="112">
        <f>'[3]Data Sheet'!K56</f>
        <v>45747</v>
      </c>
    </row>
    <row r="4" spans="1:11" x14ac:dyDescent="0.25">
      <c r="A4" s="106" t="s">
        <v>101</v>
      </c>
      <c r="B4" s="110">
        <f>'[3]Data Sheet'!B57</f>
        <v>289.37</v>
      </c>
      <c r="C4" s="110">
        <f>'[3]Data Sheet'!C57</f>
        <v>289.37</v>
      </c>
      <c r="D4" s="110">
        <f>'[3]Data Sheet'!D57</f>
        <v>289.37</v>
      </c>
      <c r="E4" s="110">
        <f>'[3]Data Sheet'!E57</f>
        <v>289.37</v>
      </c>
      <c r="F4" s="110">
        <f>'[3]Data Sheet'!F57</f>
        <v>289.37</v>
      </c>
      <c r="G4" s="110">
        <f>'[3]Data Sheet'!G57</f>
        <v>289.37</v>
      </c>
      <c r="H4" s="110">
        <f>'[3]Data Sheet'!H57</f>
        <v>289.37</v>
      </c>
      <c r="I4" s="110">
        <f>'[3]Data Sheet'!I57</f>
        <v>282.95999999999998</v>
      </c>
      <c r="J4" s="110">
        <f>'[3]Data Sheet'!J57</f>
        <v>279.18</v>
      </c>
      <c r="K4" s="110">
        <f>'[3]Data Sheet'!K57</f>
        <v>279.26</v>
      </c>
    </row>
    <row r="5" spans="1:11" x14ac:dyDescent="0.25">
      <c r="A5" s="106" t="s">
        <v>100</v>
      </c>
      <c r="B5" s="110">
        <f>'[3]Data Sheet'!B58</f>
        <v>13730.94</v>
      </c>
      <c r="C5" s="110">
        <f>'[3]Data Sheet'!C58</f>
        <v>17567.2</v>
      </c>
      <c r="D5" s="110">
        <f>'[3]Data Sheet'!D58</f>
        <v>20135.87</v>
      </c>
      <c r="E5" s="110">
        <f>'[3]Data Sheet'!E58</f>
        <v>22944.44</v>
      </c>
      <c r="F5" s="110">
        <f>'[3]Data Sheet'!F58</f>
        <v>21372.71</v>
      </c>
      <c r="G5" s="110">
        <f>'[3]Data Sheet'!G58</f>
        <v>26984.06</v>
      </c>
      <c r="H5" s="110">
        <f>'[3]Data Sheet'!H58</f>
        <v>29570.28</v>
      </c>
      <c r="I5" s="110">
        <f>'[3]Data Sheet'!I58</f>
        <v>29078.58</v>
      </c>
      <c r="J5" s="110">
        <f>'[3]Data Sheet'!J58</f>
        <v>28683.23</v>
      </c>
      <c r="K5" s="110">
        <f>'[3]Data Sheet'!K58</f>
        <v>34909.480000000003</v>
      </c>
    </row>
    <row r="6" spans="1:11" x14ac:dyDescent="0.25">
      <c r="A6" s="106" t="s">
        <v>99</v>
      </c>
      <c r="B6" s="110">
        <f>'[3]Data Sheet'!B59</f>
        <v>117.86</v>
      </c>
      <c r="C6" s="110">
        <f>'[3]Data Sheet'!C59</f>
        <v>119.9</v>
      </c>
      <c r="D6" s="110">
        <f>'[3]Data Sheet'!D59</f>
        <v>120.77</v>
      </c>
      <c r="E6" s="110">
        <f>'[3]Data Sheet'!E59</f>
        <v>124.52</v>
      </c>
      <c r="F6" s="110">
        <f>'[3]Data Sheet'!F59</f>
        <v>125.59</v>
      </c>
      <c r="G6" s="110">
        <f>'[3]Data Sheet'!G59</f>
        <v>121.46</v>
      </c>
      <c r="H6" s="110">
        <f>'[3]Data Sheet'!H59</f>
        <v>122.77</v>
      </c>
      <c r="I6" s="110">
        <f>'[3]Data Sheet'!I59</f>
        <v>124.23</v>
      </c>
      <c r="J6" s="110">
        <f>'[3]Data Sheet'!J59</f>
        <v>1911.74</v>
      </c>
      <c r="K6" s="110">
        <f>'[3]Data Sheet'!K59</f>
        <v>9364.16</v>
      </c>
    </row>
    <row r="7" spans="1:11" x14ac:dyDescent="0.25">
      <c r="A7" s="106" t="s">
        <v>98</v>
      </c>
      <c r="B7" s="110">
        <f>'[3]Data Sheet'!B60</f>
        <v>3102.2</v>
      </c>
      <c r="C7" s="110">
        <f>'[3]Data Sheet'!C60</f>
        <v>3661.15</v>
      </c>
      <c r="D7" s="110">
        <f>'[3]Data Sheet'!D60</f>
        <v>4594.99</v>
      </c>
      <c r="E7" s="110">
        <f>'[3]Data Sheet'!E60</f>
        <v>5476.08</v>
      </c>
      <c r="F7" s="110">
        <f>'[3]Data Sheet'!F60</f>
        <v>4722.3500000000004</v>
      </c>
      <c r="G7" s="110">
        <f>'[3]Data Sheet'!G60</f>
        <v>6206.82</v>
      </c>
      <c r="H7" s="110">
        <f>'[3]Data Sheet'!H60</f>
        <v>5128.79</v>
      </c>
      <c r="I7" s="110">
        <f>'[3]Data Sheet'!I60</f>
        <v>5650.68</v>
      </c>
      <c r="J7" s="110">
        <f>'[3]Data Sheet'!J60</f>
        <v>8469.5400000000009</v>
      </c>
      <c r="K7" s="110">
        <f>'[3]Data Sheet'!K60</f>
        <v>9645.7099999999991</v>
      </c>
    </row>
    <row r="8" spans="1:11" s="107" customFormat="1" x14ac:dyDescent="0.25">
      <c r="A8" s="107" t="s">
        <v>93</v>
      </c>
      <c r="B8" s="111">
        <f>'[3]Data Sheet'!B61</f>
        <v>17240.37</v>
      </c>
      <c r="C8" s="111">
        <f>'[3]Data Sheet'!C61</f>
        <v>21637.62</v>
      </c>
      <c r="D8" s="111">
        <f>'[3]Data Sheet'!D61</f>
        <v>25141</v>
      </c>
      <c r="E8" s="111">
        <f>'[3]Data Sheet'!E61</f>
        <v>28834.41</v>
      </c>
      <c r="F8" s="111">
        <f>'[3]Data Sheet'!F61</f>
        <v>26510.02</v>
      </c>
      <c r="G8" s="111">
        <f>'[3]Data Sheet'!G61</f>
        <v>33601.71</v>
      </c>
      <c r="H8" s="111">
        <f>'[3]Data Sheet'!H61</f>
        <v>35111.21</v>
      </c>
      <c r="I8" s="111">
        <f>'[3]Data Sheet'!I61</f>
        <v>35136.449999999997</v>
      </c>
      <c r="J8" s="111">
        <f>'[3]Data Sheet'!J61</f>
        <v>39343.69</v>
      </c>
      <c r="K8" s="111">
        <f>'[3]Data Sheet'!K61</f>
        <v>54198.61</v>
      </c>
    </row>
    <row r="9" spans="1:11" s="107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s="106" t="s">
        <v>97</v>
      </c>
      <c r="B10" s="110">
        <f>'[3]Data Sheet'!B62</f>
        <v>2025.67</v>
      </c>
      <c r="C10" s="110">
        <f>'[3]Data Sheet'!C62</f>
        <v>2001.79</v>
      </c>
      <c r="D10" s="110">
        <f>'[3]Data Sheet'!D62</f>
        <v>1878.33</v>
      </c>
      <c r="E10" s="110">
        <f>'[3]Data Sheet'!E62</f>
        <v>1763.94</v>
      </c>
      <c r="F10" s="110">
        <f>'[3]Data Sheet'!F62</f>
        <v>1699.02</v>
      </c>
      <c r="G10" s="110">
        <f>'[3]Data Sheet'!G62</f>
        <v>1667.55</v>
      </c>
      <c r="H10" s="110">
        <f>'[3]Data Sheet'!H62</f>
        <v>1836.05</v>
      </c>
      <c r="I10" s="110">
        <f>'[3]Data Sheet'!I62</f>
        <v>2842.24</v>
      </c>
      <c r="J10" s="110">
        <f>'[3]Data Sheet'!J62</f>
        <v>3217.37</v>
      </c>
      <c r="K10" s="110">
        <f>'[3]Data Sheet'!K62</f>
        <v>3708.19</v>
      </c>
    </row>
    <row r="11" spans="1:11" x14ac:dyDescent="0.25">
      <c r="A11" s="106" t="s">
        <v>96</v>
      </c>
      <c r="B11" s="110">
        <f>'[3]Data Sheet'!B63</f>
        <v>52.24</v>
      </c>
      <c r="C11" s="110">
        <f>'[3]Data Sheet'!C63</f>
        <v>42.17</v>
      </c>
      <c r="D11" s="110">
        <f>'[3]Data Sheet'!D63</f>
        <v>56.47</v>
      </c>
      <c r="E11" s="110">
        <f>'[3]Data Sheet'!E63</f>
        <v>48.02</v>
      </c>
      <c r="F11" s="110">
        <f>'[3]Data Sheet'!F63</f>
        <v>60.19</v>
      </c>
      <c r="G11" s="110">
        <f>'[3]Data Sheet'!G63</f>
        <v>15.98</v>
      </c>
      <c r="H11" s="110">
        <f>'[3]Data Sheet'!H63</f>
        <v>77.209999999999994</v>
      </c>
      <c r="I11" s="110">
        <f>'[3]Data Sheet'!I63</f>
        <v>85.27</v>
      </c>
      <c r="J11" s="110">
        <f>'[3]Data Sheet'!J63</f>
        <v>35.1</v>
      </c>
      <c r="K11" s="110">
        <f>'[3]Data Sheet'!K63</f>
        <v>29.2</v>
      </c>
    </row>
    <row r="12" spans="1:11" x14ac:dyDescent="0.25">
      <c r="A12" s="106" t="s">
        <v>95</v>
      </c>
      <c r="B12" s="110">
        <f>'[3]Data Sheet'!B64</f>
        <v>11067.23</v>
      </c>
      <c r="C12" s="110">
        <f>'[3]Data Sheet'!C64</f>
        <v>15477.04</v>
      </c>
      <c r="D12" s="110">
        <f>'[3]Data Sheet'!D64</f>
        <v>18894.57</v>
      </c>
      <c r="E12" s="110">
        <f>'[3]Data Sheet'!E64</f>
        <v>20602.849999999999</v>
      </c>
      <c r="F12" s="110">
        <f>'[3]Data Sheet'!F64</f>
        <v>19913.580000000002</v>
      </c>
      <c r="G12" s="110">
        <f>'[3]Data Sheet'!G64</f>
        <v>24686.65</v>
      </c>
      <c r="H12" s="110">
        <f>'[3]Data Sheet'!H64</f>
        <v>26634.12</v>
      </c>
      <c r="I12" s="110">
        <f>'[3]Data Sheet'!I64</f>
        <v>26182.91</v>
      </c>
      <c r="J12" s="110">
        <f>'[3]Data Sheet'!J64</f>
        <v>28086.68</v>
      </c>
      <c r="K12" s="110">
        <f>'[3]Data Sheet'!K64</f>
        <v>28913.87</v>
      </c>
    </row>
    <row r="13" spans="1:11" x14ac:dyDescent="0.25">
      <c r="A13" s="106" t="s">
        <v>94</v>
      </c>
      <c r="B13" s="110">
        <f>'[3]Data Sheet'!B65</f>
        <v>4095.23</v>
      </c>
      <c r="C13" s="110">
        <f>'[3]Data Sheet'!C65</f>
        <v>4116.62</v>
      </c>
      <c r="D13" s="110">
        <f>'[3]Data Sheet'!D65</f>
        <v>4311.63</v>
      </c>
      <c r="E13" s="110">
        <f>'[3]Data Sheet'!E65</f>
        <v>6419.6</v>
      </c>
      <c r="F13" s="110">
        <f>'[3]Data Sheet'!F65</f>
        <v>4837.2299999999996</v>
      </c>
      <c r="G13" s="110">
        <f>'[3]Data Sheet'!G65</f>
        <v>7231.53</v>
      </c>
      <c r="H13" s="110">
        <f>'[3]Data Sheet'!H65</f>
        <v>6563.83</v>
      </c>
      <c r="I13" s="110">
        <f>'[3]Data Sheet'!I65</f>
        <v>6026.03</v>
      </c>
      <c r="J13" s="110">
        <f>'[3]Data Sheet'!J65</f>
        <v>8004.54</v>
      </c>
      <c r="K13" s="110">
        <f>'[3]Data Sheet'!K65</f>
        <v>21547.35</v>
      </c>
    </row>
    <row r="14" spans="1:11" s="107" customFormat="1" x14ac:dyDescent="0.25">
      <c r="A14" s="107" t="s">
        <v>93</v>
      </c>
      <c r="B14" s="110">
        <f>'[3]Data Sheet'!B66</f>
        <v>17240.37</v>
      </c>
      <c r="C14" s="110">
        <f>'[3]Data Sheet'!C66</f>
        <v>21637.62</v>
      </c>
      <c r="D14" s="110">
        <f>'[3]Data Sheet'!D66</f>
        <v>25141</v>
      </c>
      <c r="E14" s="110">
        <f>'[3]Data Sheet'!E66</f>
        <v>28834.41</v>
      </c>
      <c r="F14" s="110">
        <f>'[3]Data Sheet'!F66</f>
        <v>26510.02</v>
      </c>
      <c r="G14" s="110">
        <f>'[3]Data Sheet'!G66</f>
        <v>33601.71</v>
      </c>
      <c r="H14" s="110">
        <f>'[3]Data Sheet'!H66</f>
        <v>35111.21</v>
      </c>
      <c r="I14" s="110">
        <f>'[3]Data Sheet'!I66</f>
        <v>35136.449999999997</v>
      </c>
      <c r="J14" s="110">
        <f>'[3]Data Sheet'!J66</f>
        <v>39343.69</v>
      </c>
      <c r="K14" s="110">
        <f>'[3]Data Sheet'!K66</f>
        <v>54198.61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s="106" t="s">
        <v>92</v>
      </c>
      <c r="B16" s="109">
        <f t="shared" ref="B16:K16" si="0">B13-B7</f>
        <v>993.0300000000002</v>
      </c>
      <c r="C16" s="109">
        <f t="shared" si="0"/>
        <v>455.4699999999998</v>
      </c>
      <c r="D16" s="109">
        <f t="shared" si="0"/>
        <v>-283.35999999999967</v>
      </c>
      <c r="E16" s="109">
        <f t="shared" si="0"/>
        <v>943.52000000000044</v>
      </c>
      <c r="F16" s="109">
        <f t="shared" si="0"/>
        <v>114.8799999999992</v>
      </c>
      <c r="G16" s="109">
        <f t="shared" si="0"/>
        <v>1024.71</v>
      </c>
      <c r="H16" s="109">
        <f t="shared" si="0"/>
        <v>1435.04</v>
      </c>
      <c r="I16" s="109">
        <f t="shared" si="0"/>
        <v>375.34999999999945</v>
      </c>
      <c r="J16" s="109">
        <f t="shared" si="0"/>
        <v>-465.00000000000091</v>
      </c>
      <c r="K16" s="109">
        <f t="shared" si="0"/>
        <v>11901.64</v>
      </c>
    </row>
    <row r="17" spans="1:11" x14ac:dyDescent="0.25">
      <c r="A17" s="106" t="s">
        <v>91</v>
      </c>
      <c r="B17" s="109">
        <f>'[3]Data Sheet'!B67</f>
        <v>717.93</v>
      </c>
      <c r="C17" s="109">
        <f>'[3]Data Sheet'!C67</f>
        <v>953.29</v>
      </c>
      <c r="D17" s="109">
        <f>'[3]Data Sheet'!D67</f>
        <v>1491.87</v>
      </c>
      <c r="E17" s="109">
        <f>'[3]Data Sheet'!E67</f>
        <v>2559.69</v>
      </c>
      <c r="F17" s="109">
        <f>'[3]Data Sheet'!F67</f>
        <v>1725.1</v>
      </c>
      <c r="G17" s="109">
        <f>'[3]Data Sheet'!G67</f>
        <v>2716.85</v>
      </c>
      <c r="H17" s="109">
        <f>'[3]Data Sheet'!H67</f>
        <v>1516.38</v>
      </c>
      <c r="I17" s="109">
        <f>'[3]Data Sheet'!I67</f>
        <v>1752.43</v>
      </c>
      <c r="J17" s="109">
        <f>'[3]Data Sheet'!J67</f>
        <v>2075.5300000000002</v>
      </c>
      <c r="K17" s="109">
        <f>'[3]Data Sheet'!K67</f>
        <v>2125.2199999999998</v>
      </c>
    </row>
    <row r="18" spans="1:11" x14ac:dyDescent="0.25">
      <c r="A18" s="106" t="s">
        <v>90</v>
      </c>
      <c r="B18" s="109">
        <f>'[3]Data Sheet'!B68</f>
        <v>719.07</v>
      </c>
      <c r="C18" s="109">
        <f>'[3]Data Sheet'!C68</f>
        <v>728.38</v>
      </c>
      <c r="D18" s="109">
        <f>'[3]Data Sheet'!D68</f>
        <v>742.58</v>
      </c>
      <c r="E18" s="109">
        <f>'[3]Data Sheet'!E68</f>
        <v>961.51</v>
      </c>
      <c r="F18" s="109">
        <f>'[3]Data Sheet'!F68</f>
        <v>1063.5</v>
      </c>
      <c r="G18" s="109">
        <f>'[3]Data Sheet'!G68</f>
        <v>1493.89</v>
      </c>
      <c r="H18" s="109">
        <f>'[3]Data Sheet'!H68</f>
        <v>1230.51</v>
      </c>
      <c r="I18" s="109">
        <f>'[3]Data Sheet'!I68</f>
        <v>1563.55</v>
      </c>
      <c r="J18" s="109">
        <f>'[3]Data Sheet'!J68</f>
        <v>1688.75</v>
      </c>
      <c r="K18" s="109">
        <f>'[3]Data Sheet'!K68</f>
        <v>2077.36</v>
      </c>
    </row>
    <row r="20" spans="1:11" x14ac:dyDescent="0.25">
      <c r="A20" s="106" t="s">
        <v>89</v>
      </c>
      <c r="B20" s="109">
        <f>IF('[3]Profit &amp; Loss'!B4&gt;0,'Bajaj Auto (BS)'!B17/('[3]Profit &amp; Loss'!B4/365),0)</f>
        <v>0</v>
      </c>
      <c r="C20" s="109">
        <f>IF('[3]Profit &amp; Loss'!C4&gt;0,'Bajaj Auto (BS)'!C17/('[3]Profit &amp; Loss'!C4/365),0)</f>
        <v>0</v>
      </c>
      <c r="D20" s="109">
        <f>IF('[3]Profit &amp; Loss'!D4&gt;0,'Bajaj Auto (BS)'!D17/('[3]Profit &amp; Loss'!D4/365),0)</f>
        <v>0</v>
      </c>
      <c r="E20" s="109">
        <f>IF('[3]Profit &amp; Loss'!E4&gt;0,'Bajaj Auto (BS)'!E17/('[3]Profit &amp; Loss'!E4/365),0)</f>
        <v>0</v>
      </c>
      <c r="F20" s="109">
        <f>IF('[3]Profit &amp; Loss'!F4&gt;0,'Bajaj Auto (BS)'!F17/('[3]Profit &amp; Loss'!F4/365),0)</f>
        <v>0</v>
      </c>
      <c r="G20" s="109">
        <f>IF('[3]Profit &amp; Loss'!G4&gt;0,'Bajaj Auto (BS)'!G17/('[3]Profit &amp; Loss'!G4/365),0)</f>
        <v>0</v>
      </c>
      <c r="H20" s="109">
        <f>IF('[3]Profit &amp; Loss'!H4&gt;0,'Bajaj Auto (BS)'!H17/('[3]Profit &amp; Loss'!H4/365),0)</f>
        <v>0</v>
      </c>
      <c r="I20" s="109">
        <f>IF('[3]Profit &amp; Loss'!I4&gt;0,'Bajaj Auto (BS)'!I17/('[3]Profit &amp; Loss'!I4/365),0)</f>
        <v>0</v>
      </c>
      <c r="J20" s="109">
        <f>IF('[3]Profit &amp; Loss'!J4&gt;0,'Bajaj Auto (BS)'!J17/('[3]Profit &amp; Loss'!J4/365),0)</f>
        <v>0</v>
      </c>
      <c r="K20" s="109">
        <f>IF('[3]Profit &amp; Loss'!K4&gt;0,'Bajaj Auto (BS)'!K17/('[3]Profit &amp; Loss'!K4/365),0)</f>
        <v>0</v>
      </c>
    </row>
    <row r="21" spans="1:11" x14ac:dyDescent="0.25">
      <c r="A21" s="106" t="s">
        <v>88</v>
      </c>
      <c r="B21" s="109">
        <f>IF('Bajaj Auto (BS)'!B18&gt;0,'[3]Profit &amp; Loss'!B4/'Bajaj Auto (BS)'!B18,0)</f>
        <v>0</v>
      </c>
      <c r="C21" s="109">
        <f>IF('Bajaj Auto (BS)'!C18&gt;0,'[3]Profit &amp; Loss'!C4/'Bajaj Auto (BS)'!C18,0)</f>
        <v>0</v>
      </c>
      <c r="D21" s="109">
        <f>IF('Bajaj Auto (BS)'!D18&gt;0,'[3]Profit &amp; Loss'!D4/'Bajaj Auto (BS)'!D18,0)</f>
        <v>0</v>
      </c>
      <c r="E21" s="109">
        <f>IF('Bajaj Auto (BS)'!E18&gt;0,'[3]Profit &amp; Loss'!E4/'Bajaj Auto (BS)'!E18,0)</f>
        <v>0</v>
      </c>
      <c r="F21" s="109">
        <f>IF('Bajaj Auto (BS)'!F18&gt;0,'[3]Profit &amp; Loss'!F4/'Bajaj Auto (BS)'!F18,0)</f>
        <v>0</v>
      </c>
      <c r="G21" s="109">
        <f>IF('Bajaj Auto (BS)'!G18&gt;0,'[3]Profit &amp; Loss'!G4/'Bajaj Auto (BS)'!G18,0)</f>
        <v>0</v>
      </c>
      <c r="H21" s="109">
        <f>IF('Bajaj Auto (BS)'!H18&gt;0,'[3]Profit &amp; Loss'!H4/'Bajaj Auto (BS)'!H18,0)</f>
        <v>0</v>
      </c>
      <c r="I21" s="109">
        <f>IF('Bajaj Auto (BS)'!I18&gt;0,'[3]Profit &amp; Loss'!I4/'Bajaj Auto (BS)'!I18,0)</f>
        <v>0</v>
      </c>
      <c r="J21" s="109">
        <f>IF('Bajaj Auto (BS)'!J18&gt;0,'[3]Profit &amp; Loss'!J4/'Bajaj Auto (BS)'!J18,0)</f>
        <v>0</v>
      </c>
      <c r="K21" s="109">
        <f>IF('Bajaj Auto (BS)'!K18&gt;0,'[3]Profit &amp; Loss'!K4/'Bajaj Auto (BS)'!K18,0)</f>
        <v>0</v>
      </c>
    </row>
    <row r="23" spans="1:11" s="107" customFormat="1" x14ac:dyDescent="0.25">
      <c r="A23" s="107" t="s">
        <v>87</v>
      </c>
      <c r="B23" s="108">
        <f>IF(SUM('Bajaj Auto (BS)'!B4:B5)&gt;0,'[3]Profit &amp; Loss'!B12/SUM('Bajaj Auto (BS)'!B4:B5),"")</f>
        <v>0</v>
      </c>
      <c r="C23" s="108">
        <f>IF(SUM('Bajaj Auto (BS)'!C4:C5)&gt;0,'[3]Profit &amp; Loss'!C12/SUM('Bajaj Auto (BS)'!C4:C5),"")</f>
        <v>0</v>
      </c>
      <c r="D23" s="108">
        <f>IF(SUM('Bajaj Auto (BS)'!D4:D5)&gt;0,'[3]Profit &amp; Loss'!D12/SUM('Bajaj Auto (BS)'!D4:D5),"")</f>
        <v>0</v>
      </c>
      <c r="E23" s="108">
        <f>IF(SUM('Bajaj Auto (BS)'!E4:E5)&gt;0,'[3]Profit &amp; Loss'!E12/SUM('Bajaj Auto (BS)'!E4:E5),"")</f>
        <v>0</v>
      </c>
      <c r="F23" s="108">
        <f>IF(SUM('Bajaj Auto (BS)'!F4:F5)&gt;0,'[3]Profit &amp; Loss'!F12/SUM('Bajaj Auto (BS)'!F4:F5),"")</f>
        <v>0</v>
      </c>
      <c r="G23" s="108">
        <f>IF(SUM('Bajaj Auto (BS)'!G4:G5)&gt;0,'[3]Profit &amp; Loss'!G12/SUM('Bajaj Auto (BS)'!G4:G5),"")</f>
        <v>0</v>
      </c>
      <c r="H23" s="108">
        <f>IF(SUM('Bajaj Auto (BS)'!H4:H5)&gt;0,'[3]Profit &amp; Loss'!H12/SUM('Bajaj Auto (BS)'!H4:H5),"")</f>
        <v>0</v>
      </c>
      <c r="I23" s="108">
        <f>IF(SUM('Bajaj Auto (BS)'!I4:I5)&gt;0,'[3]Profit &amp; Loss'!I12/SUM('Bajaj Auto (BS)'!I4:I5),"")</f>
        <v>0</v>
      </c>
      <c r="J23" s="108">
        <f>IF(SUM('Bajaj Auto (BS)'!J4:J5)&gt;0,'[3]Profit &amp; Loss'!J12/SUM('Bajaj Auto (BS)'!J4:J5),"")</f>
        <v>0</v>
      </c>
      <c r="K23" s="108">
        <f>IF(SUM('Bajaj Auto (BS)'!K4:K5)&gt;0,'[3]Profit &amp; Loss'!K12/SUM('Bajaj Auto (BS)'!K4:K5),"")</f>
        <v>0</v>
      </c>
    </row>
    <row r="24" spans="1:11" s="107" customFormat="1" x14ac:dyDescent="0.25">
      <c r="A24" s="107" t="s">
        <v>86</v>
      </c>
      <c r="B24" s="108"/>
      <c r="C24" s="108">
        <f>IF((B4+B5+B6+C4+C5+C6)&gt;0,('[3]Profit &amp; Loss'!C10+'[3]Profit &amp; Loss'!C9)*2/(B4+B5+B6+C4+C5+C6),"")</f>
        <v>0</v>
      </c>
      <c r="D24" s="108">
        <f>IF((C4+C5+C6+D4+D5+D6)&gt;0,('[3]Profit &amp; Loss'!D10+'[3]Profit &amp; Loss'!D9)*2/(C4+C5+C6+D4+D5+D6),"")</f>
        <v>0</v>
      </c>
      <c r="E24" s="108">
        <f>IF((D4+D5+D6+E4+E5+E6)&gt;0,('[3]Profit &amp; Loss'!E10+'[3]Profit &amp; Loss'!E9)*2/(D4+D5+D6+E4+E5+E6),"")</f>
        <v>0</v>
      </c>
      <c r="F24" s="108">
        <f>IF((E4+E5+E6+F4+F5+F6)&gt;0,('[3]Profit &amp; Loss'!F10+'[3]Profit &amp; Loss'!F9)*2/(E4+E5+E6+F4+F5+F6),"")</f>
        <v>0</v>
      </c>
      <c r="G24" s="108">
        <f>IF((F4+F5+F6+G4+G5+G6)&gt;0,('[3]Profit &amp; Loss'!G10+'[3]Profit &amp; Loss'!G9)*2/(F4+F5+F6+G4+G5+G6),"")</f>
        <v>0</v>
      </c>
      <c r="H24" s="108">
        <f>IF((G4+G5+G6+H4+H5+H6)&gt;0,('[3]Profit &amp; Loss'!H10+'[3]Profit &amp; Loss'!H9)*2/(G4+G5+G6+H4+H5+H6),"")</f>
        <v>0</v>
      </c>
      <c r="I24" s="108">
        <f>IF((H4+H5+H6+I4+I5+I6)&gt;0,('[3]Profit &amp; Loss'!I10+'[3]Profit &amp; Loss'!I9)*2/(H4+H5+H6+I4+I5+I6),"")</f>
        <v>0</v>
      </c>
      <c r="J24" s="108">
        <f>IF((I4+I5+I6+J4+J5+J6)&gt;0,('[3]Profit &amp; Loss'!J10+'[3]Profit &amp; Loss'!J9)*2/(I4+I5+I6+J4+J5+J6),"")</f>
        <v>0</v>
      </c>
      <c r="K24" s="108">
        <f>IF((J4+J5+J6+K4+K5+K6)&gt;0,('[3]Profit &amp; Loss'!K10+'[3]Profit &amp; Loss'!K9)*2/(J4+J5+J6+K4+K5+K6),"")</f>
        <v>0</v>
      </c>
    </row>
  </sheetData>
  <hyperlinks>
    <hyperlink ref="J1" r:id="rId1" xr:uid="{4FFD8ED4-DB8C-4DE3-AFF9-39EE9C31CC7C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09E8-A49A-41F8-B54B-9055B5E1203B}">
  <dimension ref="A1:K93"/>
  <sheetViews>
    <sheetView zoomScale="120" zoomScaleNormal="120" zoomScalePageLayoutView="120" workbookViewId="0">
      <pane xSplit="1" ySplit="1" topLeftCell="B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141</v>
      </c>
      <c r="E1" s="210" t="str">
        <f>IF(B2&lt;&gt;B3, "A NEW VERSION OF THE WORKSHEET IS AVAILABLE", "")</f>
        <v/>
      </c>
      <c r="F1" s="210"/>
      <c r="G1" s="210"/>
      <c r="H1" s="210"/>
      <c r="I1" s="210"/>
      <c r="J1" s="210"/>
      <c r="K1" s="210"/>
    </row>
    <row r="2" spans="1:11" x14ac:dyDescent="0.25">
      <c r="A2" s="115" t="s">
        <v>134</v>
      </c>
      <c r="B2" s="109">
        <v>2.1</v>
      </c>
      <c r="E2" s="211" t="s">
        <v>133</v>
      </c>
      <c r="F2" s="211"/>
      <c r="G2" s="211"/>
      <c r="H2" s="211"/>
      <c r="I2" s="211"/>
      <c r="J2" s="211"/>
      <c r="K2" s="211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27.925761024182076</v>
      </c>
    </row>
    <row r="7" spans="1:11" x14ac:dyDescent="0.25">
      <c r="A7" s="109" t="s">
        <v>129</v>
      </c>
      <c r="B7" s="106">
        <v>10</v>
      </c>
    </row>
    <row r="8" spans="1:11" x14ac:dyDescent="0.25">
      <c r="A8" s="109" t="s">
        <v>128</v>
      </c>
      <c r="B8" s="106">
        <v>8436</v>
      </c>
    </row>
    <row r="9" spans="1:11" x14ac:dyDescent="0.25">
      <c r="A9" s="109" t="s">
        <v>127</v>
      </c>
      <c r="B9" s="106">
        <v>235581.72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12">
        <v>42460</v>
      </c>
      <c r="C16" s="112">
        <v>42825</v>
      </c>
      <c r="D16" s="112">
        <v>43190</v>
      </c>
      <c r="E16" s="112">
        <v>43555</v>
      </c>
      <c r="F16" s="112">
        <v>43921</v>
      </c>
      <c r="G16" s="112">
        <v>44286</v>
      </c>
      <c r="H16" s="112">
        <v>44651</v>
      </c>
      <c r="I16" s="112">
        <v>45016</v>
      </c>
      <c r="J16" s="112">
        <v>45382</v>
      </c>
      <c r="K16" s="112">
        <v>45747</v>
      </c>
    </row>
    <row r="17" spans="1:11" s="116" customFormat="1" x14ac:dyDescent="0.25">
      <c r="A17" s="116" t="s">
        <v>80</v>
      </c>
      <c r="B17" s="106">
        <v>22573.69</v>
      </c>
      <c r="C17" s="106">
        <v>21754.720000000001</v>
      </c>
      <c r="D17" s="106">
        <v>25209.93</v>
      </c>
      <c r="E17" s="106">
        <v>30357.63</v>
      </c>
      <c r="F17" s="106">
        <v>29918.65</v>
      </c>
      <c r="G17" s="106">
        <v>27741.08</v>
      </c>
      <c r="H17" s="106">
        <v>33144.71</v>
      </c>
      <c r="I17" s="106">
        <v>36455.379999999997</v>
      </c>
      <c r="J17" s="106">
        <v>44870.43</v>
      </c>
      <c r="K17" s="106">
        <v>50994.55</v>
      </c>
    </row>
    <row r="18" spans="1:11" s="116" customFormat="1" x14ac:dyDescent="0.25">
      <c r="A18" s="109" t="s">
        <v>125</v>
      </c>
      <c r="B18" s="106">
        <v>14993.41</v>
      </c>
      <c r="C18" s="106">
        <v>14667.83</v>
      </c>
      <c r="D18" s="106">
        <v>17400.41</v>
      </c>
      <c r="E18" s="106">
        <v>21854.1</v>
      </c>
      <c r="F18" s="106">
        <v>21071.29</v>
      </c>
      <c r="G18" s="106">
        <v>19829.13</v>
      </c>
      <c r="H18" s="106">
        <v>24141.86</v>
      </c>
      <c r="I18" s="106">
        <v>26221.58</v>
      </c>
      <c r="J18" s="106">
        <v>31969.57</v>
      </c>
      <c r="K18" s="106">
        <v>35230.78</v>
      </c>
    </row>
    <row r="19" spans="1:11" s="116" customFormat="1" x14ac:dyDescent="0.25">
      <c r="A19" s="109" t="s">
        <v>124</v>
      </c>
      <c r="B19" s="106">
        <v>-63.45</v>
      </c>
      <c r="C19" s="106">
        <v>43.68</v>
      </c>
      <c r="D19" s="106">
        <v>-9.68</v>
      </c>
      <c r="E19" s="106">
        <v>56.42</v>
      </c>
      <c r="F19" s="106">
        <v>63.01</v>
      </c>
      <c r="G19" s="106">
        <v>219.48</v>
      </c>
      <c r="H19" s="106">
        <v>-187.96</v>
      </c>
      <c r="I19" s="106">
        <v>100.33</v>
      </c>
      <c r="J19" s="106">
        <v>76.34</v>
      </c>
      <c r="K19" s="106">
        <v>-28.41</v>
      </c>
    </row>
    <row r="20" spans="1:11" s="116" customFormat="1" x14ac:dyDescent="0.25">
      <c r="A20" s="109" t="s">
        <v>123</v>
      </c>
      <c r="B20" s="106">
        <v>120.66</v>
      </c>
      <c r="C20" s="106">
        <v>96.46</v>
      </c>
      <c r="D20" s="106">
        <v>100.26</v>
      </c>
      <c r="E20" s="106">
        <v>115.01</v>
      </c>
      <c r="F20" s="106">
        <v>116.57</v>
      </c>
      <c r="G20" s="106">
        <v>91.34</v>
      </c>
      <c r="H20" s="106">
        <v>108.01</v>
      </c>
      <c r="I20" s="106">
        <v>122.6</v>
      </c>
      <c r="J20" s="106">
        <v>147.94</v>
      </c>
    </row>
    <row r="21" spans="1:11" s="116" customFormat="1" x14ac:dyDescent="0.25">
      <c r="A21" s="109" t="s">
        <v>122</v>
      </c>
      <c r="B21" s="106">
        <v>644.19000000000005</v>
      </c>
      <c r="C21" s="106">
        <v>547.54</v>
      </c>
      <c r="D21" s="106">
        <v>550.16</v>
      </c>
      <c r="E21" s="106">
        <v>633.99</v>
      </c>
      <c r="F21" s="106">
        <v>698.83</v>
      </c>
      <c r="G21" s="106">
        <v>597.11</v>
      </c>
      <c r="H21" s="106">
        <v>836.28</v>
      </c>
      <c r="I21" s="106">
        <v>743.55</v>
      </c>
      <c r="J21" s="106">
        <v>734.43</v>
      </c>
    </row>
    <row r="22" spans="1:11" s="116" customFormat="1" x14ac:dyDescent="0.25">
      <c r="A22" s="109" t="s">
        <v>121</v>
      </c>
      <c r="B22" s="106">
        <v>920.01</v>
      </c>
      <c r="C22" s="106">
        <v>999.83</v>
      </c>
      <c r="D22" s="106">
        <v>1072.5899999999999</v>
      </c>
      <c r="E22" s="106">
        <v>1260.32</v>
      </c>
      <c r="F22" s="106">
        <v>1395</v>
      </c>
      <c r="G22" s="106">
        <v>1296.07</v>
      </c>
      <c r="H22" s="106">
        <v>1366</v>
      </c>
      <c r="I22" s="106">
        <v>1488.1</v>
      </c>
      <c r="J22" s="106">
        <v>1631.06</v>
      </c>
      <c r="K22" s="106">
        <v>1925.8</v>
      </c>
    </row>
    <row r="23" spans="1:11" s="116" customFormat="1" x14ac:dyDescent="0.25">
      <c r="A23" s="109" t="s">
        <v>120</v>
      </c>
      <c r="B23" s="106">
        <v>795.66</v>
      </c>
      <c r="C23" s="106">
        <v>699.73</v>
      </c>
      <c r="D23" s="106">
        <v>852.82</v>
      </c>
      <c r="E23" s="106">
        <v>940.92</v>
      </c>
      <c r="F23" s="106">
        <v>1020.98</v>
      </c>
      <c r="G23" s="106">
        <v>654.86</v>
      </c>
      <c r="H23" s="106">
        <v>644.9</v>
      </c>
      <c r="I23" s="106">
        <v>852.61</v>
      </c>
      <c r="J23" s="106">
        <v>999.37</v>
      </c>
    </row>
    <row r="24" spans="1:11" s="116" customFormat="1" x14ac:dyDescent="0.25">
      <c r="A24" s="109" t="s">
        <v>119</v>
      </c>
      <c r="B24" s="106">
        <v>243.36</v>
      </c>
      <c r="C24" s="106">
        <v>358.38</v>
      </c>
      <c r="D24" s="106">
        <v>378.21</v>
      </c>
      <c r="E24" s="106">
        <v>411.79</v>
      </c>
      <c r="F24" s="106">
        <v>569.65</v>
      </c>
      <c r="G24" s="106">
        <v>554.27</v>
      </c>
      <c r="H24" s="106">
        <v>600.9</v>
      </c>
      <c r="I24" s="106">
        <v>662.63</v>
      </c>
      <c r="J24" s="106">
        <v>699.72</v>
      </c>
      <c r="K24" s="106">
        <v>4257.3100000000004</v>
      </c>
    </row>
    <row r="25" spans="1:11" s="116" customFormat="1" x14ac:dyDescent="0.25">
      <c r="A25" s="116" t="s">
        <v>77</v>
      </c>
      <c r="B25" s="106">
        <v>1194.1500000000001</v>
      </c>
      <c r="C25" s="106">
        <v>1467.61</v>
      </c>
      <c r="D25" s="106">
        <v>1403.72</v>
      </c>
      <c r="E25" s="106">
        <v>2027.83</v>
      </c>
      <c r="F25" s="106">
        <v>1832.38</v>
      </c>
      <c r="G25" s="106">
        <v>1569.68</v>
      </c>
      <c r="H25" s="106">
        <v>2671.3</v>
      </c>
      <c r="I25" s="106">
        <v>1702.7</v>
      </c>
      <c r="J25" s="106">
        <v>1700.49</v>
      </c>
      <c r="K25" s="106">
        <v>1474.41</v>
      </c>
    </row>
    <row r="26" spans="1:11" s="116" customFormat="1" x14ac:dyDescent="0.25">
      <c r="A26" s="116" t="s">
        <v>76</v>
      </c>
      <c r="B26" s="106">
        <v>307.16000000000003</v>
      </c>
      <c r="C26" s="106">
        <v>307.29000000000002</v>
      </c>
      <c r="D26" s="106">
        <v>314.8</v>
      </c>
      <c r="E26" s="106">
        <v>265.69</v>
      </c>
      <c r="F26" s="106">
        <v>246.43</v>
      </c>
      <c r="G26" s="106">
        <v>259.37</v>
      </c>
      <c r="H26" s="106">
        <v>269.76</v>
      </c>
      <c r="I26" s="106">
        <v>285.85000000000002</v>
      </c>
      <c r="J26" s="106">
        <v>364.77</v>
      </c>
      <c r="K26" s="106">
        <v>414.23</v>
      </c>
    </row>
    <row r="27" spans="1:11" s="116" customFormat="1" x14ac:dyDescent="0.25">
      <c r="A27" s="116" t="s">
        <v>75</v>
      </c>
      <c r="B27" s="106">
        <v>1.05</v>
      </c>
      <c r="C27" s="106">
        <v>1.4</v>
      </c>
      <c r="D27" s="106">
        <v>1.31</v>
      </c>
      <c r="E27" s="106">
        <v>4.4800000000000004</v>
      </c>
      <c r="F27" s="106">
        <v>3.16</v>
      </c>
      <c r="G27" s="106">
        <v>6.66</v>
      </c>
      <c r="H27" s="106">
        <v>8.66</v>
      </c>
      <c r="I27" s="106">
        <v>39.51</v>
      </c>
      <c r="J27" s="106">
        <v>60.36</v>
      </c>
      <c r="K27" s="106">
        <v>388.9</v>
      </c>
    </row>
    <row r="28" spans="1:11" s="116" customFormat="1" x14ac:dyDescent="0.25">
      <c r="A28" s="116" t="s">
        <v>74</v>
      </c>
      <c r="B28" s="106">
        <v>5678.89</v>
      </c>
      <c r="C28" s="106">
        <v>5587.55</v>
      </c>
      <c r="D28" s="106">
        <v>5933.41</v>
      </c>
      <c r="E28" s="106">
        <v>6955.58</v>
      </c>
      <c r="F28" s="106">
        <v>6692.13</v>
      </c>
      <c r="G28" s="106">
        <v>6241.43</v>
      </c>
      <c r="H28" s="106">
        <v>7651.68</v>
      </c>
      <c r="I28" s="106">
        <v>7841.98</v>
      </c>
      <c r="J28" s="106">
        <v>10040.040000000001</v>
      </c>
      <c r="K28" s="106">
        <v>10223.530000000001</v>
      </c>
    </row>
    <row r="29" spans="1:11" s="116" customFormat="1" x14ac:dyDescent="0.25">
      <c r="A29" s="116" t="s">
        <v>73</v>
      </c>
      <c r="B29" s="106">
        <v>1617.65</v>
      </c>
      <c r="C29" s="106">
        <v>1508.07</v>
      </c>
      <c r="D29" s="106">
        <v>1714.47</v>
      </c>
      <c r="E29" s="106">
        <v>2027.98</v>
      </c>
      <c r="F29" s="106">
        <v>1480.22</v>
      </c>
      <c r="G29" s="106">
        <v>1384.41</v>
      </c>
      <c r="H29" s="106">
        <v>1485.81</v>
      </c>
      <c r="I29" s="106">
        <v>1781.77</v>
      </c>
      <c r="J29" s="106">
        <v>2331.8000000000002</v>
      </c>
      <c r="K29" s="106">
        <v>2898.8</v>
      </c>
    </row>
    <row r="30" spans="1:11" s="116" customFormat="1" x14ac:dyDescent="0.25">
      <c r="A30" s="116" t="s">
        <v>72</v>
      </c>
      <c r="B30" s="106">
        <v>4061.24</v>
      </c>
      <c r="C30" s="106">
        <v>4079.49</v>
      </c>
      <c r="D30" s="106">
        <v>4218.95</v>
      </c>
      <c r="E30" s="106">
        <v>4927.6099999999997</v>
      </c>
      <c r="F30" s="106">
        <v>5211.91</v>
      </c>
      <c r="G30" s="106">
        <v>4857.0200000000004</v>
      </c>
      <c r="H30" s="106">
        <v>6165.87</v>
      </c>
      <c r="I30" s="106">
        <v>6060.21</v>
      </c>
      <c r="J30" s="106">
        <v>7708.24</v>
      </c>
      <c r="K30" s="106">
        <v>7324.73</v>
      </c>
    </row>
    <row r="31" spans="1:11" s="116" customFormat="1" x14ac:dyDescent="0.25">
      <c r="A31" s="116" t="s">
        <v>118</v>
      </c>
      <c r="B31" s="106">
        <v>1591.54</v>
      </c>
      <c r="C31" s="106">
        <v>1591.54</v>
      </c>
      <c r="D31" s="106">
        <v>1736.22</v>
      </c>
      <c r="E31" s="106">
        <v>1736.22</v>
      </c>
      <c r="F31" s="106">
        <v>3472.44</v>
      </c>
      <c r="G31" s="106">
        <v>4051.18</v>
      </c>
      <c r="H31" s="106">
        <v>4051.18</v>
      </c>
      <c r="I31" s="106">
        <v>3961.44</v>
      </c>
      <c r="J31" s="106">
        <v>2233.44</v>
      </c>
      <c r="K31" s="106">
        <v>5864.46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12">
        <v>44926</v>
      </c>
      <c r="C41" s="112">
        <v>45016</v>
      </c>
      <c r="D41" s="112">
        <v>45107</v>
      </c>
      <c r="E41" s="112">
        <v>45199</v>
      </c>
      <c r="F41" s="112">
        <v>45291</v>
      </c>
      <c r="G41" s="112">
        <v>45382</v>
      </c>
      <c r="H41" s="112">
        <v>45473</v>
      </c>
      <c r="I41" s="112">
        <v>45565</v>
      </c>
      <c r="J41" s="112">
        <v>45657</v>
      </c>
      <c r="K41" s="112">
        <v>45747</v>
      </c>
    </row>
    <row r="42" spans="1:11" s="116" customFormat="1" x14ac:dyDescent="0.25">
      <c r="A42" s="116" t="s">
        <v>80</v>
      </c>
      <c r="B42" s="106">
        <v>9318.5400000000009</v>
      </c>
      <c r="C42" s="106">
        <v>8929.23</v>
      </c>
      <c r="D42" s="106">
        <v>10311.91</v>
      </c>
      <c r="E42" s="106">
        <v>10838.24</v>
      </c>
      <c r="F42" s="106">
        <v>12165.33</v>
      </c>
      <c r="G42" s="106">
        <v>11554.95</v>
      </c>
      <c r="H42" s="106">
        <v>11932.07</v>
      </c>
      <c r="I42" s="106">
        <v>13247.28</v>
      </c>
      <c r="J42" s="106">
        <v>13168.88</v>
      </c>
      <c r="K42" s="106">
        <v>12646.32</v>
      </c>
    </row>
    <row r="43" spans="1:11" s="116" customFormat="1" x14ac:dyDescent="0.25">
      <c r="A43" s="116" t="s">
        <v>79</v>
      </c>
      <c r="B43" s="106">
        <v>7561.25</v>
      </c>
      <c r="C43" s="106">
        <v>7272.02</v>
      </c>
      <c r="D43" s="106">
        <v>8379.64</v>
      </c>
      <c r="E43" s="106">
        <v>8708.11</v>
      </c>
      <c r="F43" s="106">
        <v>9750.43</v>
      </c>
      <c r="G43" s="106">
        <v>9270.69</v>
      </c>
      <c r="H43" s="106">
        <v>9561.6299999999992</v>
      </c>
      <c r="I43" s="106">
        <v>11174.05</v>
      </c>
      <c r="J43" s="106">
        <v>10418.049999999999</v>
      </c>
      <c r="K43" s="106">
        <v>10288.57</v>
      </c>
    </row>
    <row r="44" spans="1:11" s="116" customFormat="1" x14ac:dyDescent="0.25">
      <c r="A44" s="116" t="s">
        <v>77</v>
      </c>
      <c r="B44" s="106">
        <v>270.52999999999997</v>
      </c>
      <c r="C44" s="106">
        <v>594.66</v>
      </c>
      <c r="D44" s="106">
        <v>351.1</v>
      </c>
      <c r="E44" s="106">
        <v>552.25</v>
      </c>
      <c r="F44" s="106">
        <v>356.33</v>
      </c>
      <c r="G44" s="106">
        <v>443.93</v>
      </c>
      <c r="H44" s="106">
        <v>335.32</v>
      </c>
      <c r="I44" s="106">
        <v>399.33</v>
      </c>
      <c r="J44" s="106">
        <v>347.53</v>
      </c>
      <c r="K44" s="106">
        <v>392.23</v>
      </c>
    </row>
    <row r="45" spans="1:11" s="116" customFormat="1" x14ac:dyDescent="0.25">
      <c r="A45" s="116" t="s">
        <v>76</v>
      </c>
      <c r="B45" s="106">
        <v>74.819999999999993</v>
      </c>
      <c r="C45" s="106">
        <v>75.989999999999995</v>
      </c>
      <c r="D45" s="106">
        <v>87.23</v>
      </c>
      <c r="E45" s="106">
        <v>91.82</v>
      </c>
      <c r="F45" s="106">
        <v>92.91</v>
      </c>
      <c r="G45" s="106">
        <v>92.81</v>
      </c>
      <c r="H45" s="106">
        <v>95.01</v>
      </c>
      <c r="I45" s="106">
        <v>98.27</v>
      </c>
      <c r="J45" s="106">
        <v>101.72</v>
      </c>
      <c r="K45" s="106">
        <v>119.23</v>
      </c>
    </row>
    <row r="46" spans="1:11" s="116" customFormat="1" x14ac:dyDescent="0.25">
      <c r="A46" s="116" t="s">
        <v>75</v>
      </c>
      <c r="B46" s="106">
        <v>8.48</v>
      </c>
      <c r="C46" s="106">
        <v>15.77</v>
      </c>
      <c r="D46" s="106">
        <v>12.09</v>
      </c>
      <c r="E46" s="106">
        <v>6.54</v>
      </c>
      <c r="F46" s="106">
        <v>12.1</v>
      </c>
      <c r="G46" s="106">
        <v>29.63</v>
      </c>
      <c r="H46" s="106">
        <v>46.97</v>
      </c>
      <c r="I46" s="106">
        <v>75.2</v>
      </c>
      <c r="J46" s="106">
        <v>120.21</v>
      </c>
      <c r="K46" s="106">
        <v>146.52000000000001</v>
      </c>
    </row>
    <row r="47" spans="1:11" s="116" customFormat="1" x14ac:dyDescent="0.25">
      <c r="A47" s="116" t="s">
        <v>74</v>
      </c>
      <c r="B47" s="106">
        <v>1944.52</v>
      </c>
      <c r="C47" s="106">
        <v>2160.11</v>
      </c>
      <c r="D47" s="106">
        <v>2184.0500000000002</v>
      </c>
      <c r="E47" s="106">
        <v>2584.02</v>
      </c>
      <c r="F47" s="106">
        <v>2666.22</v>
      </c>
      <c r="G47" s="106">
        <v>2605.75</v>
      </c>
      <c r="H47" s="106">
        <v>2563.7800000000002</v>
      </c>
      <c r="I47" s="106">
        <v>2299.09</v>
      </c>
      <c r="J47" s="106">
        <v>2876.43</v>
      </c>
      <c r="K47" s="106">
        <v>2484.23</v>
      </c>
    </row>
    <row r="48" spans="1:11" s="116" customFormat="1" x14ac:dyDescent="0.25">
      <c r="A48" s="116" t="s">
        <v>73</v>
      </c>
      <c r="B48" s="106">
        <v>471.82</v>
      </c>
      <c r="C48" s="106">
        <v>455.37</v>
      </c>
      <c r="D48" s="106">
        <v>539.91</v>
      </c>
      <c r="E48" s="106">
        <v>563.97</v>
      </c>
      <c r="F48" s="106">
        <v>633.6</v>
      </c>
      <c r="G48" s="106">
        <v>594.32000000000005</v>
      </c>
      <c r="H48" s="106">
        <v>621.99</v>
      </c>
      <c r="I48" s="106">
        <v>913.65</v>
      </c>
      <c r="J48" s="106">
        <v>680.78</v>
      </c>
      <c r="K48" s="106">
        <v>682.38</v>
      </c>
    </row>
    <row r="49" spans="1:11" s="116" customFormat="1" x14ac:dyDescent="0.25">
      <c r="A49" s="116" t="s">
        <v>72</v>
      </c>
      <c r="B49" s="106">
        <v>1472.7</v>
      </c>
      <c r="C49" s="106">
        <v>1704.74</v>
      </c>
      <c r="D49" s="106">
        <v>1644.14</v>
      </c>
      <c r="E49" s="106">
        <v>2020.05</v>
      </c>
      <c r="F49" s="106">
        <v>2032.62</v>
      </c>
      <c r="G49" s="106">
        <v>2011.43</v>
      </c>
      <c r="H49" s="106">
        <v>1941.79</v>
      </c>
      <c r="I49" s="106">
        <v>1385.44</v>
      </c>
      <c r="J49" s="106">
        <v>2195.65</v>
      </c>
      <c r="K49" s="106">
        <v>1801.85</v>
      </c>
    </row>
    <row r="50" spans="1:11" x14ac:dyDescent="0.25">
      <c r="A50" s="116" t="s">
        <v>78</v>
      </c>
      <c r="B50" s="106">
        <v>1757.29</v>
      </c>
      <c r="C50" s="106">
        <v>1657.21</v>
      </c>
      <c r="D50" s="106">
        <v>1932.27</v>
      </c>
      <c r="E50" s="106">
        <v>2130.13</v>
      </c>
      <c r="F50" s="106">
        <v>2414.9</v>
      </c>
      <c r="G50" s="106">
        <v>2284.2600000000002</v>
      </c>
      <c r="H50" s="106">
        <v>2370.44</v>
      </c>
      <c r="I50" s="106">
        <v>2073.23</v>
      </c>
      <c r="J50" s="106">
        <v>2750.83</v>
      </c>
      <c r="K50" s="106">
        <v>2357.75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12">
        <v>42460</v>
      </c>
      <c r="C56" s="112">
        <v>42825</v>
      </c>
      <c r="D56" s="112">
        <v>43190</v>
      </c>
      <c r="E56" s="112">
        <v>43555</v>
      </c>
      <c r="F56" s="112">
        <v>43921</v>
      </c>
      <c r="G56" s="112">
        <v>44286</v>
      </c>
      <c r="H56" s="112">
        <v>44651</v>
      </c>
      <c r="I56" s="112">
        <v>45016</v>
      </c>
      <c r="J56" s="112">
        <v>45382</v>
      </c>
      <c r="K56" s="112">
        <v>45747</v>
      </c>
    </row>
    <row r="57" spans="1:11" x14ac:dyDescent="0.25">
      <c r="A57" s="116" t="s">
        <v>101</v>
      </c>
      <c r="B57" s="106">
        <v>289.37</v>
      </c>
      <c r="C57" s="106">
        <v>289.37</v>
      </c>
      <c r="D57" s="106">
        <v>289.37</v>
      </c>
      <c r="E57" s="106">
        <v>289.37</v>
      </c>
      <c r="F57" s="106">
        <v>289.37</v>
      </c>
      <c r="G57" s="106">
        <v>289.37</v>
      </c>
      <c r="H57" s="106">
        <v>289.37</v>
      </c>
      <c r="I57" s="106">
        <v>282.95999999999998</v>
      </c>
      <c r="J57" s="106">
        <v>279.18</v>
      </c>
      <c r="K57" s="106">
        <v>279.26</v>
      </c>
    </row>
    <row r="58" spans="1:11" x14ac:dyDescent="0.25">
      <c r="A58" s="116" t="s">
        <v>100</v>
      </c>
      <c r="B58" s="106">
        <v>13730.94</v>
      </c>
      <c r="C58" s="106">
        <v>17567.2</v>
      </c>
      <c r="D58" s="106">
        <v>20135.87</v>
      </c>
      <c r="E58" s="106">
        <v>22944.44</v>
      </c>
      <c r="F58" s="106">
        <v>21372.71</v>
      </c>
      <c r="G58" s="106">
        <v>26984.06</v>
      </c>
      <c r="H58" s="106">
        <v>29570.28</v>
      </c>
      <c r="I58" s="106">
        <v>29078.58</v>
      </c>
      <c r="J58" s="106">
        <v>28683.23</v>
      </c>
      <c r="K58" s="106">
        <v>34909.480000000003</v>
      </c>
    </row>
    <row r="59" spans="1:11" x14ac:dyDescent="0.25">
      <c r="A59" s="116" t="s">
        <v>99</v>
      </c>
      <c r="B59" s="106">
        <v>117.86</v>
      </c>
      <c r="C59" s="106">
        <v>119.9</v>
      </c>
      <c r="D59" s="106">
        <v>120.77</v>
      </c>
      <c r="E59" s="106">
        <v>124.52</v>
      </c>
      <c r="F59" s="106">
        <v>125.59</v>
      </c>
      <c r="G59" s="106">
        <v>121.46</v>
      </c>
      <c r="H59" s="106">
        <v>122.77</v>
      </c>
      <c r="I59" s="106">
        <v>124.23</v>
      </c>
      <c r="J59" s="106">
        <v>1911.74</v>
      </c>
      <c r="K59" s="106">
        <v>9364.16</v>
      </c>
    </row>
    <row r="60" spans="1:11" x14ac:dyDescent="0.25">
      <c r="A60" s="116" t="s">
        <v>98</v>
      </c>
      <c r="B60" s="106">
        <v>3102.2</v>
      </c>
      <c r="C60" s="106">
        <v>3661.15</v>
      </c>
      <c r="D60" s="106">
        <v>4594.99</v>
      </c>
      <c r="E60" s="106">
        <v>5476.08</v>
      </c>
      <c r="F60" s="106">
        <v>4722.3500000000004</v>
      </c>
      <c r="G60" s="106">
        <v>6206.82</v>
      </c>
      <c r="H60" s="106">
        <v>5128.79</v>
      </c>
      <c r="I60" s="106">
        <v>5650.68</v>
      </c>
      <c r="J60" s="106">
        <v>8469.5400000000009</v>
      </c>
      <c r="K60" s="106">
        <v>9645.7099999999991</v>
      </c>
    </row>
    <row r="61" spans="1:11" s="115" customFormat="1" x14ac:dyDescent="0.25">
      <c r="A61" s="115" t="s">
        <v>93</v>
      </c>
      <c r="B61" s="106">
        <v>17240.37</v>
      </c>
      <c r="C61" s="106">
        <v>21637.62</v>
      </c>
      <c r="D61" s="106">
        <v>25141</v>
      </c>
      <c r="E61" s="106">
        <v>28834.41</v>
      </c>
      <c r="F61" s="106">
        <v>26510.02</v>
      </c>
      <c r="G61" s="106">
        <v>33601.71</v>
      </c>
      <c r="H61" s="106">
        <v>35111.21</v>
      </c>
      <c r="I61" s="106">
        <v>35136.449999999997</v>
      </c>
      <c r="J61" s="106">
        <v>39343.69</v>
      </c>
      <c r="K61" s="106">
        <v>54198.61</v>
      </c>
    </row>
    <row r="62" spans="1:11" x14ac:dyDescent="0.25">
      <c r="A62" s="116" t="s">
        <v>97</v>
      </c>
      <c r="B62" s="106">
        <v>2025.67</v>
      </c>
      <c r="C62" s="106">
        <v>2001.79</v>
      </c>
      <c r="D62" s="106">
        <v>1878.33</v>
      </c>
      <c r="E62" s="106">
        <v>1763.94</v>
      </c>
      <c r="F62" s="106">
        <v>1699.02</v>
      </c>
      <c r="G62" s="106">
        <v>1667.55</v>
      </c>
      <c r="H62" s="106">
        <v>1836.05</v>
      </c>
      <c r="I62" s="106">
        <v>2842.24</v>
      </c>
      <c r="J62" s="106">
        <v>3217.37</v>
      </c>
      <c r="K62" s="106">
        <v>3708.19</v>
      </c>
    </row>
    <row r="63" spans="1:11" x14ac:dyDescent="0.25">
      <c r="A63" s="116" t="s">
        <v>96</v>
      </c>
      <c r="B63" s="106">
        <v>52.24</v>
      </c>
      <c r="C63" s="106">
        <v>42.17</v>
      </c>
      <c r="D63" s="106">
        <v>56.47</v>
      </c>
      <c r="E63" s="106">
        <v>48.02</v>
      </c>
      <c r="F63" s="106">
        <v>60.19</v>
      </c>
      <c r="G63" s="106">
        <v>15.98</v>
      </c>
      <c r="H63" s="106">
        <v>77.209999999999994</v>
      </c>
      <c r="I63" s="106">
        <v>85.27</v>
      </c>
      <c r="J63" s="106">
        <v>35.1</v>
      </c>
      <c r="K63" s="106">
        <v>29.2</v>
      </c>
    </row>
    <row r="64" spans="1:11" x14ac:dyDescent="0.25">
      <c r="A64" s="116" t="s">
        <v>95</v>
      </c>
      <c r="B64" s="106">
        <v>11067.23</v>
      </c>
      <c r="C64" s="106">
        <v>15477.04</v>
      </c>
      <c r="D64" s="106">
        <v>18894.57</v>
      </c>
      <c r="E64" s="106">
        <v>20602.849999999999</v>
      </c>
      <c r="F64" s="106">
        <v>19913.580000000002</v>
      </c>
      <c r="G64" s="106">
        <v>24686.65</v>
      </c>
      <c r="H64" s="106">
        <v>26634.12</v>
      </c>
      <c r="I64" s="106">
        <v>26182.91</v>
      </c>
      <c r="J64" s="106">
        <v>28086.68</v>
      </c>
      <c r="K64" s="106">
        <v>28913.87</v>
      </c>
    </row>
    <row r="65" spans="1:11" x14ac:dyDescent="0.25">
      <c r="A65" s="116" t="s">
        <v>94</v>
      </c>
      <c r="B65" s="106">
        <v>4095.23</v>
      </c>
      <c r="C65" s="106">
        <v>4116.62</v>
      </c>
      <c r="D65" s="106">
        <v>4311.63</v>
      </c>
      <c r="E65" s="106">
        <v>6419.6</v>
      </c>
      <c r="F65" s="106">
        <v>4837.2299999999996</v>
      </c>
      <c r="G65" s="106">
        <v>7231.53</v>
      </c>
      <c r="H65" s="106">
        <v>6563.83</v>
      </c>
      <c r="I65" s="106">
        <v>6026.03</v>
      </c>
      <c r="J65" s="106">
        <v>8004.54</v>
      </c>
      <c r="K65" s="106">
        <v>21547.35</v>
      </c>
    </row>
    <row r="66" spans="1:11" s="115" customFormat="1" x14ac:dyDescent="0.25">
      <c r="A66" s="115" t="s">
        <v>93</v>
      </c>
      <c r="B66" s="106">
        <v>17240.37</v>
      </c>
      <c r="C66" s="106">
        <v>21637.62</v>
      </c>
      <c r="D66" s="106">
        <v>25141</v>
      </c>
      <c r="E66" s="106">
        <v>28834.41</v>
      </c>
      <c r="F66" s="106">
        <v>26510.02</v>
      </c>
      <c r="G66" s="106">
        <v>33601.71</v>
      </c>
      <c r="H66" s="106">
        <v>35111.21</v>
      </c>
      <c r="I66" s="106">
        <v>35136.449999999997</v>
      </c>
      <c r="J66" s="106">
        <v>39343.69</v>
      </c>
      <c r="K66" s="106">
        <v>54198.61</v>
      </c>
    </row>
    <row r="67" spans="1:11" s="116" customFormat="1" x14ac:dyDescent="0.25">
      <c r="A67" s="116" t="s">
        <v>115</v>
      </c>
      <c r="B67" s="106">
        <v>717.93</v>
      </c>
      <c r="C67" s="106">
        <v>953.29</v>
      </c>
      <c r="D67" s="106">
        <v>1491.87</v>
      </c>
      <c r="E67" s="106">
        <v>2559.69</v>
      </c>
      <c r="F67" s="106">
        <v>1725.1</v>
      </c>
      <c r="G67" s="106">
        <v>2716.85</v>
      </c>
      <c r="H67" s="106">
        <v>1516.38</v>
      </c>
      <c r="I67" s="106">
        <v>1752.43</v>
      </c>
      <c r="J67" s="106">
        <v>2075.5300000000002</v>
      </c>
      <c r="K67" s="106">
        <v>2125.2199999999998</v>
      </c>
    </row>
    <row r="68" spans="1:11" x14ac:dyDescent="0.25">
      <c r="A68" s="116" t="s">
        <v>90</v>
      </c>
      <c r="B68" s="106">
        <v>719.07</v>
      </c>
      <c r="C68" s="106">
        <v>728.38</v>
      </c>
      <c r="D68" s="106">
        <v>742.58</v>
      </c>
      <c r="E68" s="106">
        <v>961.51</v>
      </c>
      <c r="F68" s="106">
        <v>1063.5</v>
      </c>
      <c r="G68" s="106">
        <v>1493.89</v>
      </c>
      <c r="H68" s="106">
        <v>1230.51</v>
      </c>
      <c r="I68" s="106">
        <v>1563.55</v>
      </c>
      <c r="J68" s="106">
        <v>1688.75</v>
      </c>
      <c r="K68" s="106">
        <v>2077.36</v>
      </c>
    </row>
    <row r="69" spans="1:11" x14ac:dyDescent="0.25">
      <c r="A69" s="109" t="s">
        <v>114</v>
      </c>
      <c r="B69" s="106">
        <v>867.03</v>
      </c>
      <c r="C69" s="106">
        <v>301.36</v>
      </c>
      <c r="D69" s="106">
        <v>792.66</v>
      </c>
      <c r="E69" s="106">
        <v>933.07</v>
      </c>
      <c r="F69" s="106">
        <v>316.33999999999997</v>
      </c>
      <c r="G69" s="106">
        <v>538.84</v>
      </c>
      <c r="H69" s="106">
        <v>958.06</v>
      </c>
      <c r="I69" s="106">
        <v>690.48</v>
      </c>
      <c r="J69" s="106">
        <v>955.32</v>
      </c>
      <c r="K69" s="106">
        <v>2847.6</v>
      </c>
    </row>
    <row r="70" spans="1:11" x14ac:dyDescent="0.25">
      <c r="A70" s="109" t="s">
        <v>113</v>
      </c>
      <c r="B70" s="106">
        <v>289367020</v>
      </c>
      <c r="C70" s="106">
        <v>289367020</v>
      </c>
      <c r="D70" s="106">
        <v>289367020</v>
      </c>
      <c r="E70" s="106">
        <v>289367020</v>
      </c>
      <c r="F70" s="106">
        <v>289367020</v>
      </c>
      <c r="G70" s="106">
        <v>289367020</v>
      </c>
      <c r="H70" s="106">
        <v>289367020</v>
      </c>
      <c r="I70" s="106">
        <v>282957358</v>
      </c>
      <c r="J70" s="106">
        <v>279179756</v>
      </c>
    </row>
    <row r="71" spans="1:11" x14ac:dyDescent="0.25">
      <c r="A71" s="109" t="s">
        <v>112</v>
      </c>
    </row>
    <row r="72" spans="1:11" x14ac:dyDescent="0.25">
      <c r="A72" s="109" t="s">
        <v>111</v>
      </c>
      <c r="B72" s="106">
        <v>10</v>
      </c>
      <c r="C72" s="106">
        <v>10</v>
      </c>
      <c r="D72" s="106">
        <v>10</v>
      </c>
      <c r="E72" s="106">
        <v>10</v>
      </c>
      <c r="F72" s="106">
        <v>10</v>
      </c>
      <c r="G72" s="106">
        <v>10</v>
      </c>
      <c r="H72" s="106">
        <v>10</v>
      </c>
      <c r="I72" s="106">
        <v>10</v>
      </c>
      <c r="J72" s="106">
        <v>10</v>
      </c>
      <c r="K72" s="106">
        <v>10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12">
        <v>42460</v>
      </c>
      <c r="C81" s="112">
        <v>42825</v>
      </c>
      <c r="D81" s="112">
        <v>43190</v>
      </c>
      <c r="E81" s="112">
        <v>43555</v>
      </c>
      <c r="F81" s="112">
        <v>43921</v>
      </c>
      <c r="G81" s="112">
        <v>44286</v>
      </c>
      <c r="H81" s="112">
        <v>44651</v>
      </c>
      <c r="I81" s="112">
        <v>45016</v>
      </c>
      <c r="J81" s="112">
        <v>45382</v>
      </c>
      <c r="K81" s="112">
        <v>45747</v>
      </c>
    </row>
    <row r="82" spans="1:11" s="115" customFormat="1" x14ac:dyDescent="0.25">
      <c r="A82" s="116" t="s">
        <v>108</v>
      </c>
      <c r="B82" s="106">
        <v>3689.85</v>
      </c>
      <c r="C82" s="106">
        <v>3267.36</v>
      </c>
      <c r="D82" s="106">
        <v>4327.84</v>
      </c>
      <c r="E82" s="106">
        <v>2486.86</v>
      </c>
      <c r="F82" s="106">
        <v>3850.44</v>
      </c>
      <c r="G82" s="106">
        <v>3119.88</v>
      </c>
      <c r="H82" s="106">
        <v>4197.21</v>
      </c>
      <c r="I82" s="106">
        <v>5277.42</v>
      </c>
      <c r="J82" s="106">
        <v>6558.16</v>
      </c>
      <c r="K82" s="106">
        <v>-1405.57</v>
      </c>
    </row>
    <row r="83" spans="1:11" s="116" customFormat="1" x14ac:dyDescent="0.25">
      <c r="A83" s="116" t="s">
        <v>107</v>
      </c>
      <c r="B83" s="106">
        <v>-67.52</v>
      </c>
      <c r="C83" s="106">
        <v>-3609.68</v>
      </c>
      <c r="D83" s="106">
        <v>-1954.48</v>
      </c>
      <c r="E83" s="106">
        <v>-272.77</v>
      </c>
      <c r="F83" s="106">
        <v>1765.83</v>
      </c>
      <c r="G83" s="106">
        <v>-2869.15</v>
      </c>
      <c r="H83" s="106">
        <v>276.2</v>
      </c>
      <c r="I83" s="106">
        <v>1211.21</v>
      </c>
      <c r="J83" s="106">
        <v>-71.97</v>
      </c>
      <c r="K83" s="106">
        <v>-1056.27</v>
      </c>
    </row>
    <row r="84" spans="1:11" s="116" customFormat="1" x14ac:dyDescent="0.25">
      <c r="A84" s="116" t="s">
        <v>106</v>
      </c>
      <c r="B84" s="106">
        <v>-3384.08</v>
      </c>
      <c r="C84" s="106">
        <v>-190.09</v>
      </c>
      <c r="D84" s="106">
        <v>-1885.26</v>
      </c>
      <c r="E84" s="106">
        <v>-2074.0500000000002</v>
      </c>
      <c r="F84" s="106">
        <v>-6246.51</v>
      </c>
      <c r="G84" s="106">
        <v>-19.52</v>
      </c>
      <c r="H84" s="106">
        <v>-4056.33</v>
      </c>
      <c r="I84" s="106">
        <v>-7180.7</v>
      </c>
      <c r="J84" s="106">
        <v>-6167.36</v>
      </c>
      <c r="K84" s="106">
        <v>4230.07</v>
      </c>
    </row>
    <row r="85" spans="1:11" s="115" customFormat="1" x14ac:dyDescent="0.25">
      <c r="A85" s="116" t="s">
        <v>105</v>
      </c>
      <c r="B85" s="106">
        <v>238.25</v>
      </c>
      <c r="C85" s="106">
        <v>-532.41</v>
      </c>
      <c r="D85" s="106">
        <v>488.1</v>
      </c>
      <c r="E85" s="106">
        <v>140.04</v>
      </c>
      <c r="F85" s="106">
        <v>-630.24</v>
      </c>
      <c r="G85" s="106">
        <v>231.21</v>
      </c>
      <c r="H85" s="106">
        <v>417.08</v>
      </c>
      <c r="I85" s="106">
        <v>-692.07</v>
      </c>
      <c r="J85" s="106">
        <v>318.83</v>
      </c>
      <c r="K85" s="106">
        <v>1768.23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B90" s="106">
        <v>2405.9499999999998</v>
      </c>
      <c r="C90" s="106">
        <v>2805.45</v>
      </c>
      <c r="D90" s="106">
        <v>2744.7</v>
      </c>
      <c r="E90" s="106">
        <v>2911.1</v>
      </c>
      <c r="F90" s="106">
        <v>2022.35</v>
      </c>
      <c r="G90" s="106">
        <v>3670.6</v>
      </c>
      <c r="H90" s="106">
        <v>3653</v>
      </c>
      <c r="I90" s="106">
        <v>3884.75</v>
      </c>
      <c r="J90" s="106">
        <v>9148.15</v>
      </c>
      <c r="K90" s="106">
        <v>7878.85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v>28.94</v>
      </c>
      <c r="C93" s="114">
        <v>28.94</v>
      </c>
      <c r="D93" s="114">
        <v>28.94</v>
      </c>
      <c r="E93" s="114">
        <v>28.94</v>
      </c>
      <c r="F93" s="114">
        <v>28.94</v>
      </c>
      <c r="G93" s="114">
        <v>28.94</v>
      </c>
      <c r="H93" s="114">
        <v>28.94</v>
      </c>
      <c r="I93" s="114">
        <v>28.3</v>
      </c>
      <c r="J93" s="114">
        <v>27.92</v>
      </c>
      <c r="K93" s="114">
        <v>27.93</v>
      </c>
    </row>
  </sheetData>
  <mergeCells count="2">
    <mergeCell ref="E1:K1"/>
    <mergeCell ref="E2:K2"/>
  </mergeCells>
  <conditionalFormatting sqref="E1:K1">
    <cfRule type="cellIs" dxfId="2" priority="1" operator="notEqual">
      <formula>""</formula>
    </cfRule>
  </conditionalFormatting>
  <hyperlinks>
    <hyperlink ref="E1:K1" r:id="rId1" display="https://www.screener.in/excel/" xr:uid="{481F8ACA-7CE2-478A-919D-2EDD20DEE050}"/>
  </hyperlinks>
  <pageMargins left="0.7" right="0.7" top="0.75" bottom="0.75" header="0.3" footer="0.3"/>
  <pageSetup paperSize="9"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412A-35CC-4AD9-9561-64077891E99A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C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0.7109375" style="106" customWidth="1"/>
    <col min="2" max="6" width="13.42578125" style="106" customWidth="1"/>
    <col min="7" max="7" width="14.85546875" style="106" bestFit="1" customWidth="1"/>
    <col min="8" max="11" width="13.42578125" style="106" customWidth="1"/>
    <col min="12" max="12" width="13.28515625" style="106" customWidth="1"/>
    <col min="13" max="14" width="12.140625" style="106" customWidth="1"/>
    <col min="15" max="16384" width="8.85546875" style="106"/>
  </cols>
  <sheetData>
    <row r="1" spans="1:14" s="107" customFormat="1" x14ac:dyDescent="0.25">
      <c r="A1" s="107" t="str">
        <f>'[2]Data Sheet'!B1</f>
        <v>ASHOK LEYLAND LTD</v>
      </c>
      <c r="H1" s="106">
        <f>UPDATE</f>
        <v>0</v>
      </c>
      <c r="J1" s="123"/>
      <c r="K1" s="123"/>
      <c r="M1" s="107" t="s">
        <v>85</v>
      </c>
    </row>
    <row r="3" spans="1:14" s="107" customFormat="1" x14ac:dyDescent="0.25">
      <c r="A3" s="113" t="s">
        <v>84</v>
      </c>
      <c r="B3" s="112">
        <f>'[2]Data Sheet'!B16</f>
        <v>42460</v>
      </c>
      <c r="C3" s="112">
        <f>'[2]Data Sheet'!C16</f>
        <v>42825</v>
      </c>
      <c r="D3" s="112">
        <f>'[2]Data Sheet'!D16</f>
        <v>43190</v>
      </c>
      <c r="E3" s="112">
        <f>'[2]Data Sheet'!E16</f>
        <v>43555</v>
      </c>
      <c r="F3" s="112">
        <f>'[2]Data Sheet'!F16</f>
        <v>43921</v>
      </c>
      <c r="G3" s="112">
        <f>'[2]Data Sheet'!G16</f>
        <v>44286</v>
      </c>
      <c r="H3" s="112">
        <f>'[2]Data Sheet'!H16</f>
        <v>44651</v>
      </c>
      <c r="I3" s="112">
        <f>'[2]Data Sheet'!I16</f>
        <v>45016</v>
      </c>
      <c r="J3" s="112">
        <f>'[2]Data Sheet'!J16</f>
        <v>45382</v>
      </c>
      <c r="K3" s="112">
        <f>'[2]Data Sheet'!K16</f>
        <v>45747</v>
      </c>
      <c r="L3" s="121" t="s">
        <v>83</v>
      </c>
      <c r="M3" s="121" t="s">
        <v>82</v>
      </c>
      <c r="N3" s="121" t="s">
        <v>81</v>
      </c>
    </row>
    <row r="4" spans="1:14" s="107" customFormat="1" x14ac:dyDescent="0.25">
      <c r="A4" s="107" t="s">
        <v>80</v>
      </c>
      <c r="B4" s="115">
        <f>'[2]Data Sheet'!B17</f>
        <v>21259.9</v>
      </c>
      <c r="C4" s="115">
        <f>'[2]Data Sheet'!C17</f>
        <v>22870.959999999999</v>
      </c>
      <c r="D4" s="115">
        <f>'[2]Data Sheet'!D17</f>
        <v>29635.59</v>
      </c>
      <c r="E4" s="115">
        <f>'[2]Data Sheet'!E17</f>
        <v>33196.839999999997</v>
      </c>
      <c r="F4" s="115">
        <f>'[2]Data Sheet'!F17</f>
        <v>21951.27</v>
      </c>
      <c r="G4" s="115">
        <f>'[2]Data Sheet'!G17</f>
        <v>19454.099999999999</v>
      </c>
      <c r="H4" s="115">
        <f>'[2]Data Sheet'!H17</f>
        <v>26237.15</v>
      </c>
      <c r="I4" s="115">
        <f>'[2]Data Sheet'!I17</f>
        <v>41672.6</v>
      </c>
      <c r="J4" s="115">
        <f>'[2]Data Sheet'!J17</f>
        <v>45790.64</v>
      </c>
      <c r="K4" s="115">
        <f>'[2]Data Sheet'!K17</f>
        <v>48535.14</v>
      </c>
      <c r="L4" s="115">
        <f>SUM([2]Quarters!H4:K4)</f>
        <v>0</v>
      </c>
      <c r="M4" s="115">
        <f>$K4+M23*K4</f>
        <v>59580.319736487247</v>
      </c>
      <c r="N4" s="115">
        <f>$K4+N23*L4</f>
        <v>48535.14</v>
      </c>
    </row>
    <row r="5" spans="1:14" x14ac:dyDescent="0.25">
      <c r="A5" s="106" t="s">
        <v>79</v>
      </c>
      <c r="B5" s="116">
        <f>SUM('[2]Data Sheet'!B18,'[2]Data Sheet'!B20:B24, -1*'[2]Data Sheet'!B19)</f>
        <v>18280.979999999996</v>
      </c>
      <c r="C5" s="116">
        <f>SUM('[2]Data Sheet'!C18,'[2]Data Sheet'!C20:C24, -1*'[2]Data Sheet'!C19)</f>
        <v>19826.009999999998</v>
      </c>
      <c r="D5" s="116">
        <f>SUM('[2]Data Sheet'!D18,'[2]Data Sheet'!D20:D24, -1*'[2]Data Sheet'!D19)</f>
        <v>25387.16</v>
      </c>
      <c r="E5" s="116">
        <f>SUM('[2]Data Sheet'!E18,'[2]Data Sheet'!E20:E24, -1*'[2]Data Sheet'!E19)</f>
        <v>28286.839999999997</v>
      </c>
      <c r="F5" s="116">
        <f>SUM('[2]Data Sheet'!F18,'[2]Data Sheet'!F20:F24, -1*'[2]Data Sheet'!F19)</f>
        <v>18717.920000000002</v>
      </c>
      <c r="G5" s="116">
        <f>SUM('[2]Data Sheet'!G18,'[2]Data Sheet'!G20:G24, -1*'[2]Data Sheet'!G19)</f>
        <v>16992.16</v>
      </c>
      <c r="H5" s="116">
        <f>SUM('[2]Data Sheet'!H18,'[2]Data Sheet'!H20:H24, -1*'[2]Data Sheet'!H19)</f>
        <v>23471.91</v>
      </c>
      <c r="I5" s="116">
        <f>SUM('[2]Data Sheet'!I18,'[2]Data Sheet'!I20:I24, -1*'[2]Data Sheet'!I19)</f>
        <v>36579.699999999997</v>
      </c>
      <c r="J5" s="116">
        <f>SUM('[2]Data Sheet'!J18,'[2]Data Sheet'!J20:J24, -1*'[2]Data Sheet'!J19)</f>
        <v>37847.769999999997</v>
      </c>
      <c r="K5" s="116">
        <f>SUM('[2]Data Sheet'!K18,'[2]Data Sheet'!K20:K24, -1*'[2]Data Sheet'!K19)</f>
        <v>39327.39</v>
      </c>
      <c r="L5" s="116">
        <f>SUM([2]Quarters!H5:K5)</f>
        <v>0</v>
      </c>
      <c r="M5" s="116">
        <f>M4-M6</f>
        <v>49835.526940683732</v>
      </c>
      <c r="N5" s="116">
        <f>N4-N6</f>
        <v>48535.14</v>
      </c>
    </row>
    <row r="6" spans="1:14" s="107" customFormat="1" x14ac:dyDescent="0.25">
      <c r="A6" s="107" t="s">
        <v>78</v>
      </c>
      <c r="B6" s="115">
        <f t="shared" ref="B6:K6" si="0">B4-B5</f>
        <v>2978.9200000000055</v>
      </c>
      <c r="C6" s="115">
        <f t="shared" si="0"/>
        <v>3044.9500000000007</v>
      </c>
      <c r="D6" s="115">
        <f t="shared" si="0"/>
        <v>4248.43</v>
      </c>
      <c r="E6" s="115">
        <f t="shared" si="0"/>
        <v>4910</v>
      </c>
      <c r="F6" s="115">
        <f t="shared" si="0"/>
        <v>3233.3499999999985</v>
      </c>
      <c r="G6" s="115">
        <f t="shared" si="0"/>
        <v>2461.9399999999987</v>
      </c>
      <c r="H6" s="115">
        <f t="shared" si="0"/>
        <v>2765.2400000000016</v>
      </c>
      <c r="I6" s="115">
        <f t="shared" si="0"/>
        <v>5092.9000000000015</v>
      </c>
      <c r="J6" s="115">
        <f t="shared" si="0"/>
        <v>7942.8700000000026</v>
      </c>
      <c r="K6" s="115">
        <f t="shared" si="0"/>
        <v>9207.75</v>
      </c>
      <c r="L6" s="115">
        <f>SUM([2]Quarters!H6:K6)</f>
        <v>0</v>
      </c>
      <c r="M6" s="115">
        <f>M4*M24</f>
        <v>9744.7927958035161</v>
      </c>
      <c r="N6" s="115">
        <f>N4*N24</f>
        <v>0</v>
      </c>
    </row>
    <row r="7" spans="1:14" x14ac:dyDescent="0.25">
      <c r="A7" s="106" t="s">
        <v>77</v>
      </c>
      <c r="B7" s="116">
        <f>'[2]Data Sheet'!B25</f>
        <v>-321.19</v>
      </c>
      <c r="C7" s="116">
        <f>'[2]Data Sheet'!C25</f>
        <v>405.67</v>
      </c>
      <c r="D7" s="116">
        <f>'[2]Data Sheet'!D25</f>
        <v>189.77</v>
      </c>
      <c r="E7" s="116">
        <f>'[2]Data Sheet'!E25</f>
        <v>139.46</v>
      </c>
      <c r="F7" s="116">
        <f>'[2]Data Sheet'!F25</f>
        <v>57.45</v>
      </c>
      <c r="G7" s="116">
        <f>'[2]Data Sheet'!G25</f>
        <v>207.24</v>
      </c>
      <c r="H7" s="116">
        <f>'[2]Data Sheet'!H25</f>
        <v>-229.82</v>
      </c>
      <c r="I7" s="116">
        <f>'[2]Data Sheet'!I25</f>
        <v>165.75</v>
      </c>
      <c r="J7" s="116">
        <f>'[2]Data Sheet'!J25</f>
        <v>72.739999999999995</v>
      </c>
      <c r="K7" s="116">
        <f>'[2]Data Sheet'!K25</f>
        <v>405.44</v>
      </c>
      <c r="L7" s="116">
        <f>SUM([2]Quarters!H7:K7)</f>
        <v>0</v>
      </c>
      <c r="M7" s="116">
        <v>0</v>
      </c>
      <c r="N7" s="116">
        <v>0</v>
      </c>
    </row>
    <row r="8" spans="1:14" x14ac:dyDescent="0.25">
      <c r="A8" s="106" t="s">
        <v>76</v>
      </c>
      <c r="B8" s="116">
        <f>'[2]Data Sheet'!B26</f>
        <v>523.94000000000005</v>
      </c>
      <c r="C8" s="116">
        <f>'[2]Data Sheet'!C26</f>
        <v>572.79</v>
      </c>
      <c r="D8" s="116">
        <f>'[2]Data Sheet'!D26</f>
        <v>645.89</v>
      </c>
      <c r="E8" s="116">
        <f>'[2]Data Sheet'!E26</f>
        <v>675.56</v>
      </c>
      <c r="F8" s="116">
        <f>'[2]Data Sheet'!F26</f>
        <v>749.99</v>
      </c>
      <c r="G8" s="116">
        <f>'[2]Data Sheet'!G26</f>
        <v>835.62</v>
      </c>
      <c r="H8" s="116">
        <f>'[2]Data Sheet'!H26</f>
        <v>865.96</v>
      </c>
      <c r="I8" s="116">
        <f>'[2]Data Sheet'!I26</f>
        <v>900.22</v>
      </c>
      <c r="J8" s="116">
        <f>'[2]Data Sheet'!J26</f>
        <v>927.29</v>
      </c>
      <c r="K8" s="116">
        <f>'[2]Data Sheet'!K26</f>
        <v>1086.6500000000001</v>
      </c>
      <c r="L8" s="116">
        <f>SUM([2]Quarters!H8:K8)</f>
        <v>0</v>
      </c>
      <c r="M8" s="116">
        <f>+$L8</f>
        <v>0</v>
      </c>
      <c r="N8" s="116">
        <f>+$L8</f>
        <v>0</v>
      </c>
    </row>
    <row r="9" spans="1:14" x14ac:dyDescent="0.25">
      <c r="A9" s="106" t="s">
        <v>75</v>
      </c>
      <c r="B9" s="116">
        <f>'[2]Data Sheet'!B27</f>
        <v>925.05</v>
      </c>
      <c r="C9" s="116">
        <f>'[2]Data Sheet'!C27</f>
        <v>1048.8</v>
      </c>
      <c r="D9" s="116">
        <f>'[2]Data Sheet'!D27</f>
        <v>1227.3800000000001</v>
      </c>
      <c r="E9" s="116">
        <f>'[2]Data Sheet'!E27</f>
        <v>1502.24</v>
      </c>
      <c r="F9" s="116">
        <f>'[2]Data Sheet'!F27</f>
        <v>1801.65</v>
      </c>
      <c r="G9" s="116">
        <f>'[2]Data Sheet'!G27</f>
        <v>1900.64</v>
      </c>
      <c r="H9" s="116">
        <f>'[2]Data Sheet'!H27</f>
        <v>1869.05</v>
      </c>
      <c r="I9" s="116">
        <f>'[2]Data Sheet'!I27</f>
        <v>2093.5</v>
      </c>
      <c r="J9" s="116">
        <f>'[2]Data Sheet'!J27</f>
        <v>2982.25</v>
      </c>
      <c r="K9" s="116">
        <f>'[2]Data Sheet'!K27</f>
        <v>3930.21</v>
      </c>
      <c r="L9" s="116">
        <f>SUM([2]Quarters!H9:K9)</f>
        <v>0</v>
      </c>
      <c r="M9" s="116">
        <f>+$L9</f>
        <v>0</v>
      </c>
      <c r="N9" s="116">
        <f>+$L9</f>
        <v>0</v>
      </c>
    </row>
    <row r="10" spans="1:14" x14ac:dyDescent="0.25">
      <c r="A10" s="106" t="s">
        <v>74</v>
      </c>
      <c r="B10" s="116">
        <f>'[2]Data Sheet'!B28</f>
        <v>1208.74</v>
      </c>
      <c r="C10" s="116">
        <f>'[2]Data Sheet'!C28</f>
        <v>1829.03</v>
      </c>
      <c r="D10" s="116">
        <f>'[2]Data Sheet'!D28</f>
        <v>2564.9299999999998</v>
      </c>
      <c r="E10" s="116">
        <f>'[2]Data Sheet'!E28</f>
        <v>2871.66</v>
      </c>
      <c r="F10" s="116">
        <f>'[2]Data Sheet'!F28</f>
        <v>739.16</v>
      </c>
      <c r="G10" s="116">
        <f>'[2]Data Sheet'!G28</f>
        <v>-67.08</v>
      </c>
      <c r="H10" s="116">
        <f>'[2]Data Sheet'!H28</f>
        <v>-199.59</v>
      </c>
      <c r="I10" s="116">
        <f>'[2]Data Sheet'!I28</f>
        <v>2264.9299999999998</v>
      </c>
      <c r="J10" s="116">
        <f>'[2]Data Sheet'!J28</f>
        <v>4106.07</v>
      </c>
      <c r="K10" s="116">
        <f>'[2]Data Sheet'!K28</f>
        <v>4596.33</v>
      </c>
      <c r="L10" s="116">
        <f>SUM([2]Quarters!H10:K10)</f>
        <v>0</v>
      </c>
      <c r="M10" s="116">
        <f>M6+M7-SUM(M8:M9)</f>
        <v>9744.7927958035161</v>
      </c>
      <c r="N10" s="116">
        <f>N6+N7-SUM(N8:N9)</f>
        <v>0</v>
      </c>
    </row>
    <row r="11" spans="1:14" x14ac:dyDescent="0.25">
      <c r="A11" s="106" t="s">
        <v>73</v>
      </c>
      <c r="B11" s="116">
        <f>'[2]Data Sheet'!B29</f>
        <v>496.57</v>
      </c>
      <c r="C11" s="116">
        <f>'[2]Data Sheet'!C29</f>
        <v>196.12</v>
      </c>
      <c r="D11" s="116">
        <f>'[2]Data Sheet'!D29</f>
        <v>751.11</v>
      </c>
      <c r="E11" s="116">
        <f>'[2]Data Sheet'!E29</f>
        <v>677.06</v>
      </c>
      <c r="F11" s="116">
        <f>'[2]Data Sheet'!F29</f>
        <v>279.36</v>
      </c>
      <c r="G11" s="116">
        <f>'[2]Data Sheet'!G29</f>
        <v>2.52</v>
      </c>
      <c r="H11" s="116">
        <f>'[2]Data Sheet'!H29</f>
        <v>85.86</v>
      </c>
      <c r="I11" s="116">
        <f>'[2]Data Sheet'!I29</f>
        <v>906.11</v>
      </c>
      <c r="J11" s="116">
        <f>'[2]Data Sheet'!J29</f>
        <v>1409.73</v>
      </c>
      <c r="K11" s="116">
        <f>'[2]Data Sheet'!K29</f>
        <v>1213.54</v>
      </c>
      <c r="L11" s="116">
        <f>SUM([2]Quarters!H11:K11)</f>
        <v>0</v>
      </c>
      <c r="M11" s="122">
        <f>IF($L10&gt;0,$L11/$L10,0)</f>
        <v>0</v>
      </c>
      <c r="N11" s="122">
        <f>IF($L10&gt;0,$L11/$L10,0)</f>
        <v>0</v>
      </c>
    </row>
    <row r="12" spans="1:14" s="107" customFormat="1" x14ac:dyDescent="0.25">
      <c r="A12" s="107" t="s">
        <v>72</v>
      </c>
      <c r="B12" s="115">
        <f>'[2]Data Sheet'!B30</f>
        <v>681.93</v>
      </c>
      <c r="C12" s="115">
        <f>'[2]Data Sheet'!C30</f>
        <v>1589.36</v>
      </c>
      <c r="D12" s="115">
        <f>'[2]Data Sheet'!D30</f>
        <v>1760.38</v>
      </c>
      <c r="E12" s="115">
        <f>'[2]Data Sheet'!E30</f>
        <v>2078.6999999999998</v>
      </c>
      <c r="F12" s="115">
        <f>'[2]Data Sheet'!F30</f>
        <v>336.67</v>
      </c>
      <c r="G12" s="115">
        <f>'[2]Data Sheet'!G30</f>
        <v>-165.23</v>
      </c>
      <c r="H12" s="115">
        <f>'[2]Data Sheet'!H30</f>
        <v>-358.61</v>
      </c>
      <c r="I12" s="115">
        <f>'[2]Data Sheet'!I30</f>
        <v>1238.71</v>
      </c>
      <c r="J12" s="115">
        <f>'[2]Data Sheet'!J30</f>
        <v>2483.52</v>
      </c>
      <c r="K12" s="115">
        <f>'[2]Data Sheet'!K30</f>
        <v>3106.8</v>
      </c>
      <c r="L12" s="115">
        <f>SUM([2]Quarters!H12:K12)</f>
        <v>0</v>
      </c>
      <c r="M12" s="115">
        <f>M10-M11*M10</f>
        <v>9744.7927958035161</v>
      </c>
      <c r="N12" s="115">
        <f>N10-N11*N10</f>
        <v>0</v>
      </c>
    </row>
    <row r="13" spans="1:14" x14ac:dyDescent="0.25">
      <c r="A13" s="106" t="s">
        <v>43</v>
      </c>
      <c r="B13" s="116">
        <f>IF('[2]Data Sheet'!B93&gt;0,B12/'[2]Data Sheet'!B93,0)</f>
        <v>2.3961839839769494</v>
      </c>
      <c r="C13" s="116">
        <f>IF('[2]Data Sheet'!C93&gt;0,C12/'[2]Data Sheet'!C93,0)</f>
        <v>5.5847359359077977</v>
      </c>
      <c r="D13" s="116">
        <f>IF('[2]Data Sheet'!D93&gt;0,D12/'[2]Data Sheet'!D93,0)</f>
        <v>6.014075364695433</v>
      </c>
      <c r="E13" s="116">
        <f>IF('[2]Data Sheet'!E93&gt;0,E12/'[2]Data Sheet'!E93,0)</f>
        <v>7.0812468063362282</v>
      </c>
      <c r="F13" s="116">
        <f>IF('[2]Data Sheet'!F93&gt;0,F12/'[2]Data Sheet'!F93,0)</f>
        <v>1.1468915005961506</v>
      </c>
      <c r="G13" s="116">
        <f>IF('[2]Data Sheet'!G93&gt;0,G12/'[2]Data Sheet'!G93,0)</f>
        <v>-0.56286833588826435</v>
      </c>
      <c r="H13" s="116">
        <f>IF('[2]Data Sheet'!H93&gt;0,H12/'[2]Data Sheet'!H93,0)</f>
        <v>-1.2216317492761029</v>
      </c>
      <c r="I13" s="116">
        <f>IF('[2]Data Sheet'!I93&gt;0,I12/'[2]Data Sheet'!I93,0)</f>
        <v>4.2188958141752666</v>
      </c>
      <c r="J13" s="116">
        <f>IF('[2]Data Sheet'!J93&gt;0,J12/'[2]Data Sheet'!J93,0)</f>
        <v>8.4579913496577319</v>
      </c>
      <c r="K13" s="116">
        <f>IF('[2]Data Sheet'!K93&gt;0,K12/'[2]Data Sheet'!K93,0)</f>
        <v>10.579942107951645</v>
      </c>
      <c r="L13" s="116">
        <f>IF('[2]Data Sheet'!$B6&gt;0,'Ashok Leyland (IS)'!L12/'[2]Data Sheet'!$B6,0)</f>
        <v>0</v>
      </c>
      <c r="M13" s="116">
        <f>IF('[2]Data Sheet'!$B6&gt;0,'Ashok Leyland (IS)'!M12/'[2]Data Sheet'!$B6,0)</f>
        <v>0</v>
      </c>
      <c r="N13" s="116">
        <f>IF('[2]Data Sheet'!$B6&gt;0,'Ashok Leyland (IS)'!N12/'[2]Data Sheet'!$B6,0)</f>
        <v>0</v>
      </c>
    </row>
    <row r="14" spans="1:14" x14ac:dyDescent="0.25">
      <c r="A14" s="106" t="s">
        <v>71</v>
      </c>
      <c r="B14" s="116">
        <f t="shared" ref="B14:K14" si="1">IF(B15&gt;0,B15/B13,"")</f>
        <v>45.322062381769385</v>
      </c>
      <c r="C14" s="116">
        <f t="shared" si="1"/>
        <v>15.139480356873205</v>
      </c>
      <c r="D14" s="116">
        <f t="shared" si="1"/>
        <v>24.184931378452376</v>
      </c>
      <c r="E14" s="116">
        <f t="shared" si="1"/>
        <v>12.893209698369175</v>
      </c>
      <c r="F14" s="116">
        <f t="shared" si="1"/>
        <v>37.536244690646626</v>
      </c>
      <c r="G14" s="116">
        <f t="shared" si="1"/>
        <v>-201.64573624644436</v>
      </c>
      <c r="H14" s="116">
        <f t="shared" si="1"/>
        <v>-95.978186609408553</v>
      </c>
      <c r="I14" s="116">
        <f t="shared" si="1"/>
        <v>32.994415157704381</v>
      </c>
      <c r="J14" s="116">
        <f t="shared" si="1"/>
        <v>20.247124041682774</v>
      </c>
      <c r="K14" s="116">
        <f t="shared" si="1"/>
        <v>19.302563087421138</v>
      </c>
      <c r="L14" s="116">
        <f>IF(L13&gt;0,L15/L13,0)</f>
        <v>0</v>
      </c>
      <c r="M14" s="116">
        <f>M25</f>
        <v>24.181367428936099</v>
      </c>
      <c r="N14" s="116">
        <f>N25</f>
        <v>0</v>
      </c>
    </row>
    <row r="15" spans="1:14" s="107" customFormat="1" x14ac:dyDescent="0.25">
      <c r="A15" s="107" t="s">
        <v>30</v>
      </c>
      <c r="B15" s="115">
        <f>'[2]Data Sheet'!B90</f>
        <v>108.6</v>
      </c>
      <c r="C15" s="115">
        <f>'[2]Data Sheet'!C90</f>
        <v>84.55</v>
      </c>
      <c r="D15" s="115">
        <f>'[2]Data Sheet'!D90</f>
        <v>145.44999999999999</v>
      </c>
      <c r="E15" s="115">
        <f>'[2]Data Sheet'!E90</f>
        <v>91.3</v>
      </c>
      <c r="F15" s="115">
        <f>'[2]Data Sheet'!F90</f>
        <v>43.05</v>
      </c>
      <c r="G15" s="115">
        <f>'[2]Data Sheet'!G90</f>
        <v>113.5</v>
      </c>
      <c r="H15" s="115">
        <f>'[2]Data Sheet'!H90</f>
        <v>117.25</v>
      </c>
      <c r="I15" s="115">
        <f>'[2]Data Sheet'!I90</f>
        <v>139.19999999999999</v>
      </c>
      <c r="J15" s="115">
        <f>'[2]Data Sheet'!J90</f>
        <v>171.25</v>
      </c>
      <c r="K15" s="115">
        <f>'[2]Data Sheet'!K90</f>
        <v>204.22</v>
      </c>
      <c r="L15" s="115">
        <f>'[2]Data Sheet'!B8</f>
        <v>249.73</v>
      </c>
      <c r="M15" s="85">
        <f>M13*M14</f>
        <v>0</v>
      </c>
      <c r="N15" s="84">
        <f>N13*N14</f>
        <v>0</v>
      </c>
    </row>
    <row r="17" spans="1:14" s="107" customFormat="1" x14ac:dyDescent="0.25">
      <c r="A17" s="107" t="s">
        <v>70</v>
      </c>
    </row>
    <row r="18" spans="1:14" x14ac:dyDescent="0.25">
      <c r="A18" s="106" t="s">
        <v>69</v>
      </c>
      <c r="B18" s="120">
        <f>IF('[2]Data Sheet'!B30&gt;0, '[2]Data Sheet'!B31/'[2]Data Sheet'!B30, 0)</f>
        <v>0.39646298007126834</v>
      </c>
      <c r="C18" s="120">
        <f>IF('[2]Data Sheet'!C30&gt;0, '[2]Data Sheet'!C31/'[2]Data Sheet'!C30, 0)</f>
        <v>0.27933256153420244</v>
      </c>
      <c r="D18" s="120">
        <f>IF('[2]Data Sheet'!D30&gt;0, '[2]Data Sheet'!D31/'[2]Data Sheet'!D30, 0)</f>
        <v>0.40405480634862923</v>
      </c>
      <c r="E18" s="120">
        <f>IF('[2]Data Sheet'!E30&gt;0, '[2]Data Sheet'!E31/'[2]Data Sheet'!E30, 0)</f>
        <v>0.43777360850531588</v>
      </c>
      <c r="F18" s="120">
        <f>IF('[2]Data Sheet'!F30&gt;0, '[2]Data Sheet'!F31/'[2]Data Sheet'!F30, 0)</f>
        <v>0.43597588142691657</v>
      </c>
      <c r="G18" s="120">
        <f>IF('[2]Data Sheet'!G30&gt;0, '[2]Data Sheet'!G31/'[2]Data Sheet'!G30, 0)</f>
        <v>0</v>
      </c>
      <c r="H18" s="120">
        <f>IF('[2]Data Sheet'!H30&gt;0, '[2]Data Sheet'!H31/'[2]Data Sheet'!H30, 0)</f>
        <v>0</v>
      </c>
      <c r="I18" s="120">
        <f>IF('[2]Data Sheet'!I30&gt;0, '[2]Data Sheet'!I31/'[2]Data Sheet'!I30, 0)</f>
        <v>0.61627822492754558</v>
      </c>
      <c r="J18" s="120">
        <f>IF('[2]Data Sheet'!J30&gt;0, '[2]Data Sheet'!J31/'[2]Data Sheet'!J30, 0)</f>
        <v>0.58524594124468499</v>
      </c>
      <c r="K18" s="120">
        <f>IF('[2]Data Sheet'!K30&gt;0, '[2]Data Sheet'!K31/'[2]Data Sheet'!K30, 0)</f>
        <v>0.5907396678254152</v>
      </c>
    </row>
    <row r="19" spans="1:14" x14ac:dyDescent="0.25">
      <c r="A19" s="106" t="s">
        <v>59</v>
      </c>
      <c r="B19" s="120">
        <f t="shared" ref="B19:L19" si="2">IF(B6&gt;0,B6/B4,0)</f>
        <v>0.14011919152959351</v>
      </c>
      <c r="C19" s="120">
        <f t="shared" si="2"/>
        <v>0.13313608173858907</v>
      </c>
      <c r="D19" s="120">
        <f t="shared" si="2"/>
        <v>0.14335567471408533</v>
      </c>
      <c r="E19" s="120">
        <f t="shared" si="2"/>
        <v>0.1479056440311789</v>
      </c>
      <c r="F19" s="120">
        <f t="shared" si="2"/>
        <v>0.14729671677310691</v>
      </c>
      <c r="G19" s="120">
        <f t="shared" si="2"/>
        <v>0.12655121542502604</v>
      </c>
      <c r="H19" s="120">
        <f t="shared" si="2"/>
        <v>0.10539406909668167</v>
      </c>
      <c r="I19" s="120">
        <f t="shared" si="2"/>
        <v>0.12221219698314964</v>
      </c>
      <c r="J19" s="120">
        <f t="shared" si="2"/>
        <v>0.17346055875174496</v>
      </c>
      <c r="K19" s="120">
        <f t="shared" si="2"/>
        <v>0.1897130615055401</v>
      </c>
      <c r="L19" s="120">
        <f t="shared" si="2"/>
        <v>0</v>
      </c>
    </row>
    <row r="20" spans="1:14" x14ac:dyDescent="0.25"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 spans="1:14" x14ac:dyDescent="0.25"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</row>
    <row r="22" spans="1:14" s="107" customFormat="1" x14ac:dyDescent="0.25">
      <c r="A22" s="113"/>
      <c r="B22" s="112"/>
      <c r="C22" s="112"/>
      <c r="D22" s="112"/>
      <c r="E22" s="112"/>
      <c r="F22" s="112"/>
      <c r="G22" s="112" t="s">
        <v>68</v>
      </c>
      <c r="H22" s="112" t="s">
        <v>67</v>
      </c>
      <c r="I22" s="112" t="s">
        <v>66</v>
      </c>
      <c r="J22" s="112" t="s">
        <v>65</v>
      </c>
      <c r="K22" s="112" t="s">
        <v>64</v>
      </c>
      <c r="L22" s="121" t="s">
        <v>63</v>
      </c>
      <c r="M22" s="121" t="s">
        <v>62</v>
      </c>
      <c r="N22" s="121" t="s">
        <v>61</v>
      </c>
    </row>
    <row r="23" spans="1:14" s="107" customFormat="1" x14ac:dyDescent="0.25">
      <c r="A23" s="106"/>
      <c r="B23" s="106"/>
      <c r="C23" s="106"/>
      <c r="D23" s="106"/>
      <c r="E23" s="106"/>
      <c r="F23" s="106"/>
      <c r="G23" s="106" t="s">
        <v>60</v>
      </c>
      <c r="H23" s="120">
        <f>IF(B4=0,"",POWER($K4/B4,1/9)-1)</f>
        <v>9.6056105153567106E-2</v>
      </c>
      <c r="I23" s="120">
        <f>IF(D4=0,"",POWER($K4/D4,1/7)-1)</f>
        <v>7.3015761290633696E-2</v>
      </c>
      <c r="J23" s="120">
        <f>IF(F4=0,"",POWER($K4/F4,1/5)-1)</f>
        <v>0.17197764297362306</v>
      </c>
      <c r="K23" s="120">
        <f>IF(H4=0,"",POWER($K4/H4, 1/3)-1)</f>
        <v>0.22757078142737908</v>
      </c>
      <c r="L23" s="120">
        <f>IF(ISERROR(MAX(IF(J4=0,"",(K4-J4)/J4),IF(K4=0,"",(L4-K4)/K4))),"",MAX(IF(J4=0,"",(K4-J4)/J4),IF(K4=0,"",(L4-K4)/K4)))</f>
        <v>5.9935829680476185E-2</v>
      </c>
      <c r="M23" s="119">
        <f>MAX(K23:L23)</f>
        <v>0.22757078142737908</v>
      </c>
      <c r="N23" s="119">
        <f>MIN(H23:L23)</f>
        <v>5.9935829680476185E-2</v>
      </c>
    </row>
    <row r="24" spans="1:14" x14ac:dyDescent="0.25">
      <c r="G24" s="106" t="s">
        <v>59</v>
      </c>
      <c r="H24" s="120">
        <f>IF(SUM(B4:$K$4)=0,"",SUMPRODUCT(B19:$K$19,B4:$K$4)/SUM(B4:$K$4))</f>
        <v>0.14773255312492728</v>
      </c>
      <c r="I24" s="120">
        <f>IF(SUM(E4:$K$4)=0,"",SUMPRODUCT(E19:$K$19,E4:$K$4)/SUM(E4:$K$4))</f>
        <v>0.15037320487858061</v>
      </c>
      <c r="J24" s="120">
        <f>IF(SUM(G4:$K$4)=0,"",SUMPRODUCT(G19:$K$19,G4:$K$4)/SUM(G4:$K$4))</f>
        <v>0.15119575068758742</v>
      </c>
      <c r="K24" s="120">
        <f>IF(SUM(I4:$K$4)=0, "", SUMPRODUCT(I19:$K$19,I4:$K$4)/SUM(I4:$K$4))</f>
        <v>0.16355724237303418</v>
      </c>
      <c r="L24" s="120">
        <f>L19</f>
        <v>0</v>
      </c>
      <c r="M24" s="119">
        <f>MAX(K24:L24)</f>
        <v>0.16355724237303418</v>
      </c>
      <c r="N24" s="119">
        <f>MIN(H24:L24)</f>
        <v>0</v>
      </c>
    </row>
    <row r="25" spans="1:14" x14ac:dyDescent="0.25">
      <c r="G25" s="106" t="s">
        <v>58</v>
      </c>
      <c r="H25" s="116">
        <f>IF(ISERROR(AVERAGEIF(B14:$L14,"&gt;0")),"",AVERAGEIF(B14:$L14,"&gt;0"))</f>
        <v>25.952503849114883</v>
      </c>
      <c r="I25" s="116">
        <f>IF(ISERROR(AVERAGEIF(E14:$L14,"&gt;0")),"",AVERAGEIF(E14:$L14,"&gt;0"))</f>
        <v>24.594711335164817</v>
      </c>
      <c r="J25" s="116">
        <f>IF(ISERROR(AVERAGEIF(G14:$L14,"&gt;0")),"",AVERAGEIF(G14:$L14,"&gt;0"))</f>
        <v>24.181367428936099</v>
      </c>
      <c r="K25" s="116">
        <f>IF(ISERROR(AVERAGEIF(I14:$L14,"&gt;0")),"",AVERAGEIF(I14:$L14,"&gt;0"))</f>
        <v>24.181367428936099</v>
      </c>
      <c r="L25" s="116">
        <f>L14</f>
        <v>0</v>
      </c>
      <c r="M25" s="115">
        <f>MAX(K25:L25)</f>
        <v>24.181367428936099</v>
      </c>
      <c r="N25" s="115">
        <f>MIN(H25:L25)</f>
        <v>0</v>
      </c>
    </row>
  </sheetData>
  <hyperlinks>
    <hyperlink ref="M1" r:id="rId1" xr:uid="{F7BD2F30-F0D7-4B84-BE6B-52F373CB4F36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43DB-C45A-49F1-9EAF-E2A50DE37556}">
  <sheetPr>
    <pageSetUpPr fitToPage="1"/>
  </sheetPr>
  <dimension ref="A1:K24"/>
  <sheetViews>
    <sheetView zoomScale="125" workbookViewId="0">
      <pane xSplit="1" ySplit="3" topLeftCell="E4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2.85546875" style="106" bestFit="1" customWidth="1"/>
    <col min="2" max="2" width="13.42578125" style="106" customWidth="1"/>
    <col min="3" max="11" width="15.42578125" style="106" customWidth="1"/>
    <col min="12" max="16384" width="8.85546875" style="106"/>
  </cols>
  <sheetData>
    <row r="1" spans="1:11" s="107" customFormat="1" x14ac:dyDescent="0.25">
      <c r="A1" s="107">
        <f>'[2]Profit &amp; Loss'!A1</f>
        <v>0</v>
      </c>
      <c r="E1" s="106">
        <f>UPDATE</f>
        <v>0</v>
      </c>
      <c r="G1" s="106"/>
      <c r="J1" s="107" t="s">
        <v>85</v>
      </c>
    </row>
    <row r="2" spans="1:11" x14ac:dyDescent="0.25">
      <c r="G2" s="107"/>
      <c r="H2" s="107"/>
    </row>
    <row r="3" spans="1:11" x14ac:dyDescent="0.25">
      <c r="A3" s="113" t="s">
        <v>84</v>
      </c>
      <c r="B3" s="112">
        <f>'[2]Data Sheet'!B56</f>
        <v>42460</v>
      </c>
      <c r="C3" s="112">
        <f>'[2]Data Sheet'!C56</f>
        <v>42825</v>
      </c>
      <c r="D3" s="112">
        <f>'[2]Data Sheet'!D56</f>
        <v>43190</v>
      </c>
      <c r="E3" s="112">
        <f>'[2]Data Sheet'!E56</f>
        <v>43555</v>
      </c>
      <c r="F3" s="112">
        <f>'[2]Data Sheet'!F56</f>
        <v>43921</v>
      </c>
      <c r="G3" s="112">
        <f>'[2]Data Sheet'!G56</f>
        <v>44286</v>
      </c>
      <c r="H3" s="112">
        <f>'[2]Data Sheet'!H56</f>
        <v>44651</v>
      </c>
      <c r="I3" s="112">
        <f>'[2]Data Sheet'!I56</f>
        <v>45016</v>
      </c>
      <c r="J3" s="112">
        <f>'[2]Data Sheet'!J56</f>
        <v>45382</v>
      </c>
      <c r="K3" s="112">
        <f>'[2]Data Sheet'!K56</f>
        <v>45747</v>
      </c>
    </row>
    <row r="4" spans="1:11" x14ac:dyDescent="0.25">
      <c r="A4" s="106" t="s">
        <v>101</v>
      </c>
      <c r="B4" s="110">
        <f>'[2]Data Sheet'!B57</f>
        <v>284.58999999999997</v>
      </c>
      <c r="C4" s="110">
        <f>'[2]Data Sheet'!C57</f>
        <v>284.58999999999997</v>
      </c>
      <c r="D4" s="110">
        <f>'[2]Data Sheet'!D57</f>
        <v>292.70999999999998</v>
      </c>
      <c r="E4" s="110">
        <f>'[2]Data Sheet'!E57</f>
        <v>293.55</v>
      </c>
      <c r="F4" s="110">
        <f>'[2]Data Sheet'!F57</f>
        <v>293.55</v>
      </c>
      <c r="G4" s="110">
        <f>'[2]Data Sheet'!G57</f>
        <v>293.55</v>
      </c>
      <c r="H4" s="110">
        <f>'[2]Data Sheet'!H57</f>
        <v>293.55</v>
      </c>
      <c r="I4" s="110">
        <f>'[2]Data Sheet'!I57</f>
        <v>293.61</v>
      </c>
      <c r="J4" s="110">
        <f>'[2]Data Sheet'!J57</f>
        <v>293.63</v>
      </c>
      <c r="K4" s="110">
        <f>'[2]Data Sheet'!K57</f>
        <v>293.64999999999998</v>
      </c>
    </row>
    <row r="5" spans="1:11" x14ac:dyDescent="0.25">
      <c r="A5" s="106" t="s">
        <v>100</v>
      </c>
      <c r="B5" s="110">
        <f>'[2]Data Sheet'!B58</f>
        <v>4979.1099999999997</v>
      </c>
      <c r="C5" s="110">
        <f>'[2]Data Sheet'!C58</f>
        <v>6108.36</v>
      </c>
      <c r="D5" s="110">
        <f>'[2]Data Sheet'!D58</f>
        <v>7127.88</v>
      </c>
      <c r="E5" s="110">
        <f>'[2]Data Sheet'!E58</f>
        <v>8452.02</v>
      </c>
      <c r="F5" s="110">
        <f>'[2]Data Sheet'!F58</f>
        <v>7495.26</v>
      </c>
      <c r="G5" s="110">
        <f>'[2]Data Sheet'!G58</f>
        <v>7568.47</v>
      </c>
      <c r="H5" s="110">
        <f>'[2]Data Sheet'!H58</f>
        <v>7010.34</v>
      </c>
      <c r="I5" s="110">
        <f>'[2]Data Sheet'!I58</f>
        <v>8258.15</v>
      </c>
      <c r="J5" s="110">
        <f>'[2]Data Sheet'!J58</f>
        <v>8710.99</v>
      </c>
      <c r="K5" s="110">
        <f>'[2]Data Sheet'!K58</f>
        <v>11938.44</v>
      </c>
    </row>
    <row r="6" spans="1:11" x14ac:dyDescent="0.25">
      <c r="A6" s="106" t="s">
        <v>99</v>
      </c>
      <c r="B6" s="110">
        <f>'[2]Data Sheet'!B59</f>
        <v>11053.57</v>
      </c>
      <c r="C6" s="110">
        <f>'[2]Data Sheet'!C59</f>
        <v>13167.93</v>
      </c>
      <c r="D6" s="110">
        <f>'[2]Data Sheet'!D59</f>
        <v>15791.04</v>
      </c>
      <c r="E6" s="110">
        <f>'[2]Data Sheet'!E59</f>
        <v>19167.91</v>
      </c>
      <c r="F6" s="110">
        <f>'[2]Data Sheet'!F59</f>
        <v>22417.19</v>
      </c>
      <c r="G6" s="110">
        <f>'[2]Data Sheet'!G59</f>
        <v>24077.17</v>
      </c>
      <c r="H6" s="110">
        <f>'[2]Data Sheet'!H59</f>
        <v>24145.02</v>
      </c>
      <c r="I6" s="110">
        <f>'[2]Data Sheet'!I59</f>
        <v>31160.93</v>
      </c>
      <c r="J6" s="110">
        <f>'[2]Data Sheet'!J59</f>
        <v>40802.18</v>
      </c>
      <c r="K6" s="110">
        <f>'[2]Data Sheet'!K59</f>
        <v>49962.11</v>
      </c>
    </row>
    <row r="7" spans="1:11" x14ac:dyDescent="0.25">
      <c r="A7" s="106" t="s">
        <v>98</v>
      </c>
      <c r="B7" s="110">
        <f>'[2]Data Sheet'!B60</f>
        <v>5805.7</v>
      </c>
      <c r="C7" s="110">
        <f>'[2]Data Sheet'!C60</f>
        <v>7048.18</v>
      </c>
      <c r="D7" s="110">
        <f>'[2]Data Sheet'!D60</f>
        <v>10171.23</v>
      </c>
      <c r="E7" s="110">
        <f>'[2]Data Sheet'!E60</f>
        <v>11212.12</v>
      </c>
      <c r="F7" s="110">
        <f>'[2]Data Sheet'!F60</f>
        <v>7923.97</v>
      </c>
      <c r="G7" s="110">
        <f>'[2]Data Sheet'!G60</f>
        <v>10118.77</v>
      </c>
      <c r="H7" s="110">
        <f>'[2]Data Sheet'!H60</f>
        <v>12124.74</v>
      </c>
      <c r="I7" s="110">
        <f>'[2]Data Sheet'!I60</f>
        <v>14984.24</v>
      </c>
      <c r="J7" s="110">
        <f>'[2]Data Sheet'!J60</f>
        <v>17788.310000000001</v>
      </c>
      <c r="K7" s="110">
        <f>'[2]Data Sheet'!K60</f>
        <v>19520.439999999999</v>
      </c>
    </row>
    <row r="8" spans="1:11" s="107" customFormat="1" x14ac:dyDescent="0.25">
      <c r="A8" s="107" t="s">
        <v>93</v>
      </c>
      <c r="B8" s="111">
        <f>'[2]Data Sheet'!B61</f>
        <v>22122.97</v>
      </c>
      <c r="C8" s="111">
        <f>'[2]Data Sheet'!C61</f>
        <v>26609.06</v>
      </c>
      <c r="D8" s="111">
        <f>'[2]Data Sheet'!D61</f>
        <v>33382.86</v>
      </c>
      <c r="E8" s="111">
        <f>'[2]Data Sheet'!E61</f>
        <v>39125.599999999999</v>
      </c>
      <c r="F8" s="111">
        <f>'[2]Data Sheet'!F61</f>
        <v>38129.97</v>
      </c>
      <c r="G8" s="111">
        <f>'[2]Data Sheet'!G61</f>
        <v>42057.96</v>
      </c>
      <c r="H8" s="111">
        <f>'[2]Data Sheet'!H61</f>
        <v>43573.65</v>
      </c>
      <c r="I8" s="111">
        <f>'[2]Data Sheet'!I61</f>
        <v>54696.93</v>
      </c>
      <c r="J8" s="111">
        <f>'[2]Data Sheet'!J61</f>
        <v>67595.11</v>
      </c>
      <c r="K8" s="111">
        <f>'[2]Data Sheet'!K61</f>
        <v>81714.64</v>
      </c>
    </row>
    <row r="9" spans="1:11" s="107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s="106" t="s">
        <v>97</v>
      </c>
      <c r="B10" s="110">
        <f>'[2]Data Sheet'!B62</f>
        <v>5889.78</v>
      </c>
      <c r="C10" s="110">
        <f>'[2]Data Sheet'!C62</f>
        <v>6590.79</v>
      </c>
      <c r="D10" s="110">
        <f>'[2]Data Sheet'!D62</f>
        <v>6596.14</v>
      </c>
      <c r="E10" s="110">
        <f>'[2]Data Sheet'!E62</f>
        <v>6695.47</v>
      </c>
      <c r="F10" s="110">
        <f>'[2]Data Sheet'!F62</f>
        <v>8030.93</v>
      </c>
      <c r="G10" s="110">
        <f>'[2]Data Sheet'!G62</f>
        <v>8484.2199999999993</v>
      </c>
      <c r="H10" s="110">
        <f>'[2]Data Sheet'!H62</f>
        <v>7894.58</v>
      </c>
      <c r="I10" s="110">
        <f>'[2]Data Sheet'!I62</f>
        <v>8146.31</v>
      </c>
      <c r="J10" s="110">
        <f>'[2]Data Sheet'!J62</f>
        <v>8156.51</v>
      </c>
      <c r="K10" s="110">
        <f>'[2]Data Sheet'!K62</f>
        <v>9055.2900000000009</v>
      </c>
    </row>
    <row r="11" spans="1:11" x14ac:dyDescent="0.25">
      <c r="A11" s="106" t="s">
        <v>96</v>
      </c>
      <c r="B11" s="110">
        <f>'[2]Data Sheet'!B63</f>
        <v>87.37</v>
      </c>
      <c r="C11" s="110">
        <f>'[2]Data Sheet'!C63</f>
        <v>244.19</v>
      </c>
      <c r="D11" s="110">
        <f>'[2]Data Sheet'!D63</f>
        <v>439.42</v>
      </c>
      <c r="E11" s="110">
        <f>'[2]Data Sheet'!E63</f>
        <v>677.61</v>
      </c>
      <c r="F11" s="110">
        <f>'[2]Data Sheet'!F63</f>
        <v>573.89</v>
      </c>
      <c r="G11" s="110">
        <f>'[2]Data Sheet'!G63</f>
        <v>335.54</v>
      </c>
      <c r="H11" s="110">
        <f>'[2]Data Sheet'!H63</f>
        <v>240.01</v>
      </c>
      <c r="I11" s="110">
        <f>'[2]Data Sheet'!I63</f>
        <v>268.12</v>
      </c>
      <c r="J11" s="110">
        <f>'[2]Data Sheet'!J63</f>
        <v>414.82</v>
      </c>
      <c r="K11" s="110">
        <f>'[2]Data Sheet'!K63</f>
        <v>358.79</v>
      </c>
    </row>
    <row r="12" spans="1:11" x14ac:dyDescent="0.25">
      <c r="A12" s="106" t="s">
        <v>95</v>
      </c>
      <c r="B12" s="110">
        <f>'[2]Data Sheet'!B64</f>
        <v>1031.08</v>
      </c>
      <c r="C12" s="110">
        <f>'[2]Data Sheet'!C64</f>
        <v>1933.32</v>
      </c>
      <c r="D12" s="110">
        <f>'[2]Data Sheet'!D64</f>
        <v>4382.58</v>
      </c>
      <c r="E12" s="110">
        <f>'[2]Data Sheet'!E64</f>
        <v>1491.88</v>
      </c>
      <c r="F12" s="110">
        <f>'[2]Data Sheet'!F64</f>
        <v>960.34</v>
      </c>
      <c r="G12" s="110">
        <f>'[2]Data Sheet'!G64</f>
        <v>1095.6300000000001</v>
      </c>
      <c r="H12" s="110">
        <f>'[2]Data Sheet'!H64</f>
        <v>2652.12</v>
      </c>
      <c r="I12" s="110">
        <f>'[2]Data Sheet'!I64</f>
        <v>4852.3500000000004</v>
      </c>
      <c r="J12" s="110">
        <f>'[2]Data Sheet'!J64</f>
        <v>2328.61</v>
      </c>
      <c r="K12" s="110">
        <f>'[2]Data Sheet'!K64</f>
        <v>6609.65</v>
      </c>
    </row>
    <row r="13" spans="1:11" x14ac:dyDescent="0.25">
      <c r="A13" s="106" t="s">
        <v>94</v>
      </c>
      <c r="B13" s="110">
        <f>'[2]Data Sheet'!B65</f>
        <v>15114.74</v>
      </c>
      <c r="C13" s="110">
        <f>'[2]Data Sheet'!C65</f>
        <v>17840.759999999998</v>
      </c>
      <c r="D13" s="110">
        <f>'[2]Data Sheet'!D65</f>
        <v>21964.720000000001</v>
      </c>
      <c r="E13" s="110">
        <f>'[2]Data Sheet'!E65</f>
        <v>30260.639999999999</v>
      </c>
      <c r="F13" s="110">
        <f>'[2]Data Sheet'!F65</f>
        <v>28564.81</v>
      </c>
      <c r="G13" s="110">
        <f>'[2]Data Sheet'!G65</f>
        <v>32142.57</v>
      </c>
      <c r="H13" s="110">
        <f>'[2]Data Sheet'!H65</f>
        <v>32786.94</v>
      </c>
      <c r="I13" s="110">
        <f>'[2]Data Sheet'!I65</f>
        <v>41430.15</v>
      </c>
      <c r="J13" s="110">
        <f>'[2]Data Sheet'!J65</f>
        <v>56695.17</v>
      </c>
      <c r="K13" s="110">
        <f>'[2]Data Sheet'!K65</f>
        <v>65690.91</v>
      </c>
    </row>
    <row r="14" spans="1:11" s="107" customFormat="1" x14ac:dyDescent="0.25">
      <c r="A14" s="107" t="s">
        <v>93</v>
      </c>
      <c r="B14" s="110">
        <f>'[2]Data Sheet'!B66</f>
        <v>22122.97</v>
      </c>
      <c r="C14" s="110">
        <f>'[2]Data Sheet'!C66</f>
        <v>26609.06</v>
      </c>
      <c r="D14" s="110">
        <f>'[2]Data Sheet'!D66</f>
        <v>33382.86</v>
      </c>
      <c r="E14" s="110">
        <f>'[2]Data Sheet'!E66</f>
        <v>39125.599999999999</v>
      </c>
      <c r="F14" s="110">
        <f>'[2]Data Sheet'!F66</f>
        <v>38129.97</v>
      </c>
      <c r="G14" s="110">
        <f>'[2]Data Sheet'!G66</f>
        <v>42057.96</v>
      </c>
      <c r="H14" s="110">
        <f>'[2]Data Sheet'!H66</f>
        <v>43573.65</v>
      </c>
      <c r="I14" s="110">
        <f>'[2]Data Sheet'!I66</f>
        <v>54696.93</v>
      </c>
      <c r="J14" s="110">
        <f>'[2]Data Sheet'!J66</f>
        <v>67595.11</v>
      </c>
      <c r="K14" s="110">
        <f>'[2]Data Sheet'!K66</f>
        <v>81714.64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s="106" t="s">
        <v>92</v>
      </c>
      <c r="B16" s="109">
        <f t="shared" ref="B16:K16" si="0">B13-B7</f>
        <v>9309.0400000000009</v>
      </c>
      <c r="C16" s="109">
        <f t="shared" si="0"/>
        <v>10792.579999999998</v>
      </c>
      <c r="D16" s="109">
        <f t="shared" si="0"/>
        <v>11793.490000000002</v>
      </c>
      <c r="E16" s="109">
        <f t="shared" si="0"/>
        <v>19048.519999999997</v>
      </c>
      <c r="F16" s="109">
        <f t="shared" si="0"/>
        <v>20640.84</v>
      </c>
      <c r="G16" s="109">
        <f t="shared" si="0"/>
        <v>22023.8</v>
      </c>
      <c r="H16" s="109">
        <f t="shared" si="0"/>
        <v>20662.200000000004</v>
      </c>
      <c r="I16" s="109">
        <f t="shared" si="0"/>
        <v>26445.910000000003</v>
      </c>
      <c r="J16" s="109">
        <f t="shared" si="0"/>
        <v>38906.86</v>
      </c>
      <c r="K16" s="109">
        <f t="shared" si="0"/>
        <v>46170.47</v>
      </c>
    </row>
    <row r="17" spans="1:11" x14ac:dyDescent="0.25">
      <c r="A17" s="106" t="s">
        <v>91</v>
      </c>
      <c r="B17" s="109">
        <f>'[2]Data Sheet'!B67</f>
        <v>1461.38</v>
      </c>
      <c r="C17" s="109">
        <f>'[2]Data Sheet'!C67</f>
        <v>1238.4000000000001</v>
      </c>
      <c r="D17" s="109">
        <f>'[2]Data Sheet'!D67</f>
        <v>1175.51</v>
      </c>
      <c r="E17" s="109">
        <f>'[2]Data Sheet'!E67</f>
        <v>2717.18</v>
      </c>
      <c r="F17" s="109">
        <f>'[2]Data Sheet'!F67</f>
        <v>1504.69</v>
      </c>
      <c r="G17" s="109">
        <f>'[2]Data Sheet'!G67</f>
        <v>3020.91</v>
      </c>
      <c r="H17" s="109">
        <f>'[2]Data Sheet'!H67</f>
        <v>3264.09</v>
      </c>
      <c r="I17" s="109">
        <f>'[2]Data Sheet'!I67</f>
        <v>4187.3599999999997</v>
      </c>
      <c r="J17" s="109">
        <f>'[2]Data Sheet'!J67</f>
        <v>3898.15</v>
      </c>
      <c r="K17" s="109">
        <f>'[2]Data Sheet'!K67</f>
        <v>3346.87</v>
      </c>
    </row>
    <row r="18" spans="1:11" x14ac:dyDescent="0.25">
      <c r="A18" s="106" t="s">
        <v>90</v>
      </c>
      <c r="B18" s="109">
        <f>'[2]Data Sheet'!B68</f>
        <v>1922.33</v>
      </c>
      <c r="C18" s="109">
        <f>'[2]Data Sheet'!C68</f>
        <v>2955.24</v>
      </c>
      <c r="D18" s="109">
        <f>'[2]Data Sheet'!D68</f>
        <v>2214.33</v>
      </c>
      <c r="E18" s="109">
        <f>'[2]Data Sheet'!E68</f>
        <v>3077.42</v>
      </c>
      <c r="F18" s="109">
        <f>'[2]Data Sheet'!F68</f>
        <v>1547.21</v>
      </c>
      <c r="G18" s="109">
        <f>'[2]Data Sheet'!G68</f>
        <v>2495.85</v>
      </c>
      <c r="H18" s="109">
        <f>'[2]Data Sheet'!H68</f>
        <v>2540.5500000000002</v>
      </c>
      <c r="I18" s="109">
        <f>'[2]Data Sheet'!I68</f>
        <v>3440.43</v>
      </c>
      <c r="J18" s="109">
        <f>'[2]Data Sheet'!J68</f>
        <v>4008.01</v>
      </c>
      <c r="K18" s="109">
        <f>'[2]Data Sheet'!K68</f>
        <v>3986.08</v>
      </c>
    </row>
    <row r="20" spans="1:11" x14ac:dyDescent="0.25">
      <c r="A20" s="106" t="s">
        <v>89</v>
      </c>
      <c r="B20" s="109">
        <f>IF('[2]Profit &amp; Loss'!B4&gt;0,'Ashok Leyland (BS)'!B17/('[2]Profit &amp; Loss'!B4/365),0)</f>
        <v>0</v>
      </c>
      <c r="C20" s="109">
        <f>IF('[2]Profit &amp; Loss'!C4&gt;0,'Ashok Leyland (BS)'!C17/('[2]Profit &amp; Loss'!C4/365),0)</f>
        <v>0</v>
      </c>
      <c r="D20" s="109">
        <f>IF('[2]Profit &amp; Loss'!D4&gt;0,'Ashok Leyland (BS)'!D17/('[2]Profit &amp; Loss'!D4/365),0)</f>
        <v>0</v>
      </c>
      <c r="E20" s="109">
        <f>IF('[2]Profit &amp; Loss'!E4&gt;0,'Ashok Leyland (BS)'!E17/('[2]Profit &amp; Loss'!E4/365),0)</f>
        <v>0</v>
      </c>
      <c r="F20" s="109">
        <f>IF('[2]Profit &amp; Loss'!F4&gt;0,'Ashok Leyland (BS)'!F17/('[2]Profit &amp; Loss'!F4/365),0)</f>
        <v>0</v>
      </c>
      <c r="G20" s="109">
        <f>IF('[2]Profit &amp; Loss'!G4&gt;0,'Ashok Leyland (BS)'!G17/('[2]Profit &amp; Loss'!G4/365),0)</f>
        <v>0</v>
      </c>
      <c r="H20" s="109">
        <f>IF('[2]Profit &amp; Loss'!H4&gt;0,'Ashok Leyland (BS)'!H17/('[2]Profit &amp; Loss'!H4/365),0)</f>
        <v>0</v>
      </c>
      <c r="I20" s="109">
        <f>IF('[2]Profit &amp; Loss'!I4&gt;0,'Ashok Leyland (BS)'!I17/('[2]Profit &amp; Loss'!I4/365),0)</f>
        <v>0</v>
      </c>
      <c r="J20" s="109">
        <f>IF('[2]Profit &amp; Loss'!J4&gt;0,'Ashok Leyland (BS)'!J17/('[2]Profit &amp; Loss'!J4/365),0)</f>
        <v>0</v>
      </c>
      <c r="K20" s="109">
        <f>IF('[2]Profit &amp; Loss'!K4&gt;0,'Ashok Leyland (BS)'!K17/('[2]Profit &amp; Loss'!K4/365),0)</f>
        <v>0</v>
      </c>
    </row>
    <row r="21" spans="1:11" x14ac:dyDescent="0.25">
      <c r="A21" s="106" t="s">
        <v>88</v>
      </c>
      <c r="B21" s="109">
        <f>IF('Ashok Leyland (BS)'!B18&gt;0,'[2]Profit &amp; Loss'!B4/'Ashok Leyland (BS)'!B18,0)</f>
        <v>0</v>
      </c>
      <c r="C21" s="109">
        <f>IF('Ashok Leyland (BS)'!C18&gt;0,'[2]Profit &amp; Loss'!C4/'Ashok Leyland (BS)'!C18,0)</f>
        <v>0</v>
      </c>
      <c r="D21" s="109">
        <f>IF('Ashok Leyland (BS)'!D18&gt;0,'[2]Profit &amp; Loss'!D4/'Ashok Leyland (BS)'!D18,0)</f>
        <v>0</v>
      </c>
      <c r="E21" s="109">
        <f>IF('Ashok Leyland (BS)'!E18&gt;0,'[2]Profit &amp; Loss'!E4/'Ashok Leyland (BS)'!E18,0)</f>
        <v>0</v>
      </c>
      <c r="F21" s="109">
        <f>IF('Ashok Leyland (BS)'!F18&gt;0,'[2]Profit &amp; Loss'!F4/'Ashok Leyland (BS)'!F18,0)</f>
        <v>0</v>
      </c>
      <c r="G21" s="109">
        <f>IF('Ashok Leyland (BS)'!G18&gt;0,'[2]Profit &amp; Loss'!G4/'Ashok Leyland (BS)'!G18,0)</f>
        <v>0</v>
      </c>
      <c r="H21" s="109">
        <f>IF('Ashok Leyland (BS)'!H18&gt;0,'[2]Profit &amp; Loss'!H4/'Ashok Leyland (BS)'!H18,0)</f>
        <v>0</v>
      </c>
      <c r="I21" s="109">
        <f>IF('Ashok Leyland (BS)'!I18&gt;0,'[2]Profit &amp; Loss'!I4/'Ashok Leyland (BS)'!I18,0)</f>
        <v>0</v>
      </c>
      <c r="J21" s="109">
        <f>IF('Ashok Leyland (BS)'!J18&gt;0,'[2]Profit &amp; Loss'!J4/'Ashok Leyland (BS)'!J18,0)</f>
        <v>0</v>
      </c>
      <c r="K21" s="109">
        <f>IF('Ashok Leyland (BS)'!K18&gt;0,'[2]Profit &amp; Loss'!K4/'Ashok Leyland (BS)'!K18,0)</f>
        <v>0</v>
      </c>
    </row>
    <row r="23" spans="1:11" s="107" customFormat="1" x14ac:dyDescent="0.25">
      <c r="A23" s="107" t="s">
        <v>87</v>
      </c>
      <c r="B23" s="108">
        <f>IF(SUM('Ashok Leyland (BS)'!B4:B5)&gt;0,'[2]Profit &amp; Loss'!B12/SUM('Ashok Leyland (BS)'!B4:B5),"")</f>
        <v>0</v>
      </c>
      <c r="C23" s="108">
        <f>IF(SUM('Ashok Leyland (BS)'!C4:C5)&gt;0,'[2]Profit &amp; Loss'!C12/SUM('Ashok Leyland (BS)'!C4:C5),"")</f>
        <v>0</v>
      </c>
      <c r="D23" s="108">
        <f>IF(SUM('Ashok Leyland (BS)'!D4:D5)&gt;0,'[2]Profit &amp; Loss'!D12/SUM('Ashok Leyland (BS)'!D4:D5),"")</f>
        <v>0</v>
      </c>
      <c r="E23" s="108">
        <f>IF(SUM('Ashok Leyland (BS)'!E4:E5)&gt;0,'[2]Profit &amp; Loss'!E12/SUM('Ashok Leyland (BS)'!E4:E5),"")</f>
        <v>0</v>
      </c>
      <c r="F23" s="108">
        <f>IF(SUM('Ashok Leyland (BS)'!F4:F5)&gt;0,'[2]Profit &amp; Loss'!F12/SUM('Ashok Leyland (BS)'!F4:F5),"")</f>
        <v>0</v>
      </c>
      <c r="G23" s="108">
        <f>IF(SUM('Ashok Leyland (BS)'!G4:G5)&gt;0,'[2]Profit &amp; Loss'!G12/SUM('Ashok Leyland (BS)'!G4:G5),"")</f>
        <v>0</v>
      </c>
      <c r="H23" s="108">
        <f>IF(SUM('Ashok Leyland (BS)'!H4:H5)&gt;0,'[2]Profit &amp; Loss'!H12/SUM('Ashok Leyland (BS)'!H4:H5),"")</f>
        <v>0</v>
      </c>
      <c r="I23" s="108">
        <f>IF(SUM('Ashok Leyland (BS)'!I4:I5)&gt;0,'[2]Profit &amp; Loss'!I12/SUM('Ashok Leyland (BS)'!I4:I5),"")</f>
        <v>0</v>
      </c>
      <c r="J23" s="108">
        <f>IF(SUM('Ashok Leyland (BS)'!J4:J5)&gt;0,'[2]Profit &amp; Loss'!J12/SUM('Ashok Leyland (BS)'!J4:J5),"")</f>
        <v>0</v>
      </c>
      <c r="K23" s="108">
        <f>IF(SUM('Ashok Leyland (BS)'!K4:K5)&gt;0,'[2]Profit &amp; Loss'!K12/SUM('Ashok Leyland (BS)'!K4:K5),"")</f>
        <v>0</v>
      </c>
    </row>
    <row r="24" spans="1:11" s="107" customFormat="1" x14ac:dyDescent="0.25">
      <c r="A24" s="107" t="s">
        <v>86</v>
      </c>
      <c r="B24" s="108"/>
      <c r="C24" s="108">
        <f>IF((B4+B5+B6+C4+C5+C6)&gt;0,('[2]Profit &amp; Loss'!C10+'[2]Profit &amp; Loss'!C9)*2/(B4+B5+B6+C4+C5+C6),"")</f>
        <v>0</v>
      </c>
      <c r="D24" s="108">
        <f>IF((C4+C5+C6+D4+D5+D6)&gt;0,('[2]Profit &amp; Loss'!D10+'[2]Profit &amp; Loss'!D9)*2/(C4+C5+C6+D4+D5+D6),"")</f>
        <v>0</v>
      </c>
      <c r="E24" s="108">
        <f>IF((D4+D5+D6+E4+E5+E6)&gt;0,('[2]Profit &amp; Loss'!E10+'[2]Profit &amp; Loss'!E9)*2/(D4+D5+D6+E4+E5+E6),"")</f>
        <v>0</v>
      </c>
      <c r="F24" s="108">
        <f>IF((E4+E5+E6+F4+F5+F6)&gt;0,('[2]Profit &amp; Loss'!F10+'[2]Profit &amp; Loss'!F9)*2/(E4+E5+E6+F4+F5+F6),"")</f>
        <v>0</v>
      </c>
      <c r="G24" s="108">
        <f>IF((F4+F5+F6+G4+G5+G6)&gt;0,('[2]Profit &amp; Loss'!G10+'[2]Profit &amp; Loss'!G9)*2/(F4+F5+F6+G4+G5+G6),"")</f>
        <v>0</v>
      </c>
      <c r="H24" s="108">
        <f>IF((G4+G5+G6+H4+H5+H6)&gt;0,('[2]Profit &amp; Loss'!H10+'[2]Profit &amp; Loss'!H9)*2/(G4+G5+G6+H4+H5+H6),"")</f>
        <v>0</v>
      </c>
      <c r="I24" s="108">
        <f>IF((H4+H5+H6+I4+I5+I6)&gt;0,('[2]Profit &amp; Loss'!I10+'[2]Profit &amp; Loss'!I9)*2/(H4+H5+H6+I4+I5+I6),"")</f>
        <v>0</v>
      </c>
      <c r="J24" s="108">
        <f>IF((I4+I5+I6+J4+J5+J6)&gt;0,('[2]Profit &amp; Loss'!J10+'[2]Profit &amp; Loss'!J9)*2/(I4+I5+I6+J4+J5+J6),"")</f>
        <v>0</v>
      </c>
      <c r="K24" s="108">
        <f>IF((J4+J5+J6+K4+K5+K6)&gt;0,('[2]Profit &amp; Loss'!K10+'[2]Profit &amp; Loss'!K9)*2/(J4+J5+J6+K4+K5+K6),"")</f>
        <v>0</v>
      </c>
    </row>
  </sheetData>
  <hyperlinks>
    <hyperlink ref="J1" r:id="rId1" xr:uid="{BF832C3F-36A8-4856-B771-949F14F14C14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20BC1-A86C-4AE7-98EB-1308A12ED517}">
  <dimension ref="A1:K93"/>
  <sheetViews>
    <sheetView zoomScale="120" zoomScaleNormal="120" zoomScalePageLayoutView="120" workbookViewId="0">
      <pane xSplit="1" ySplit="1" topLeftCell="B2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142</v>
      </c>
      <c r="E1" s="210" t="str">
        <f>IF(B2&lt;&gt;B3, "A NEW VERSION OF THE WORKSHEET IS AVAILABLE", "")</f>
        <v/>
      </c>
      <c r="F1" s="210"/>
      <c r="G1" s="210"/>
      <c r="H1" s="210"/>
      <c r="I1" s="210"/>
      <c r="J1" s="210"/>
      <c r="K1" s="210"/>
    </row>
    <row r="2" spans="1:11" x14ac:dyDescent="0.25">
      <c r="A2" s="115" t="s">
        <v>134</v>
      </c>
      <c r="B2" s="109">
        <v>2.1</v>
      </c>
      <c r="E2" s="211" t="s">
        <v>133</v>
      </c>
      <c r="F2" s="211"/>
      <c r="G2" s="211"/>
      <c r="H2" s="211"/>
      <c r="I2" s="211"/>
      <c r="J2" s="211"/>
      <c r="K2" s="211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293.65274496456169</v>
      </c>
    </row>
    <row r="7" spans="1:11" x14ac:dyDescent="0.25">
      <c r="A7" s="109" t="s">
        <v>129</v>
      </c>
      <c r="B7" s="106">
        <v>1</v>
      </c>
    </row>
    <row r="8" spans="1:11" x14ac:dyDescent="0.25">
      <c r="A8" s="109" t="s">
        <v>128</v>
      </c>
      <c r="B8" s="106">
        <v>249.73</v>
      </c>
    </row>
    <row r="9" spans="1:11" x14ac:dyDescent="0.25">
      <c r="A9" s="109" t="s">
        <v>127</v>
      </c>
      <c r="B9" s="106">
        <v>73333.899999999994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12">
        <v>42460</v>
      </c>
      <c r="C16" s="112">
        <v>42825</v>
      </c>
      <c r="D16" s="112">
        <v>43190</v>
      </c>
      <c r="E16" s="112">
        <v>43555</v>
      </c>
      <c r="F16" s="112">
        <v>43921</v>
      </c>
      <c r="G16" s="112">
        <v>44286</v>
      </c>
      <c r="H16" s="112">
        <v>44651</v>
      </c>
      <c r="I16" s="112">
        <v>45016</v>
      </c>
      <c r="J16" s="112">
        <v>45382</v>
      </c>
      <c r="K16" s="112">
        <v>45747</v>
      </c>
    </row>
    <row r="17" spans="1:11" s="116" customFormat="1" x14ac:dyDescent="0.25">
      <c r="A17" s="116" t="s">
        <v>80</v>
      </c>
      <c r="B17" s="106">
        <v>21259.9</v>
      </c>
      <c r="C17" s="106">
        <v>22870.959999999999</v>
      </c>
      <c r="D17" s="106">
        <v>29635.59</v>
      </c>
      <c r="E17" s="106">
        <v>33196.839999999997</v>
      </c>
      <c r="F17" s="106">
        <v>21951.27</v>
      </c>
      <c r="G17" s="106">
        <v>19454.099999999999</v>
      </c>
      <c r="H17" s="106">
        <v>26237.15</v>
      </c>
      <c r="I17" s="106">
        <v>41672.6</v>
      </c>
      <c r="J17" s="106">
        <v>45790.64</v>
      </c>
      <c r="K17" s="106">
        <v>48535.14</v>
      </c>
    </row>
    <row r="18" spans="1:11" s="116" customFormat="1" x14ac:dyDescent="0.25">
      <c r="A18" s="109" t="s">
        <v>125</v>
      </c>
      <c r="B18" s="106">
        <v>14437.97</v>
      </c>
      <c r="C18" s="106">
        <v>15473.18</v>
      </c>
      <c r="D18" s="106">
        <v>18068.21</v>
      </c>
      <c r="E18" s="106">
        <v>22518.03</v>
      </c>
      <c r="F18" s="106">
        <v>12038.76</v>
      </c>
      <c r="G18" s="106">
        <v>12576.48</v>
      </c>
      <c r="H18" s="106">
        <v>17565.02</v>
      </c>
      <c r="I18" s="106">
        <v>29448.39</v>
      </c>
      <c r="J18" s="106">
        <v>29798.39</v>
      </c>
      <c r="K18" s="106">
        <v>29417.97</v>
      </c>
    </row>
    <row r="19" spans="1:11" s="116" customFormat="1" x14ac:dyDescent="0.25">
      <c r="A19" s="109" t="s">
        <v>124</v>
      </c>
      <c r="B19" s="106">
        <v>464.18</v>
      </c>
      <c r="C19" s="106">
        <v>739.47</v>
      </c>
      <c r="D19" s="106">
        <v>-1149.8599999999999</v>
      </c>
      <c r="E19" s="106">
        <v>919.42</v>
      </c>
      <c r="F19" s="106">
        <v>-1307.1600000000001</v>
      </c>
      <c r="G19" s="106">
        <v>529.1</v>
      </c>
      <c r="H19" s="106">
        <v>-48.24</v>
      </c>
      <c r="I19" s="106">
        <v>629.49</v>
      </c>
      <c r="J19" s="106">
        <v>568.89</v>
      </c>
      <c r="K19" s="106">
        <v>-261.58999999999997</v>
      </c>
    </row>
    <row r="20" spans="1:11" s="116" customFormat="1" x14ac:dyDescent="0.25">
      <c r="A20" s="109" t="s">
        <v>123</v>
      </c>
      <c r="B20" s="106">
        <v>125.96</v>
      </c>
      <c r="C20" s="106">
        <v>186.42</v>
      </c>
      <c r="D20" s="106">
        <v>238.51</v>
      </c>
      <c r="E20" s="106">
        <v>260.42</v>
      </c>
      <c r="F20" s="106">
        <v>183.52</v>
      </c>
      <c r="G20" s="106">
        <v>168.88</v>
      </c>
      <c r="H20" s="106">
        <v>189.67</v>
      </c>
      <c r="I20" s="106">
        <v>279.44</v>
      </c>
      <c r="J20" s="106">
        <v>302.22000000000003</v>
      </c>
    </row>
    <row r="21" spans="1:11" s="116" customFormat="1" x14ac:dyDescent="0.25">
      <c r="A21" s="109" t="s">
        <v>122</v>
      </c>
      <c r="B21" s="106">
        <v>249.08</v>
      </c>
      <c r="C21" s="106">
        <v>298.87</v>
      </c>
      <c r="D21" s="106">
        <v>364.22</v>
      </c>
      <c r="E21" s="106">
        <v>392.26</v>
      </c>
      <c r="F21" s="106">
        <v>274.13</v>
      </c>
      <c r="G21" s="106">
        <v>225.81</v>
      </c>
      <c r="H21" s="106">
        <v>296.76</v>
      </c>
      <c r="I21" s="106">
        <v>629.41999999999996</v>
      </c>
      <c r="J21" s="106">
        <v>661.07</v>
      </c>
    </row>
    <row r="22" spans="1:11" s="116" customFormat="1" x14ac:dyDescent="0.25">
      <c r="A22" s="109" t="s">
        <v>121</v>
      </c>
      <c r="B22" s="106">
        <v>1720.73</v>
      </c>
      <c r="C22" s="106">
        <v>1884.98</v>
      </c>
      <c r="D22" s="106">
        <v>2286.4499999999998</v>
      </c>
      <c r="E22" s="106">
        <v>2712.47</v>
      </c>
      <c r="F22" s="106">
        <v>2282.89</v>
      </c>
      <c r="G22" s="106">
        <v>2226.16</v>
      </c>
      <c r="H22" s="106">
        <v>2640.64</v>
      </c>
      <c r="I22" s="106">
        <v>3298.38</v>
      </c>
      <c r="J22" s="106">
        <v>3723.1</v>
      </c>
      <c r="K22" s="106">
        <v>4161.3</v>
      </c>
    </row>
    <row r="23" spans="1:11" s="116" customFormat="1" x14ac:dyDescent="0.25">
      <c r="A23" s="109" t="s">
        <v>120</v>
      </c>
      <c r="B23" s="106">
        <v>2302.96</v>
      </c>
      <c r="C23" s="106">
        <v>2527.33</v>
      </c>
      <c r="D23" s="106">
        <v>3121.56</v>
      </c>
      <c r="E23" s="106">
        <v>3262.94</v>
      </c>
      <c r="F23" s="106">
        <v>2656.67</v>
      </c>
      <c r="G23" s="106">
        <v>1823.78</v>
      </c>
      <c r="H23" s="106">
        <v>2195.7600000000002</v>
      </c>
      <c r="I23" s="106">
        <v>3205.7</v>
      </c>
      <c r="J23" s="106">
        <v>3699.31</v>
      </c>
    </row>
    <row r="24" spans="1:11" s="116" customFormat="1" x14ac:dyDescent="0.25">
      <c r="A24" s="109" t="s">
        <v>119</v>
      </c>
      <c r="B24" s="106">
        <v>-91.54</v>
      </c>
      <c r="C24" s="106">
        <v>194.7</v>
      </c>
      <c r="D24" s="106">
        <v>158.35</v>
      </c>
      <c r="E24" s="106">
        <v>60.14</v>
      </c>
      <c r="F24" s="106">
        <v>-25.21</v>
      </c>
      <c r="G24" s="106">
        <v>500.15</v>
      </c>
      <c r="H24" s="106">
        <v>535.82000000000005</v>
      </c>
      <c r="I24" s="106">
        <v>347.86</v>
      </c>
      <c r="J24" s="106">
        <v>232.57</v>
      </c>
      <c r="K24" s="106">
        <v>5486.53</v>
      </c>
    </row>
    <row r="25" spans="1:11" s="116" customFormat="1" x14ac:dyDescent="0.25">
      <c r="A25" s="116" t="s">
        <v>77</v>
      </c>
      <c r="B25" s="106">
        <v>-321.19</v>
      </c>
      <c r="C25" s="106">
        <v>405.67</v>
      </c>
      <c r="D25" s="106">
        <v>189.77</v>
      </c>
      <c r="E25" s="106">
        <v>139.46</v>
      </c>
      <c r="F25" s="106">
        <v>57.45</v>
      </c>
      <c r="G25" s="106">
        <v>207.24</v>
      </c>
      <c r="H25" s="106">
        <v>-229.82</v>
      </c>
      <c r="I25" s="106">
        <v>165.75</v>
      </c>
      <c r="J25" s="106">
        <v>72.739999999999995</v>
      </c>
      <c r="K25" s="106">
        <v>405.44</v>
      </c>
    </row>
    <row r="26" spans="1:11" s="116" customFormat="1" x14ac:dyDescent="0.25">
      <c r="A26" s="116" t="s">
        <v>76</v>
      </c>
      <c r="B26" s="106">
        <v>523.94000000000005</v>
      </c>
      <c r="C26" s="106">
        <v>572.79</v>
      </c>
      <c r="D26" s="106">
        <v>645.89</v>
      </c>
      <c r="E26" s="106">
        <v>675.56</v>
      </c>
      <c r="F26" s="106">
        <v>749.99</v>
      </c>
      <c r="G26" s="106">
        <v>835.62</v>
      </c>
      <c r="H26" s="106">
        <v>865.96</v>
      </c>
      <c r="I26" s="106">
        <v>900.22</v>
      </c>
      <c r="J26" s="106">
        <v>927.29</v>
      </c>
      <c r="K26" s="106">
        <v>1086.6500000000001</v>
      </c>
    </row>
    <row r="27" spans="1:11" s="116" customFormat="1" x14ac:dyDescent="0.25">
      <c r="A27" s="116" t="s">
        <v>75</v>
      </c>
      <c r="B27" s="106">
        <v>925.05</v>
      </c>
      <c r="C27" s="106">
        <v>1048.8</v>
      </c>
      <c r="D27" s="106">
        <v>1227.3800000000001</v>
      </c>
      <c r="E27" s="106">
        <v>1502.24</v>
      </c>
      <c r="F27" s="106">
        <v>1801.65</v>
      </c>
      <c r="G27" s="106">
        <v>1900.64</v>
      </c>
      <c r="H27" s="106">
        <v>1869.05</v>
      </c>
      <c r="I27" s="106">
        <v>2093.5</v>
      </c>
      <c r="J27" s="106">
        <v>2982.25</v>
      </c>
      <c r="K27" s="106">
        <v>3930.21</v>
      </c>
    </row>
    <row r="28" spans="1:11" s="116" customFormat="1" x14ac:dyDescent="0.25">
      <c r="A28" s="116" t="s">
        <v>74</v>
      </c>
      <c r="B28" s="106">
        <v>1208.74</v>
      </c>
      <c r="C28" s="106">
        <v>1829.03</v>
      </c>
      <c r="D28" s="106">
        <v>2564.9299999999998</v>
      </c>
      <c r="E28" s="106">
        <v>2871.66</v>
      </c>
      <c r="F28" s="106">
        <v>739.16</v>
      </c>
      <c r="G28" s="106">
        <v>-67.08</v>
      </c>
      <c r="H28" s="106">
        <v>-199.59</v>
      </c>
      <c r="I28" s="106">
        <v>2264.9299999999998</v>
      </c>
      <c r="J28" s="106">
        <v>4106.07</v>
      </c>
      <c r="K28" s="106">
        <v>4596.33</v>
      </c>
    </row>
    <row r="29" spans="1:11" s="116" customFormat="1" x14ac:dyDescent="0.25">
      <c r="A29" s="116" t="s">
        <v>73</v>
      </c>
      <c r="B29" s="106">
        <v>496.57</v>
      </c>
      <c r="C29" s="106">
        <v>196.12</v>
      </c>
      <c r="D29" s="106">
        <v>751.11</v>
      </c>
      <c r="E29" s="106">
        <v>677.06</v>
      </c>
      <c r="F29" s="106">
        <v>279.36</v>
      </c>
      <c r="G29" s="106">
        <v>2.52</v>
      </c>
      <c r="H29" s="106">
        <v>85.86</v>
      </c>
      <c r="I29" s="106">
        <v>906.11</v>
      </c>
      <c r="J29" s="106">
        <v>1409.73</v>
      </c>
      <c r="K29" s="106">
        <v>1213.54</v>
      </c>
    </row>
    <row r="30" spans="1:11" s="116" customFormat="1" x14ac:dyDescent="0.25">
      <c r="A30" s="116" t="s">
        <v>72</v>
      </c>
      <c r="B30" s="106">
        <v>681.93</v>
      </c>
      <c r="C30" s="106">
        <v>1589.36</v>
      </c>
      <c r="D30" s="106">
        <v>1760.38</v>
      </c>
      <c r="E30" s="106">
        <v>2078.6999999999998</v>
      </c>
      <c r="F30" s="106">
        <v>336.67</v>
      </c>
      <c r="G30" s="106">
        <v>-165.23</v>
      </c>
      <c r="H30" s="106">
        <v>-358.61</v>
      </c>
      <c r="I30" s="106">
        <v>1238.71</v>
      </c>
      <c r="J30" s="106">
        <v>2483.52</v>
      </c>
      <c r="K30" s="106">
        <v>3106.8</v>
      </c>
    </row>
    <row r="31" spans="1:11" s="116" customFormat="1" x14ac:dyDescent="0.25">
      <c r="A31" s="116" t="s">
        <v>118</v>
      </c>
      <c r="B31" s="106">
        <v>270.36</v>
      </c>
      <c r="C31" s="106">
        <v>443.96</v>
      </c>
      <c r="D31" s="106">
        <v>711.29</v>
      </c>
      <c r="E31" s="106">
        <v>910</v>
      </c>
      <c r="F31" s="106">
        <v>146.78</v>
      </c>
      <c r="G31" s="106">
        <v>176.13</v>
      </c>
      <c r="H31" s="106">
        <v>293.55</v>
      </c>
      <c r="I31" s="106">
        <v>763.39</v>
      </c>
      <c r="J31" s="106">
        <v>1453.47</v>
      </c>
      <c r="K31" s="106">
        <v>1835.31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12">
        <v>44926</v>
      </c>
      <c r="C41" s="112">
        <v>45016</v>
      </c>
      <c r="D41" s="112">
        <v>45107</v>
      </c>
      <c r="E41" s="112">
        <v>45199</v>
      </c>
      <c r="F41" s="112">
        <v>45291</v>
      </c>
      <c r="G41" s="112">
        <v>45382</v>
      </c>
      <c r="H41" s="112">
        <v>45473</v>
      </c>
      <c r="I41" s="112">
        <v>45565</v>
      </c>
      <c r="J41" s="112">
        <v>45657</v>
      </c>
      <c r="K41" s="112">
        <v>45747</v>
      </c>
    </row>
    <row r="42" spans="1:11" s="116" customFormat="1" x14ac:dyDescent="0.25">
      <c r="A42" s="116" t="s">
        <v>80</v>
      </c>
      <c r="B42" s="106">
        <v>10399.74</v>
      </c>
      <c r="C42" s="106">
        <v>13202.55</v>
      </c>
      <c r="D42" s="106">
        <v>9691.32</v>
      </c>
      <c r="E42" s="106">
        <v>11429.04</v>
      </c>
      <c r="F42" s="106">
        <v>11092.7</v>
      </c>
      <c r="G42" s="106">
        <v>13542.37</v>
      </c>
      <c r="H42" s="106">
        <v>10724.49</v>
      </c>
      <c r="I42" s="106">
        <v>11147.58</v>
      </c>
      <c r="J42" s="106">
        <v>11995.21</v>
      </c>
      <c r="K42" s="106">
        <v>14695.55</v>
      </c>
    </row>
    <row r="43" spans="1:11" s="116" customFormat="1" x14ac:dyDescent="0.25">
      <c r="A43" s="116" t="s">
        <v>79</v>
      </c>
      <c r="B43" s="106">
        <v>9055.27</v>
      </c>
      <c r="C43" s="106">
        <v>11244.63</v>
      </c>
      <c r="D43" s="106">
        <v>8182.68</v>
      </c>
      <c r="E43" s="106">
        <v>9558.61</v>
      </c>
      <c r="F43" s="106">
        <v>9131.42</v>
      </c>
      <c r="G43" s="106">
        <v>10975.06</v>
      </c>
      <c r="H43" s="106">
        <v>8856.0300000000007</v>
      </c>
      <c r="I43" s="106">
        <v>9107.81</v>
      </c>
      <c r="J43" s="106">
        <v>9658.92</v>
      </c>
      <c r="K43" s="106">
        <v>11704.63</v>
      </c>
    </row>
    <row r="44" spans="1:11" s="116" customFormat="1" x14ac:dyDescent="0.25">
      <c r="A44" s="116" t="s">
        <v>77</v>
      </c>
      <c r="B44" s="106">
        <v>35.96</v>
      </c>
      <c r="C44" s="106">
        <v>96.72</v>
      </c>
      <c r="D44" s="106">
        <v>52.83</v>
      </c>
      <c r="E44" s="106">
        <v>-1.44</v>
      </c>
      <c r="F44" s="106">
        <v>46.09</v>
      </c>
      <c r="G44" s="106">
        <v>10.47</v>
      </c>
      <c r="H44" s="106">
        <v>35.94</v>
      </c>
      <c r="I44" s="106">
        <v>244.62</v>
      </c>
      <c r="J44" s="106">
        <v>74.91</v>
      </c>
      <c r="K44" s="106">
        <v>22.28</v>
      </c>
    </row>
    <row r="45" spans="1:11" s="116" customFormat="1" x14ac:dyDescent="0.25">
      <c r="A45" s="116" t="s">
        <v>76</v>
      </c>
      <c r="B45" s="106">
        <v>220.44</v>
      </c>
      <c r="C45" s="106">
        <v>258.74</v>
      </c>
      <c r="D45" s="106">
        <v>226.89</v>
      </c>
      <c r="E45" s="106">
        <v>226.61</v>
      </c>
      <c r="F45" s="106">
        <v>240.92</v>
      </c>
      <c r="G45" s="106">
        <v>232.87</v>
      </c>
      <c r="H45" s="106">
        <v>235.12</v>
      </c>
      <c r="I45" s="106">
        <v>244.03</v>
      </c>
      <c r="J45" s="106">
        <v>267.7</v>
      </c>
      <c r="K45" s="106">
        <v>339.8</v>
      </c>
    </row>
    <row r="46" spans="1:11" s="116" customFormat="1" x14ac:dyDescent="0.25">
      <c r="A46" s="116" t="s">
        <v>75</v>
      </c>
      <c r="B46" s="106">
        <v>545.19000000000005</v>
      </c>
      <c r="C46" s="106">
        <v>582.13</v>
      </c>
      <c r="D46" s="106">
        <v>655.22</v>
      </c>
      <c r="E46" s="106">
        <v>715.07</v>
      </c>
      <c r="F46" s="106">
        <v>782.73</v>
      </c>
      <c r="G46" s="106">
        <v>829.23</v>
      </c>
      <c r="H46" s="106">
        <v>903.82</v>
      </c>
      <c r="I46" s="106">
        <v>962.3</v>
      </c>
      <c r="J46" s="106">
        <v>1011.27</v>
      </c>
      <c r="K46" s="106">
        <v>1052.82</v>
      </c>
    </row>
    <row r="47" spans="1:11" s="116" customFormat="1" x14ac:dyDescent="0.25">
      <c r="A47" s="116" t="s">
        <v>74</v>
      </c>
      <c r="B47" s="106">
        <v>614.79999999999995</v>
      </c>
      <c r="C47" s="106">
        <v>1213.77</v>
      </c>
      <c r="D47" s="106">
        <v>679.36</v>
      </c>
      <c r="E47" s="106">
        <v>927.31</v>
      </c>
      <c r="F47" s="106">
        <v>983.72</v>
      </c>
      <c r="G47" s="106">
        <v>1515.68</v>
      </c>
      <c r="H47" s="106">
        <v>765.46</v>
      </c>
      <c r="I47" s="106">
        <v>1078.06</v>
      </c>
      <c r="J47" s="106">
        <v>1132.23</v>
      </c>
      <c r="K47" s="106">
        <v>1620.58</v>
      </c>
    </row>
    <row r="48" spans="1:11" s="116" customFormat="1" x14ac:dyDescent="0.25">
      <c r="A48" s="116" t="s">
        <v>73</v>
      </c>
      <c r="B48" s="106">
        <v>263.58999999999997</v>
      </c>
      <c r="C48" s="106">
        <v>411.06</v>
      </c>
      <c r="D48" s="106">
        <v>94.87</v>
      </c>
      <c r="E48" s="106">
        <v>358</v>
      </c>
      <c r="F48" s="106">
        <v>374.87</v>
      </c>
      <c r="G48" s="106">
        <v>581.99</v>
      </c>
      <c r="H48" s="106">
        <v>214.81</v>
      </c>
      <c r="I48" s="106">
        <v>311.51</v>
      </c>
      <c r="J48" s="106">
        <v>312.56</v>
      </c>
      <c r="K48" s="106">
        <v>374.66</v>
      </c>
    </row>
    <row r="49" spans="1:11" s="116" customFormat="1" x14ac:dyDescent="0.25">
      <c r="A49" s="116" t="s">
        <v>72</v>
      </c>
      <c r="B49" s="106">
        <v>319.04000000000002</v>
      </c>
      <c r="C49" s="106">
        <v>752.53</v>
      </c>
      <c r="D49" s="106">
        <v>543.89</v>
      </c>
      <c r="E49" s="106">
        <v>526.01</v>
      </c>
      <c r="F49" s="106">
        <v>560.21</v>
      </c>
      <c r="G49" s="106">
        <v>853.41</v>
      </c>
      <c r="H49" s="106">
        <v>509.15</v>
      </c>
      <c r="I49" s="106">
        <v>705.64</v>
      </c>
      <c r="J49" s="106">
        <v>761.92</v>
      </c>
      <c r="K49" s="106">
        <v>1130.0899999999999</v>
      </c>
    </row>
    <row r="50" spans="1:11" x14ac:dyDescent="0.25">
      <c r="A50" s="116" t="s">
        <v>78</v>
      </c>
      <c r="B50" s="106">
        <v>1344.47</v>
      </c>
      <c r="C50" s="106">
        <v>1957.92</v>
      </c>
      <c r="D50" s="106">
        <v>1508.64</v>
      </c>
      <c r="E50" s="106">
        <v>1870.43</v>
      </c>
      <c r="F50" s="106">
        <v>1961.28</v>
      </c>
      <c r="G50" s="106">
        <v>2567.31</v>
      </c>
      <c r="H50" s="106">
        <v>1868.46</v>
      </c>
      <c r="I50" s="106">
        <v>2039.77</v>
      </c>
      <c r="J50" s="106">
        <v>2336.29</v>
      </c>
      <c r="K50" s="106">
        <v>2990.92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12">
        <v>42460</v>
      </c>
      <c r="C56" s="112">
        <v>42825</v>
      </c>
      <c r="D56" s="112">
        <v>43190</v>
      </c>
      <c r="E56" s="112">
        <v>43555</v>
      </c>
      <c r="F56" s="112">
        <v>43921</v>
      </c>
      <c r="G56" s="112">
        <v>44286</v>
      </c>
      <c r="H56" s="112">
        <v>44651</v>
      </c>
      <c r="I56" s="112">
        <v>45016</v>
      </c>
      <c r="J56" s="112">
        <v>45382</v>
      </c>
      <c r="K56" s="112">
        <v>45747</v>
      </c>
    </row>
    <row r="57" spans="1:11" x14ac:dyDescent="0.25">
      <c r="A57" s="116" t="s">
        <v>101</v>
      </c>
      <c r="B57" s="106">
        <v>284.58999999999997</v>
      </c>
      <c r="C57" s="106">
        <v>284.58999999999997</v>
      </c>
      <c r="D57" s="106">
        <v>292.70999999999998</v>
      </c>
      <c r="E57" s="106">
        <v>293.55</v>
      </c>
      <c r="F57" s="106">
        <v>293.55</v>
      </c>
      <c r="G57" s="106">
        <v>293.55</v>
      </c>
      <c r="H57" s="106">
        <v>293.55</v>
      </c>
      <c r="I57" s="106">
        <v>293.61</v>
      </c>
      <c r="J57" s="106">
        <v>293.63</v>
      </c>
      <c r="K57" s="106">
        <v>293.64999999999998</v>
      </c>
    </row>
    <row r="58" spans="1:11" x14ac:dyDescent="0.25">
      <c r="A58" s="116" t="s">
        <v>100</v>
      </c>
      <c r="B58" s="106">
        <v>4979.1099999999997</v>
      </c>
      <c r="C58" s="106">
        <v>6108.36</v>
      </c>
      <c r="D58" s="106">
        <v>7127.88</v>
      </c>
      <c r="E58" s="106">
        <v>8452.02</v>
      </c>
      <c r="F58" s="106">
        <v>7495.26</v>
      </c>
      <c r="G58" s="106">
        <v>7568.47</v>
      </c>
      <c r="H58" s="106">
        <v>7010.34</v>
      </c>
      <c r="I58" s="106">
        <v>8258.15</v>
      </c>
      <c r="J58" s="106">
        <v>8710.99</v>
      </c>
      <c r="K58" s="106">
        <v>11938.44</v>
      </c>
    </row>
    <row r="59" spans="1:11" x14ac:dyDescent="0.25">
      <c r="A59" s="116" t="s">
        <v>99</v>
      </c>
      <c r="B59" s="106">
        <v>11053.57</v>
      </c>
      <c r="C59" s="106">
        <v>13167.93</v>
      </c>
      <c r="D59" s="106">
        <v>15791.04</v>
      </c>
      <c r="E59" s="106">
        <v>19167.91</v>
      </c>
      <c r="F59" s="106">
        <v>22417.19</v>
      </c>
      <c r="G59" s="106">
        <v>24077.17</v>
      </c>
      <c r="H59" s="106">
        <v>24145.02</v>
      </c>
      <c r="I59" s="106">
        <v>31160.93</v>
      </c>
      <c r="J59" s="106">
        <v>40802.18</v>
      </c>
      <c r="K59" s="106">
        <v>49962.11</v>
      </c>
    </row>
    <row r="60" spans="1:11" x14ac:dyDescent="0.25">
      <c r="A60" s="116" t="s">
        <v>98</v>
      </c>
      <c r="B60" s="106">
        <v>5805.7</v>
      </c>
      <c r="C60" s="106">
        <v>7048.18</v>
      </c>
      <c r="D60" s="106">
        <v>10171.23</v>
      </c>
      <c r="E60" s="106">
        <v>11212.12</v>
      </c>
      <c r="F60" s="106">
        <v>7923.97</v>
      </c>
      <c r="G60" s="106">
        <v>10118.77</v>
      </c>
      <c r="H60" s="106">
        <v>12124.74</v>
      </c>
      <c r="I60" s="106">
        <v>14984.24</v>
      </c>
      <c r="J60" s="106">
        <v>17788.310000000001</v>
      </c>
      <c r="K60" s="106">
        <v>19520.439999999999</v>
      </c>
    </row>
    <row r="61" spans="1:11" s="115" customFormat="1" x14ac:dyDescent="0.25">
      <c r="A61" s="115" t="s">
        <v>93</v>
      </c>
      <c r="B61" s="106">
        <v>22122.97</v>
      </c>
      <c r="C61" s="106">
        <v>26609.06</v>
      </c>
      <c r="D61" s="106">
        <v>33382.86</v>
      </c>
      <c r="E61" s="106">
        <v>39125.599999999999</v>
      </c>
      <c r="F61" s="106">
        <v>38129.97</v>
      </c>
      <c r="G61" s="106">
        <v>42057.96</v>
      </c>
      <c r="H61" s="106">
        <v>43573.65</v>
      </c>
      <c r="I61" s="106">
        <v>54696.93</v>
      </c>
      <c r="J61" s="106">
        <v>67595.11</v>
      </c>
      <c r="K61" s="106">
        <v>81714.64</v>
      </c>
    </row>
    <row r="62" spans="1:11" x14ac:dyDescent="0.25">
      <c r="A62" s="116" t="s">
        <v>97</v>
      </c>
      <c r="B62" s="106">
        <v>5889.78</v>
      </c>
      <c r="C62" s="106">
        <v>6590.79</v>
      </c>
      <c r="D62" s="106">
        <v>6596.14</v>
      </c>
      <c r="E62" s="106">
        <v>6695.47</v>
      </c>
      <c r="F62" s="106">
        <v>8030.93</v>
      </c>
      <c r="G62" s="106">
        <v>8484.2199999999993</v>
      </c>
      <c r="H62" s="106">
        <v>7894.58</v>
      </c>
      <c r="I62" s="106">
        <v>8146.31</v>
      </c>
      <c r="J62" s="106">
        <v>8156.51</v>
      </c>
      <c r="K62" s="106">
        <v>9055.2900000000009</v>
      </c>
    </row>
    <row r="63" spans="1:11" x14ac:dyDescent="0.25">
      <c r="A63" s="116" t="s">
        <v>96</v>
      </c>
      <c r="B63" s="106">
        <v>87.37</v>
      </c>
      <c r="C63" s="106">
        <v>244.19</v>
      </c>
      <c r="D63" s="106">
        <v>439.42</v>
      </c>
      <c r="E63" s="106">
        <v>677.61</v>
      </c>
      <c r="F63" s="106">
        <v>573.89</v>
      </c>
      <c r="G63" s="106">
        <v>335.54</v>
      </c>
      <c r="H63" s="106">
        <v>240.01</v>
      </c>
      <c r="I63" s="106">
        <v>268.12</v>
      </c>
      <c r="J63" s="106">
        <v>414.82</v>
      </c>
      <c r="K63" s="106">
        <v>358.79</v>
      </c>
    </row>
    <row r="64" spans="1:11" x14ac:dyDescent="0.25">
      <c r="A64" s="116" t="s">
        <v>95</v>
      </c>
      <c r="B64" s="106">
        <v>1031.08</v>
      </c>
      <c r="C64" s="106">
        <v>1933.32</v>
      </c>
      <c r="D64" s="106">
        <v>4382.58</v>
      </c>
      <c r="E64" s="106">
        <v>1491.88</v>
      </c>
      <c r="F64" s="106">
        <v>960.34</v>
      </c>
      <c r="G64" s="106">
        <v>1095.6300000000001</v>
      </c>
      <c r="H64" s="106">
        <v>2652.12</v>
      </c>
      <c r="I64" s="106">
        <v>4852.3500000000004</v>
      </c>
      <c r="J64" s="106">
        <v>2328.61</v>
      </c>
      <c r="K64" s="106">
        <v>6609.65</v>
      </c>
    </row>
    <row r="65" spans="1:11" x14ac:dyDescent="0.25">
      <c r="A65" s="116" t="s">
        <v>94</v>
      </c>
      <c r="B65" s="106">
        <v>15114.74</v>
      </c>
      <c r="C65" s="106">
        <v>17840.759999999998</v>
      </c>
      <c r="D65" s="106">
        <v>21964.720000000001</v>
      </c>
      <c r="E65" s="106">
        <v>30260.639999999999</v>
      </c>
      <c r="F65" s="106">
        <v>28564.81</v>
      </c>
      <c r="G65" s="106">
        <v>32142.57</v>
      </c>
      <c r="H65" s="106">
        <v>32786.94</v>
      </c>
      <c r="I65" s="106">
        <v>41430.15</v>
      </c>
      <c r="J65" s="106">
        <v>56695.17</v>
      </c>
      <c r="K65" s="106">
        <v>65690.91</v>
      </c>
    </row>
    <row r="66" spans="1:11" s="115" customFormat="1" x14ac:dyDescent="0.25">
      <c r="A66" s="115" t="s">
        <v>93</v>
      </c>
      <c r="B66" s="106">
        <v>22122.97</v>
      </c>
      <c r="C66" s="106">
        <v>26609.06</v>
      </c>
      <c r="D66" s="106">
        <v>33382.86</v>
      </c>
      <c r="E66" s="106">
        <v>39125.599999999999</v>
      </c>
      <c r="F66" s="106">
        <v>38129.97</v>
      </c>
      <c r="G66" s="106">
        <v>42057.96</v>
      </c>
      <c r="H66" s="106">
        <v>43573.65</v>
      </c>
      <c r="I66" s="106">
        <v>54696.93</v>
      </c>
      <c r="J66" s="106">
        <v>67595.11</v>
      </c>
      <c r="K66" s="106">
        <v>81714.64</v>
      </c>
    </row>
    <row r="67" spans="1:11" s="116" customFormat="1" x14ac:dyDescent="0.25">
      <c r="A67" s="116" t="s">
        <v>115</v>
      </c>
      <c r="B67" s="106">
        <v>1461.38</v>
      </c>
      <c r="C67" s="106">
        <v>1238.4000000000001</v>
      </c>
      <c r="D67" s="106">
        <v>1175.51</v>
      </c>
      <c r="E67" s="106">
        <v>2717.18</v>
      </c>
      <c r="F67" s="106">
        <v>1504.69</v>
      </c>
      <c r="G67" s="106">
        <v>3020.91</v>
      </c>
      <c r="H67" s="106">
        <v>3264.09</v>
      </c>
      <c r="I67" s="106">
        <v>4187.3599999999997</v>
      </c>
      <c r="J67" s="106">
        <v>3898.15</v>
      </c>
      <c r="K67" s="106">
        <v>3346.87</v>
      </c>
    </row>
    <row r="68" spans="1:11" x14ac:dyDescent="0.25">
      <c r="A68" s="116" t="s">
        <v>90</v>
      </c>
      <c r="B68" s="106">
        <v>1922.33</v>
      </c>
      <c r="C68" s="106">
        <v>2955.24</v>
      </c>
      <c r="D68" s="106">
        <v>2214.33</v>
      </c>
      <c r="E68" s="106">
        <v>3077.42</v>
      </c>
      <c r="F68" s="106">
        <v>1547.21</v>
      </c>
      <c r="G68" s="106">
        <v>2495.85</v>
      </c>
      <c r="H68" s="106">
        <v>2540.5500000000002</v>
      </c>
      <c r="I68" s="106">
        <v>3440.43</v>
      </c>
      <c r="J68" s="106">
        <v>4008.01</v>
      </c>
      <c r="K68" s="106">
        <v>3986.08</v>
      </c>
    </row>
    <row r="69" spans="1:11" x14ac:dyDescent="0.25">
      <c r="A69" s="109" t="s">
        <v>114</v>
      </c>
      <c r="B69" s="106">
        <v>1716.52</v>
      </c>
      <c r="C69" s="106">
        <v>1063.6099999999999</v>
      </c>
      <c r="D69" s="106">
        <v>1230.51</v>
      </c>
      <c r="E69" s="106">
        <v>1777.29</v>
      </c>
      <c r="F69" s="106">
        <v>2235.3000000000002</v>
      </c>
      <c r="G69" s="106">
        <v>1778.53</v>
      </c>
      <c r="H69" s="106">
        <v>2138.16</v>
      </c>
      <c r="I69" s="106">
        <v>2186.7199999999998</v>
      </c>
      <c r="J69" s="106">
        <v>7080.05</v>
      </c>
      <c r="K69" s="106">
        <v>7263.44</v>
      </c>
    </row>
    <row r="70" spans="1:11" x14ac:dyDescent="0.25">
      <c r="A70" s="109" t="s">
        <v>113</v>
      </c>
      <c r="B70" s="106">
        <v>2845877394</v>
      </c>
      <c r="C70" s="106">
        <v>2845877394</v>
      </c>
      <c r="D70" s="106">
        <v>2927104861</v>
      </c>
      <c r="E70" s="106">
        <v>2935527276</v>
      </c>
      <c r="F70" s="106">
        <v>2935527276</v>
      </c>
      <c r="G70" s="106">
        <v>2935527276</v>
      </c>
      <c r="H70" s="106">
        <v>2935527276</v>
      </c>
      <c r="I70" s="106">
        <v>2936100000</v>
      </c>
      <c r="J70" s="106">
        <v>2936327276</v>
      </c>
    </row>
    <row r="71" spans="1:11" x14ac:dyDescent="0.25">
      <c r="A71" s="109" t="s">
        <v>112</v>
      </c>
    </row>
    <row r="72" spans="1:11" x14ac:dyDescent="0.25">
      <c r="A72" s="109" t="s">
        <v>111</v>
      </c>
      <c r="B72" s="106">
        <v>1</v>
      </c>
      <c r="C72" s="106">
        <v>1</v>
      </c>
      <c r="D72" s="106">
        <v>1</v>
      </c>
      <c r="E72" s="106">
        <v>1</v>
      </c>
      <c r="F72" s="106">
        <v>1</v>
      </c>
      <c r="G72" s="106">
        <v>1</v>
      </c>
      <c r="H72" s="106">
        <v>1</v>
      </c>
      <c r="I72" s="106">
        <v>1</v>
      </c>
      <c r="J72" s="106">
        <v>1</v>
      </c>
      <c r="K72" s="106">
        <v>1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12">
        <v>42460</v>
      </c>
      <c r="C81" s="112">
        <v>42825</v>
      </c>
      <c r="D81" s="112">
        <v>43190</v>
      </c>
      <c r="E81" s="112">
        <v>43555</v>
      </c>
      <c r="F81" s="112">
        <v>43921</v>
      </c>
      <c r="G81" s="112">
        <v>44286</v>
      </c>
      <c r="H81" s="112">
        <v>44651</v>
      </c>
      <c r="I81" s="112">
        <v>45016</v>
      </c>
      <c r="J81" s="112">
        <v>45382</v>
      </c>
      <c r="K81" s="112">
        <v>45747</v>
      </c>
    </row>
    <row r="82" spans="1:11" s="115" customFormat="1" x14ac:dyDescent="0.25">
      <c r="A82" s="116" t="s">
        <v>108</v>
      </c>
      <c r="B82" s="106">
        <v>-1274.67</v>
      </c>
      <c r="C82" s="106">
        <v>270.10000000000002</v>
      </c>
      <c r="D82" s="106">
        <v>1462.43</v>
      </c>
      <c r="E82" s="106">
        <v>-3745.49</v>
      </c>
      <c r="F82" s="106">
        <v>383.18</v>
      </c>
      <c r="G82" s="106">
        <v>-1065.1300000000001</v>
      </c>
      <c r="H82" s="106">
        <v>2844.56</v>
      </c>
      <c r="I82" s="106">
        <v>-4499.26</v>
      </c>
      <c r="J82" s="106">
        <v>-6257.98</v>
      </c>
      <c r="K82" s="106">
        <v>128.47</v>
      </c>
    </row>
    <row r="83" spans="1:11" s="116" customFormat="1" x14ac:dyDescent="0.25">
      <c r="A83" s="116" t="s">
        <v>107</v>
      </c>
      <c r="B83" s="106">
        <v>455.91</v>
      </c>
      <c r="C83" s="106">
        <v>-1675.89</v>
      </c>
      <c r="D83" s="106">
        <v>-3162.95</v>
      </c>
      <c r="E83" s="106">
        <v>1897.09</v>
      </c>
      <c r="F83" s="106">
        <v>-1201.18</v>
      </c>
      <c r="G83" s="106">
        <v>-972.74</v>
      </c>
      <c r="H83" s="106">
        <v>-1917.01</v>
      </c>
      <c r="I83" s="106">
        <v>-2903.71</v>
      </c>
      <c r="J83" s="106">
        <v>1135.1300000000001</v>
      </c>
      <c r="K83" s="106">
        <v>-5758.27</v>
      </c>
    </row>
    <row r="84" spans="1:11" s="116" customFormat="1" x14ac:dyDescent="0.25">
      <c r="A84" s="116" t="s">
        <v>106</v>
      </c>
      <c r="B84" s="106">
        <v>1659.96</v>
      </c>
      <c r="C84" s="106">
        <v>737.74</v>
      </c>
      <c r="D84" s="106">
        <v>1905.42</v>
      </c>
      <c r="E84" s="106">
        <v>2397.75</v>
      </c>
      <c r="F84" s="106">
        <v>1238.8499999999999</v>
      </c>
      <c r="G84" s="106">
        <v>1330.67</v>
      </c>
      <c r="H84" s="106">
        <v>-377.63</v>
      </c>
      <c r="I84" s="106">
        <v>7280.59</v>
      </c>
      <c r="J84" s="106">
        <v>8431.59</v>
      </c>
      <c r="K84" s="106">
        <v>6957.58</v>
      </c>
    </row>
    <row r="85" spans="1:11" s="115" customFormat="1" x14ac:dyDescent="0.25">
      <c r="A85" s="116" t="s">
        <v>105</v>
      </c>
      <c r="B85" s="106">
        <v>841.2</v>
      </c>
      <c r="C85" s="106">
        <v>-668.05</v>
      </c>
      <c r="D85" s="106">
        <v>204.9</v>
      </c>
      <c r="E85" s="106">
        <v>549.35</v>
      </c>
      <c r="F85" s="106">
        <v>420.85</v>
      </c>
      <c r="G85" s="106">
        <v>-707.2</v>
      </c>
      <c r="H85" s="106">
        <v>549.91999999999996</v>
      </c>
      <c r="I85" s="106">
        <v>-122.38</v>
      </c>
      <c r="J85" s="106">
        <v>3308.74</v>
      </c>
      <c r="K85" s="106">
        <v>1327.78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B90" s="106">
        <v>108.6</v>
      </c>
      <c r="C90" s="106">
        <v>84.55</v>
      </c>
      <c r="D90" s="106">
        <v>145.44999999999999</v>
      </c>
      <c r="E90" s="106">
        <v>91.3</v>
      </c>
      <c r="F90" s="106">
        <v>43.05</v>
      </c>
      <c r="G90" s="106">
        <v>113.5</v>
      </c>
      <c r="H90" s="106">
        <v>117.25</v>
      </c>
      <c r="I90" s="106">
        <v>139.19999999999999</v>
      </c>
      <c r="J90" s="106">
        <v>171.25</v>
      </c>
      <c r="K90" s="106">
        <v>204.22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v>284.58999999999997</v>
      </c>
      <c r="C93" s="114">
        <v>284.58999999999997</v>
      </c>
      <c r="D93" s="114">
        <v>292.70999999999998</v>
      </c>
      <c r="E93" s="114">
        <v>293.55</v>
      </c>
      <c r="F93" s="114">
        <v>293.55</v>
      </c>
      <c r="G93" s="114">
        <v>293.55</v>
      </c>
      <c r="H93" s="114">
        <v>293.55</v>
      </c>
      <c r="I93" s="114">
        <v>293.61</v>
      </c>
      <c r="J93" s="114">
        <v>293.63</v>
      </c>
      <c r="K93" s="114">
        <v>293.64999999999998</v>
      </c>
    </row>
  </sheetData>
  <mergeCells count="2">
    <mergeCell ref="E1:K1"/>
    <mergeCell ref="E2:K2"/>
  </mergeCells>
  <conditionalFormatting sqref="E1:K1">
    <cfRule type="cellIs" dxfId="1" priority="1" operator="notEqual">
      <formula>""</formula>
    </cfRule>
  </conditionalFormatting>
  <hyperlinks>
    <hyperlink ref="E1:K1" r:id="rId1" display="https://www.screener.in/excel/" xr:uid="{5F7EADE1-1D06-4F68-A462-421315065E9E}"/>
  </hyperlinks>
  <pageMargins left="0.7" right="0.7" top="0.75" bottom="0.75" header="0.3" footer="0.3"/>
  <pageSetup paperSize="9"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45AB4-D283-45C3-8BC5-8078CF33CD1A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B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85546875" defaultRowHeight="15" x14ac:dyDescent="0.25"/>
  <cols>
    <col min="1" max="1" width="20.7109375" customWidth="1"/>
    <col min="2" max="6" width="13.42578125" customWidth="1"/>
    <col min="7" max="7" width="14.85546875" bestFit="1" customWidth="1"/>
    <col min="8" max="11" width="13.42578125" customWidth="1"/>
    <col min="12" max="12" width="13.28515625" customWidth="1"/>
    <col min="13" max="14" width="12.140625" customWidth="1"/>
  </cols>
  <sheetData>
    <row r="1" spans="1:14" s="153" customFormat="1" x14ac:dyDescent="0.25">
      <c r="A1" s="153" t="str">
        <f>'Hyundai (DS)'!B1</f>
        <v>HYUNDAI MOTOR INDIA LTD</v>
      </c>
      <c r="H1" t="str">
        <f>UPDATE</f>
        <v/>
      </c>
      <c r="J1" s="154"/>
      <c r="K1" s="154"/>
      <c r="M1" s="153" t="s">
        <v>85</v>
      </c>
    </row>
    <row r="3" spans="1:14" s="153" customFormat="1" x14ac:dyDescent="0.25">
      <c r="A3" s="155" t="s">
        <v>84</v>
      </c>
      <c r="B3" s="156">
        <f>'Hyundai (DS)'!B16</f>
        <v>0</v>
      </c>
      <c r="C3" s="156">
        <f>'Hyundai (DS)'!C16</f>
        <v>0</v>
      </c>
      <c r="D3" s="156">
        <f>'Hyundai (DS)'!D16</f>
        <v>0</v>
      </c>
      <c r="E3" s="156">
        <f>'Hyundai (DS)'!E16</f>
        <v>43555</v>
      </c>
      <c r="F3" s="156">
        <f>'Hyundai (DS)'!F16</f>
        <v>43921</v>
      </c>
      <c r="G3" s="156">
        <f>'Hyundai (DS)'!G16</f>
        <v>44286</v>
      </c>
      <c r="H3" s="156">
        <f>'Hyundai (DS)'!H16</f>
        <v>44651</v>
      </c>
      <c r="I3" s="156">
        <f>'Hyundai (DS)'!I16</f>
        <v>45016</v>
      </c>
      <c r="J3" s="156">
        <f>'Hyundai (DS)'!J16</f>
        <v>45382</v>
      </c>
      <c r="K3" s="156">
        <f>'Hyundai (DS)'!K16</f>
        <v>45747</v>
      </c>
      <c r="L3" s="157" t="s">
        <v>83</v>
      </c>
      <c r="M3" s="157" t="s">
        <v>82</v>
      </c>
      <c r="N3" s="157" t="s">
        <v>81</v>
      </c>
    </row>
    <row r="4" spans="1:14" s="153" customFormat="1" x14ac:dyDescent="0.25">
      <c r="A4" s="153" t="s">
        <v>80</v>
      </c>
      <c r="B4" s="115">
        <f>'Hyundai (DS)'!B17</f>
        <v>0</v>
      </c>
      <c r="C4" s="115">
        <f>'Hyundai (DS)'!C17</f>
        <v>0</v>
      </c>
      <c r="D4" s="115">
        <f>'Hyundai (DS)'!D17</f>
        <v>0</v>
      </c>
      <c r="E4" s="115">
        <f>'Hyundai (DS)'!E17</f>
        <v>43258.09</v>
      </c>
      <c r="F4" s="115">
        <f>'Hyundai (DS)'!F17</f>
        <v>42978.63</v>
      </c>
      <c r="G4" s="115">
        <f>'Hyundai (DS)'!G17</f>
        <v>40674.01</v>
      </c>
      <c r="H4" s="115">
        <f>'Hyundai (DS)'!H17</f>
        <v>47042.79</v>
      </c>
      <c r="I4" s="115">
        <f>'Hyundai (DS)'!I17</f>
        <v>59761.45</v>
      </c>
      <c r="J4" s="115">
        <f>'Hyundai (DS)'!J17</f>
        <v>68538.61</v>
      </c>
      <c r="K4" s="115">
        <f>'Hyundai (DS)'!K17</f>
        <v>67653.81</v>
      </c>
      <c r="L4" s="115">
        <f>SUM([9]Quarters!H4:K4)</f>
        <v>0</v>
      </c>
      <c r="M4" s="115">
        <f>$K4+M23*K4</f>
        <v>76364.583765106145</v>
      </c>
      <c r="N4" s="115">
        <f>$K4+N23*L4</f>
        <v>67653.81</v>
      </c>
    </row>
    <row r="5" spans="1:14" x14ac:dyDescent="0.25">
      <c r="A5" t="s">
        <v>79</v>
      </c>
      <c r="B5" s="116">
        <f>SUM('Hyundai (DS)'!B18,'Hyundai (DS)'!B20:B24, -1*'Hyundai (DS)'!B19)</f>
        <v>0</v>
      </c>
      <c r="C5" s="116">
        <f>SUM('Hyundai (DS)'!C18,'Hyundai (DS)'!C20:C24, -1*'Hyundai (DS)'!C19)</f>
        <v>0</v>
      </c>
      <c r="D5" s="116">
        <f>SUM('Hyundai (DS)'!D18,'Hyundai (DS)'!D20:D24, -1*'Hyundai (DS)'!D19)</f>
        <v>0</v>
      </c>
      <c r="E5" s="116">
        <f>SUM('Hyundai (DS)'!E18,'Hyundai (DS)'!E20:E24, -1*'Hyundai (DS)'!E19)</f>
        <v>38415.109999999993</v>
      </c>
      <c r="F5" s="116">
        <f>SUM('Hyundai (DS)'!F18,'Hyundai (DS)'!F20:F24, -1*'Hyundai (DS)'!F19)</f>
        <v>38693.57</v>
      </c>
      <c r="G5" s="116">
        <f>SUM('Hyundai (DS)'!G18,'Hyundai (DS)'!G20:G24, -1*'Hyundai (DS)'!G19)</f>
        <v>36496.75</v>
      </c>
      <c r="H5" s="116">
        <f>SUM('Hyundai (DS)'!H18,'Hyundai (DS)'!H20:H24, -1*'Hyundai (DS)'!H19)</f>
        <v>41628.019999999997</v>
      </c>
      <c r="I5" s="116">
        <f>SUM('Hyundai (DS)'!I18,'Hyundai (DS)'!I20:I24, -1*'Hyundai (DS)'!I19)</f>
        <v>52307.62</v>
      </c>
      <c r="J5" s="116">
        <f>SUM('Hyundai (DS)'!J18,'Hyundai (DS)'!J20:J24, -1*'Hyundai (DS)'!J19)</f>
        <v>59569.390000000007</v>
      </c>
      <c r="K5" s="116">
        <f>SUM('Hyundai (DS)'!K18,'Hyundai (DS)'!K20:K24, -1*'Hyundai (DS)'!K19)</f>
        <v>58905.780000000006</v>
      </c>
      <c r="L5" s="116">
        <f>SUM([9]Quarters!H5:K5)</f>
        <v>0</v>
      </c>
      <c r="M5" s="116">
        <f t="shared" ref="M5:N5" si="0">M4-M6</f>
        <v>66555.239111090457</v>
      </c>
      <c r="N5" s="116">
        <f t="shared" si="0"/>
        <v>67653.81</v>
      </c>
    </row>
    <row r="6" spans="1:14" s="153" customFormat="1" x14ac:dyDescent="0.25">
      <c r="A6" s="153" t="s">
        <v>78</v>
      </c>
      <c r="B6" s="115">
        <f>B4-B5</f>
        <v>0</v>
      </c>
      <c r="C6" s="115">
        <f t="shared" ref="C6:K6" si="1">C4-C5</f>
        <v>0</v>
      </c>
      <c r="D6" s="115">
        <f t="shared" si="1"/>
        <v>0</v>
      </c>
      <c r="E6" s="115">
        <f t="shared" si="1"/>
        <v>4842.9800000000032</v>
      </c>
      <c r="F6" s="115">
        <f t="shared" si="1"/>
        <v>4285.0599999999977</v>
      </c>
      <c r="G6" s="115">
        <f t="shared" si="1"/>
        <v>4177.260000000002</v>
      </c>
      <c r="H6" s="115">
        <f t="shared" si="1"/>
        <v>5414.7700000000041</v>
      </c>
      <c r="I6" s="115">
        <f t="shared" si="1"/>
        <v>7453.8299999999945</v>
      </c>
      <c r="J6" s="115">
        <f t="shared" si="1"/>
        <v>8969.2199999999939</v>
      </c>
      <c r="K6" s="115">
        <f t="shared" si="1"/>
        <v>8748.0299999999916</v>
      </c>
      <c r="L6" s="115">
        <f>SUM([9]Quarters!H6:K6)</f>
        <v>0</v>
      </c>
      <c r="M6" s="115">
        <f>M4*M24</f>
        <v>9809.3446540156947</v>
      </c>
      <c r="N6" s="115">
        <f>N4*N24</f>
        <v>0</v>
      </c>
    </row>
    <row r="7" spans="1:14" x14ac:dyDescent="0.25">
      <c r="A7" t="s">
        <v>77</v>
      </c>
      <c r="B7" s="116">
        <f>'Hyundai (DS)'!B25</f>
        <v>0</v>
      </c>
      <c r="C7" s="116">
        <f>'Hyundai (DS)'!C25</f>
        <v>0</v>
      </c>
      <c r="D7" s="116">
        <f>'Hyundai (DS)'!D25</f>
        <v>0</v>
      </c>
      <c r="E7" s="116">
        <f>'Hyundai (DS)'!E25</f>
        <v>661.99</v>
      </c>
      <c r="F7" s="116">
        <f>'Hyundai (DS)'!F25</f>
        <v>699.48</v>
      </c>
      <c r="G7" s="116">
        <f>'Hyundai (DS)'!G25</f>
        <v>424.09</v>
      </c>
      <c r="H7" s="116">
        <f>'Hyundai (DS)'!H25</f>
        <v>575.59</v>
      </c>
      <c r="I7" s="116">
        <f>'Hyundai (DS)'!I25</f>
        <v>1112.46</v>
      </c>
      <c r="J7" s="116">
        <f>'Hyundai (DS)'!J25</f>
        <v>1456.66</v>
      </c>
      <c r="K7" s="116">
        <f>'Hyundai (DS)'!K25</f>
        <v>844.86</v>
      </c>
      <c r="L7" s="116">
        <f>SUM([9]Quarters!H7:K7)</f>
        <v>0</v>
      </c>
      <c r="M7" s="116">
        <v>0</v>
      </c>
      <c r="N7" s="116">
        <v>0</v>
      </c>
    </row>
    <row r="8" spans="1:14" x14ac:dyDescent="0.25">
      <c r="A8" t="s">
        <v>76</v>
      </c>
      <c r="B8" s="116">
        <f>'Hyundai (DS)'!B26</f>
        <v>0</v>
      </c>
      <c r="C8" s="116">
        <f>'Hyundai (DS)'!C26</f>
        <v>0</v>
      </c>
      <c r="D8" s="116">
        <f>'Hyundai (DS)'!D26</f>
        <v>0</v>
      </c>
      <c r="E8" s="116">
        <f>'Hyundai (DS)'!E26</f>
        <v>1409.52</v>
      </c>
      <c r="F8" s="116">
        <f>'Hyundai (DS)'!F26</f>
        <v>1615.68</v>
      </c>
      <c r="G8" s="116">
        <f>'Hyundai (DS)'!G26</f>
        <v>1943.71</v>
      </c>
      <c r="H8" s="116">
        <f>'Hyundai (DS)'!H26</f>
        <v>2135.6799999999998</v>
      </c>
      <c r="I8" s="116">
        <f>'Hyundai (DS)'!I26</f>
        <v>2155.2199999999998</v>
      </c>
      <c r="J8" s="116">
        <f>'Hyundai (DS)'!J26</f>
        <v>2172.42</v>
      </c>
      <c r="K8" s="116">
        <f>'Hyundai (DS)'!K26</f>
        <v>2074.6799999999998</v>
      </c>
      <c r="L8" s="116">
        <f>SUM([9]Quarters!H8:K8)</f>
        <v>0</v>
      </c>
      <c r="M8" s="116">
        <f>+$L8</f>
        <v>0</v>
      </c>
      <c r="N8" s="116">
        <f>+$L8</f>
        <v>0</v>
      </c>
    </row>
    <row r="9" spans="1:14" x14ac:dyDescent="0.25">
      <c r="A9" t="s">
        <v>75</v>
      </c>
      <c r="B9" s="116">
        <f>'Hyundai (DS)'!B27</f>
        <v>0</v>
      </c>
      <c r="C9" s="116">
        <f>'Hyundai (DS)'!C27</f>
        <v>0</v>
      </c>
      <c r="D9" s="116">
        <f>'Hyundai (DS)'!D27</f>
        <v>0</v>
      </c>
      <c r="E9" s="116">
        <f>'Hyundai (DS)'!E27</f>
        <v>127.66</v>
      </c>
      <c r="F9" s="116">
        <f>'Hyundai (DS)'!F27</f>
        <v>155.94</v>
      </c>
      <c r="G9" s="116">
        <f>'Hyundai (DS)'!G27</f>
        <v>164.65</v>
      </c>
      <c r="H9" s="116">
        <f>'Hyundai (DS)'!H27</f>
        <v>131.88999999999999</v>
      </c>
      <c r="I9" s="116">
        <f>'Hyundai (DS)'!I27</f>
        <v>142.22</v>
      </c>
      <c r="J9" s="116">
        <f>'Hyundai (DS)'!J27</f>
        <v>157.97</v>
      </c>
      <c r="K9" s="116">
        <f>'Hyundai (DS)'!K27</f>
        <v>127.15</v>
      </c>
      <c r="L9" s="116">
        <f>SUM([9]Quarters!H9:K9)</f>
        <v>0</v>
      </c>
      <c r="M9" s="116">
        <f>+$L9</f>
        <v>0</v>
      </c>
      <c r="N9" s="116">
        <f>+$L9</f>
        <v>0</v>
      </c>
    </row>
    <row r="10" spans="1:14" x14ac:dyDescent="0.25">
      <c r="A10" t="s">
        <v>74</v>
      </c>
      <c r="B10" s="116">
        <f>'Hyundai (DS)'!B28</f>
        <v>0</v>
      </c>
      <c r="C10" s="116">
        <f>'Hyundai (DS)'!C28</f>
        <v>0</v>
      </c>
      <c r="D10" s="116">
        <f>'Hyundai (DS)'!D28</f>
        <v>0</v>
      </c>
      <c r="E10" s="116">
        <f>'Hyundai (DS)'!E28</f>
        <v>3967.79</v>
      </c>
      <c r="F10" s="116">
        <f>'Hyundai (DS)'!F28</f>
        <v>3212.92</v>
      </c>
      <c r="G10" s="116">
        <f>'Hyundai (DS)'!G28</f>
        <v>2492.9899999999998</v>
      </c>
      <c r="H10" s="116">
        <f>'Hyundai (DS)'!H28</f>
        <v>3722.79</v>
      </c>
      <c r="I10" s="116">
        <f>'Hyundai (DS)'!I28</f>
        <v>6268.85</v>
      </c>
      <c r="J10" s="116">
        <f>'Hyundai (DS)'!J28</f>
        <v>8095.49</v>
      </c>
      <c r="K10" s="116">
        <f>'Hyundai (DS)'!K28</f>
        <v>7391.06</v>
      </c>
      <c r="L10" s="116">
        <f>SUM([9]Quarters!H10:K10)</f>
        <v>0</v>
      </c>
      <c r="M10" s="116">
        <f>M6+M7-SUM(M8:M9)</f>
        <v>9809.3446540156947</v>
      </c>
      <c r="N10" s="116">
        <f>N6+N7-SUM(N8:N9)</f>
        <v>0</v>
      </c>
    </row>
    <row r="11" spans="1:14" x14ac:dyDescent="0.25">
      <c r="A11" t="s">
        <v>73</v>
      </c>
      <c r="B11" s="116">
        <f>'Hyundai (DS)'!B29</f>
        <v>0</v>
      </c>
      <c r="C11" s="116">
        <f>'Hyundai (DS)'!C29</f>
        <v>0</v>
      </c>
      <c r="D11" s="116">
        <f>'Hyundai (DS)'!D29</f>
        <v>0</v>
      </c>
      <c r="E11" s="116">
        <f>'Hyundai (DS)'!E29</f>
        <v>1386.06</v>
      </c>
      <c r="F11" s="116">
        <f>'Hyundai (DS)'!F29</f>
        <v>857.93</v>
      </c>
      <c r="G11" s="116">
        <f>'Hyundai (DS)'!G29</f>
        <v>645.82000000000005</v>
      </c>
      <c r="H11" s="116">
        <f>'Hyundai (DS)'!H29</f>
        <v>861.03</v>
      </c>
      <c r="I11" s="116">
        <f>'Hyundai (DS)'!I29</f>
        <v>1615.01</v>
      </c>
      <c r="J11" s="116">
        <f>'Hyundai (DS)'!J29</f>
        <v>2141.1799999999998</v>
      </c>
      <c r="K11" s="116">
        <f>'Hyundai (DS)'!K29</f>
        <v>1898.81</v>
      </c>
      <c r="L11" s="116">
        <f>SUM([9]Quarters!H11:K11)</f>
        <v>0</v>
      </c>
      <c r="M11" s="122">
        <f>IF($L10&gt;0,$L11/$L10,0)</f>
        <v>0</v>
      </c>
      <c r="N11" s="122">
        <f>IF($L10&gt;0,$L11/$L10,0)</f>
        <v>0</v>
      </c>
    </row>
    <row r="12" spans="1:14" s="153" customFormat="1" x14ac:dyDescent="0.25">
      <c r="A12" s="153" t="s">
        <v>72</v>
      </c>
      <c r="B12" s="115">
        <f>'Hyundai (DS)'!B30</f>
        <v>0</v>
      </c>
      <c r="C12" s="115">
        <f>'Hyundai (DS)'!C30</f>
        <v>0</v>
      </c>
      <c r="D12" s="115">
        <f>'Hyundai (DS)'!D30</f>
        <v>0</v>
      </c>
      <c r="E12" s="115">
        <f>'Hyundai (DS)'!E30</f>
        <v>2581.73</v>
      </c>
      <c r="F12" s="115">
        <f>'Hyundai (DS)'!F30</f>
        <v>2355</v>
      </c>
      <c r="G12" s="115">
        <f>'Hyundai (DS)'!G30</f>
        <v>1847.16</v>
      </c>
      <c r="H12" s="115">
        <f>'Hyundai (DS)'!H30</f>
        <v>2861.77</v>
      </c>
      <c r="I12" s="115">
        <f>'Hyundai (DS)'!I30</f>
        <v>4653.8500000000004</v>
      </c>
      <c r="J12" s="115">
        <f>'Hyundai (DS)'!J30</f>
        <v>5954.31</v>
      </c>
      <c r="K12" s="115">
        <f>'Hyundai (DS)'!K30</f>
        <v>5492.25</v>
      </c>
      <c r="L12" s="115">
        <f>SUM([9]Quarters!H12:K12)</f>
        <v>0</v>
      </c>
      <c r="M12" s="115">
        <f>M10-M11*M10</f>
        <v>9809.3446540156947</v>
      </c>
      <c r="N12" s="115">
        <f>N10-N11*N10</f>
        <v>0</v>
      </c>
    </row>
    <row r="13" spans="1:14" x14ac:dyDescent="0.25">
      <c r="A13" t="s">
        <v>43</v>
      </c>
      <c r="B13" s="116">
        <f>IF('Hyundai (DS)'!B93&gt;0,B12/'Hyundai (DS)'!B93,0)</f>
        <v>0</v>
      </c>
      <c r="C13" s="116">
        <f>IF('Hyundai (DS)'!C93&gt;0,C12/'Hyundai (DS)'!C93,0)</f>
        <v>0</v>
      </c>
      <c r="D13" s="116">
        <f>IF('Hyundai (DS)'!D93&gt;0,D12/'Hyundai (DS)'!D93,0)</f>
        <v>0</v>
      </c>
      <c r="E13" s="116">
        <f>IF('Hyundai (DS)'!E93&gt;0,E12/'Hyundai (DS)'!E93,0)</f>
        <v>31.773531209682812</v>
      </c>
      <c r="F13" s="116">
        <f>IF('Hyundai (DS)'!F93&gt;0,F12/'Hyundai (DS)'!F93,0)</f>
        <v>28.983149283156262</v>
      </c>
      <c r="G13" s="116">
        <f>IF('Hyundai (DS)'!G93&gt;0,G12/'Hyundai (DS)'!G93,0)</f>
        <v>22.733126976592324</v>
      </c>
      <c r="H13" s="116">
        <f>IF('Hyundai (DS)'!H93&gt;0,H12/'Hyundai (DS)'!H93,0)</f>
        <v>35.220003025077744</v>
      </c>
      <c r="I13" s="116">
        <f>IF('Hyundai (DS)'!I93&gt;0,I12/'Hyundai (DS)'!I93,0)</f>
        <v>57.275256599327719</v>
      </c>
      <c r="J13" s="116">
        <f>IF('Hyundai (DS)'!J93&gt;0,J12/'Hyundai (DS)'!J93,0)</f>
        <v>73.280108538509623</v>
      </c>
      <c r="K13" s="116">
        <f>IF('Hyundai (DS)'!K93&gt;0,K12/'Hyundai (DS)'!K93,0)</f>
        <v>67.596923076923076</v>
      </c>
      <c r="L13" s="116">
        <f>IF('Hyundai (DS)'!$B6&gt;0,'Hyundai (IS)'!L12/'Hyundai (DS)'!$B6,0)</f>
        <v>0</v>
      </c>
      <c r="M13" s="116">
        <f>IF('Hyundai (DS)'!$B6&gt;0,'Hyundai (IS)'!M12/'Hyundai (DS)'!$B6,0)</f>
        <v>120.66965611565291</v>
      </c>
      <c r="N13" s="116">
        <f>IF('Hyundai (DS)'!$B6&gt;0,'Hyundai (IS)'!N12/'Hyundai (DS)'!$B6,0)</f>
        <v>0</v>
      </c>
    </row>
    <row r="14" spans="1:14" x14ac:dyDescent="0.25">
      <c r="A14" t="s">
        <v>71</v>
      </c>
      <c r="B14" s="116" t="str">
        <f>IF(B15&gt;0,B15/B13,"")</f>
        <v/>
      </c>
      <c r="C14" s="116" t="str">
        <f t="shared" ref="C14:K14" si="2">IF(C15&gt;0,C15/C13,"")</f>
        <v/>
      </c>
      <c r="D14" s="116" t="str">
        <f t="shared" si="2"/>
        <v/>
      </c>
      <c r="E14" s="116" t="str">
        <f t="shared" si="2"/>
        <v/>
      </c>
      <c r="F14" s="116" t="str">
        <f t="shared" si="2"/>
        <v/>
      </c>
      <c r="G14" s="116" t="str">
        <f t="shared" si="2"/>
        <v/>
      </c>
      <c r="H14" s="116" t="str">
        <f t="shared" si="2"/>
        <v/>
      </c>
      <c r="I14" s="116" t="str">
        <f t="shared" si="2"/>
        <v/>
      </c>
      <c r="J14" s="116" t="str">
        <f t="shared" si="2"/>
        <v/>
      </c>
      <c r="K14" s="116">
        <f t="shared" si="2"/>
        <v>25.26224452637808</v>
      </c>
      <c r="L14" s="116">
        <f t="shared" ref="L14" si="3">IF(L13&gt;0,L15/L13,0)</f>
        <v>0</v>
      </c>
      <c r="M14" s="116">
        <f>M25</f>
        <v>25.26224452637808</v>
      </c>
      <c r="N14" s="116">
        <f>N25</f>
        <v>0</v>
      </c>
    </row>
    <row r="15" spans="1:14" s="153" customFormat="1" x14ac:dyDescent="0.25">
      <c r="A15" s="153" t="s">
        <v>30</v>
      </c>
      <c r="B15" s="115">
        <f>'Hyundai (DS)'!B90</f>
        <v>0</v>
      </c>
      <c r="C15" s="115">
        <f>'Hyundai (DS)'!C90</f>
        <v>0</v>
      </c>
      <c r="D15" s="115">
        <f>'Hyundai (DS)'!D90</f>
        <v>0</v>
      </c>
      <c r="E15" s="115">
        <f>'Hyundai (DS)'!E90</f>
        <v>0</v>
      </c>
      <c r="F15" s="115">
        <f>'Hyundai (DS)'!F90</f>
        <v>0</v>
      </c>
      <c r="G15" s="115">
        <f>'Hyundai (DS)'!G90</f>
        <v>0</v>
      </c>
      <c r="H15" s="115">
        <f>'Hyundai (DS)'!H90</f>
        <v>0</v>
      </c>
      <c r="I15" s="115">
        <f>'Hyundai (DS)'!I90</f>
        <v>0</v>
      </c>
      <c r="J15" s="115">
        <f>'Hyundai (DS)'!J90</f>
        <v>0</v>
      </c>
      <c r="K15" s="115">
        <f>'Hyundai (DS)'!K90</f>
        <v>1707.65</v>
      </c>
      <c r="L15" s="115">
        <f>'Hyundai (DS)'!B8</f>
        <v>2050</v>
      </c>
      <c r="M15" s="85">
        <f>M13*M14</f>
        <v>3048.3863597075779</v>
      </c>
      <c r="N15" s="84">
        <f>N13*N14</f>
        <v>0</v>
      </c>
    </row>
    <row r="17" spans="1:14" s="153" customFormat="1" x14ac:dyDescent="0.25">
      <c r="A17" s="153" t="s">
        <v>70</v>
      </c>
    </row>
    <row r="18" spans="1:14" x14ac:dyDescent="0.25">
      <c r="A18" t="s">
        <v>69</v>
      </c>
      <c r="B18" s="158">
        <f>IF('Hyundai (DS)'!B30&gt;0, 'Hyundai (DS)'!B31/'Hyundai (DS)'!B30, 0)</f>
        <v>0</v>
      </c>
      <c r="C18" s="158">
        <f>IF('Hyundai (DS)'!C30&gt;0, 'Hyundai (DS)'!C31/'Hyundai (DS)'!C30, 0)</f>
        <v>0</v>
      </c>
      <c r="D18" s="158">
        <f>IF('Hyundai (DS)'!D30&gt;0, 'Hyundai (DS)'!D31/'Hyundai (DS)'!D30, 0)</f>
        <v>0</v>
      </c>
      <c r="E18" s="158">
        <f>IF('Hyundai (DS)'!E30&gt;0, 'Hyundai (DS)'!E31/'Hyundai (DS)'!E30, 0)</f>
        <v>0</v>
      </c>
      <c r="F18" s="158">
        <f>IF('Hyundai (DS)'!F30&gt;0, 'Hyundai (DS)'!F31/'Hyundai (DS)'!F30, 0)</f>
        <v>0</v>
      </c>
      <c r="G18" s="158">
        <f>IF('Hyundai (DS)'!G30&gt;0, 'Hyundai (DS)'!G31/'Hyundai (DS)'!G30, 0)</f>
        <v>0.73592975161870122</v>
      </c>
      <c r="H18" s="158">
        <f>IF('Hyundai (DS)'!H30&gt;0, 'Hyundai (DS)'!H31/'Hyundai (DS)'!H30, 0)</f>
        <v>0.52186234393399888</v>
      </c>
      <c r="I18" s="158">
        <f>IF('Hyundai (DS)'!I30&gt;0, 'Hyundai (DS)'!I31/'Hyundai (DS)'!I30, 0)</f>
        <v>0.9999076033821459</v>
      </c>
      <c r="J18" s="158">
        <f>IF('Hyundai (DS)'!J30&gt;0, 'Hyundai (DS)'!J31/'Hyundai (DS)'!J30, 0)</f>
        <v>1.8108580171338071</v>
      </c>
      <c r="K18" s="158">
        <f>IF('Hyundai (DS)'!K30&gt;0, 'Hyundai (DS)'!K31/'Hyundai (DS)'!K30, 0)</f>
        <v>0.31067959397332606</v>
      </c>
    </row>
    <row r="19" spans="1:14" x14ac:dyDescent="0.25">
      <c r="A19" t="s">
        <v>59</v>
      </c>
      <c r="B19" s="158">
        <f t="shared" ref="B19:L19" si="4">IF(B6&gt;0,B6/B4,0)</f>
        <v>0</v>
      </c>
      <c r="C19" s="158">
        <f t="shared" si="4"/>
        <v>0</v>
      </c>
      <c r="D19" s="158">
        <f t="shared" si="4"/>
        <v>0</v>
      </c>
      <c r="E19" s="158">
        <f t="shared" si="4"/>
        <v>0.11195547468693147</v>
      </c>
      <c r="F19" s="158">
        <f t="shared" si="4"/>
        <v>9.9702107768442086E-2</v>
      </c>
      <c r="G19" s="158">
        <f t="shared" si="4"/>
        <v>0.10270096309658187</v>
      </c>
      <c r="H19" s="158">
        <f t="shared" si="4"/>
        <v>0.11510307955799398</v>
      </c>
      <c r="I19" s="158">
        <f t="shared" si="4"/>
        <v>0.12472639134425277</v>
      </c>
      <c r="J19" s="158">
        <f t="shared" si="4"/>
        <v>0.13086375693933672</v>
      </c>
      <c r="K19" s="158">
        <f t="shared" si="4"/>
        <v>0.129305799629023</v>
      </c>
      <c r="L19" s="158">
        <f t="shared" si="4"/>
        <v>0</v>
      </c>
    </row>
    <row r="20" spans="1:14" x14ac:dyDescent="0.25"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</row>
    <row r="21" spans="1:14" x14ac:dyDescent="0.25"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</row>
    <row r="22" spans="1:14" s="153" customFormat="1" x14ac:dyDescent="0.25">
      <c r="A22" s="155"/>
      <c r="B22" s="156"/>
      <c r="C22" s="156"/>
      <c r="D22" s="156"/>
      <c r="E22" s="156"/>
      <c r="F22" s="156"/>
      <c r="G22" s="156" t="s">
        <v>68</v>
      </c>
      <c r="H22" s="156" t="s">
        <v>67</v>
      </c>
      <c r="I22" s="156" t="s">
        <v>66</v>
      </c>
      <c r="J22" s="156" t="s">
        <v>65</v>
      </c>
      <c r="K22" s="156" t="s">
        <v>64</v>
      </c>
      <c r="L22" s="157" t="s">
        <v>63</v>
      </c>
      <c r="M22" s="157" t="s">
        <v>62</v>
      </c>
      <c r="N22" s="157" t="s">
        <v>61</v>
      </c>
    </row>
    <row r="23" spans="1:14" s="153" customFormat="1" x14ac:dyDescent="0.25">
      <c r="A23"/>
      <c r="B23"/>
      <c r="C23"/>
      <c r="D23"/>
      <c r="E23"/>
      <c r="F23"/>
      <c r="G23" t="s">
        <v>60</v>
      </c>
      <c r="H23" s="158" t="str">
        <f>IF(B4=0,"",POWER($K4/B4,1/9)-1)</f>
        <v/>
      </c>
      <c r="I23" s="158" t="str">
        <f>IF(D4=0,"",POWER($K4/D4,1/7)-1)</f>
        <v/>
      </c>
      <c r="J23" s="158">
        <f>IF(F4=0,"",POWER($K4/F4,1/5)-1)</f>
        <v>9.4984416194314969E-2</v>
      </c>
      <c r="K23" s="158">
        <f>IF(H4=0,"",POWER($K4/H4, 1/3)-1)</f>
        <v>0.12875511024591435</v>
      </c>
      <c r="L23" s="158">
        <f>IF(ISERROR(MAX(IF(J4=0,"",(K4-J4)/J4),IF(K4=0,"",(L4-K4)/K4))),"",MAX(IF(J4=0,"",(K4-J4)/J4),IF(K4=0,"",(L4-K4)/K4)))</f>
        <v>-1.2909511879508541E-2</v>
      </c>
      <c r="M23" s="159">
        <f>MAX(K23:L23)</f>
        <v>0.12875511024591435</v>
      </c>
      <c r="N23" s="159">
        <f>MIN(H23:L23)</f>
        <v>-1.2909511879508541E-2</v>
      </c>
    </row>
    <row r="24" spans="1:14" x14ac:dyDescent="0.25">
      <c r="G24" t="s">
        <v>59</v>
      </c>
      <c r="H24" s="158">
        <f>IF(SUM(B4:$K$4)=0,"",SUMPRODUCT(B19:$K$19,B4:$K$4)/SUM(B4:$K$4))</f>
        <v>0.11865442861252376</v>
      </c>
      <c r="I24" s="158">
        <f>IF(SUM(E4:$K$4)=0,"",SUMPRODUCT(E19:$K$19,E4:$K$4)/SUM(E4:$K$4))</f>
        <v>0.11865442861252376</v>
      </c>
      <c r="J24" s="158">
        <f>IF(SUM(G4:$K$4)=0,"",SUMPRODUCT(G19:$K$19,G4:$K$4)/SUM(G4:$K$4))</f>
        <v>0.12254742444821662</v>
      </c>
      <c r="K24" s="158">
        <f>IF(SUM(I4:$K$4)=0, "", SUMPRODUCT(I19:$K$19,I4:$K$4)/SUM(I4:$K$4))</f>
        <v>0.12845411014337191</v>
      </c>
      <c r="L24" s="158">
        <f>L19</f>
        <v>0</v>
      </c>
      <c r="M24" s="159">
        <f>MAX(K24:L24)</f>
        <v>0.12845411014337191</v>
      </c>
      <c r="N24" s="159">
        <f>MIN(H24:L24)</f>
        <v>0</v>
      </c>
    </row>
    <row r="25" spans="1:14" x14ac:dyDescent="0.25">
      <c r="G25" t="s">
        <v>58</v>
      </c>
      <c r="H25" s="116">
        <f>IF(ISERROR(AVERAGEIF(B14:$L14,"&gt;0")),"",AVERAGEIF(B14:$L14,"&gt;0"))</f>
        <v>25.26224452637808</v>
      </c>
      <c r="I25" s="116">
        <f>IF(ISERROR(AVERAGEIF(E14:$L14,"&gt;0")),"",AVERAGEIF(E14:$L14,"&gt;0"))</f>
        <v>25.26224452637808</v>
      </c>
      <c r="J25" s="116">
        <f>IF(ISERROR(AVERAGEIF(G14:$L14,"&gt;0")),"",AVERAGEIF(G14:$L14,"&gt;0"))</f>
        <v>25.26224452637808</v>
      </c>
      <c r="K25" s="116">
        <f>IF(ISERROR(AVERAGEIF(I14:$L14,"&gt;0")),"",AVERAGEIF(I14:$L14,"&gt;0"))</f>
        <v>25.26224452637808</v>
      </c>
      <c r="L25" s="116">
        <f>L14</f>
        <v>0</v>
      </c>
      <c r="M25" s="115">
        <f>MAX(K25:L25)</f>
        <v>25.26224452637808</v>
      </c>
      <c r="N25" s="115">
        <f>MIN(H25:L25)</f>
        <v>0</v>
      </c>
    </row>
  </sheetData>
  <hyperlinks>
    <hyperlink ref="M1" r:id="rId1" xr:uid="{3A6645EC-6482-4AF4-AB73-7989F2C88306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D5311-FBD8-45CE-9919-D23F82A25589}">
  <dimension ref="A1:AC38"/>
  <sheetViews>
    <sheetView showGridLines="0" zoomScaleNormal="100" workbookViewId="0">
      <selection activeCell="C5" sqref="C5"/>
    </sheetView>
  </sheetViews>
  <sheetFormatPr defaultRowHeight="15.75" x14ac:dyDescent="0.25"/>
  <cols>
    <col min="1" max="1" width="2.85546875" style="1" customWidth="1"/>
    <col min="2" max="2" width="13.28515625" style="1" customWidth="1"/>
    <col min="3" max="3" width="19.28515625" style="1" customWidth="1"/>
    <col min="4" max="4" width="9.42578125" style="1" bestFit="1" customWidth="1"/>
    <col min="5" max="5" width="9.140625" style="1"/>
    <col min="6" max="6" width="11" style="1" bestFit="1" customWidth="1"/>
    <col min="7" max="7" width="10.5703125" style="1" bestFit="1" customWidth="1"/>
    <col min="8" max="8" width="9.140625" style="1"/>
    <col min="9" max="11" width="10.42578125" style="1" bestFit="1" customWidth="1"/>
    <col min="12" max="12" width="9.42578125" style="1" bestFit="1" customWidth="1"/>
    <col min="13" max="13" width="8" style="1" bestFit="1" customWidth="1"/>
    <col min="14" max="14" width="12.28515625" style="1" bestFit="1" customWidth="1"/>
    <col min="15" max="19" width="9.140625" style="1"/>
    <col min="20" max="20" width="9.42578125" style="1" bestFit="1" customWidth="1"/>
    <col min="21" max="21" width="9.140625" style="1" bestFit="1" customWidth="1"/>
    <col min="22" max="22" width="12.28515625" style="1" bestFit="1" customWidth="1"/>
    <col min="23" max="23" width="9.140625" style="1"/>
    <col min="24" max="24" width="9.42578125" style="1" bestFit="1" customWidth="1"/>
    <col min="25" max="25" width="9.28515625" style="1" bestFit="1" customWidth="1"/>
    <col min="26" max="26" width="12.28515625" style="1" bestFit="1" customWidth="1"/>
    <col min="27" max="28" width="9.140625" style="1"/>
    <col min="29" max="29" width="9.5703125" style="1" bestFit="1" customWidth="1"/>
    <col min="30" max="16384" width="9.140625" style="1"/>
  </cols>
  <sheetData>
    <row r="1" spans="1:29" x14ac:dyDescent="0.25">
      <c r="A1" s="5"/>
    </row>
    <row r="2" spans="1:29" ht="18.75" x14ac:dyDescent="0.3">
      <c r="A2" s="7"/>
      <c r="B2" s="8" t="s">
        <v>9</v>
      </c>
      <c r="C2" s="8"/>
      <c r="D2" s="8"/>
      <c r="E2" s="8"/>
      <c r="F2" s="9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8"/>
      <c r="T2" s="8"/>
      <c r="U2" s="9"/>
      <c r="V2" s="8"/>
      <c r="W2" s="8"/>
      <c r="X2" s="8"/>
      <c r="Y2" s="8"/>
      <c r="Z2" s="8"/>
      <c r="AA2" s="8"/>
      <c r="AB2" s="8"/>
      <c r="AC2" s="8"/>
    </row>
    <row r="3" spans="1:29" x14ac:dyDescent="0.25">
      <c r="A3" s="5"/>
    </row>
    <row r="4" spans="1:29" x14ac:dyDescent="0.25">
      <c r="A4" s="5"/>
      <c r="B4" s="10" t="s">
        <v>10</v>
      </c>
      <c r="C4" s="11">
        <v>45868</v>
      </c>
      <c r="F4" s="12"/>
    </row>
    <row r="5" spans="1:29" x14ac:dyDescent="0.25">
      <c r="A5" s="5"/>
      <c r="B5" s="10" t="s">
        <v>11</v>
      </c>
      <c r="C5" s="13" t="s">
        <v>12</v>
      </c>
    </row>
    <row r="6" spans="1:29" x14ac:dyDescent="0.25">
      <c r="A6" s="5"/>
      <c r="B6" s="14" t="s">
        <v>13</v>
      </c>
    </row>
    <row r="7" spans="1:29" ht="16.5" thickBot="1" x14ac:dyDescent="0.3">
      <c r="A7" s="5"/>
      <c r="B7" s="15"/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202" t="s">
        <v>14</v>
      </c>
      <c r="Y7" s="202"/>
      <c r="Z7" s="202"/>
      <c r="AA7" s="202"/>
      <c r="AB7" s="202"/>
      <c r="AC7" s="202"/>
    </row>
    <row r="8" spans="1:29" ht="16.5" thickBot="1" x14ac:dyDescent="0.3">
      <c r="A8" s="5"/>
      <c r="B8" s="15"/>
      <c r="C8" s="15"/>
      <c r="D8" s="17" t="s">
        <v>15</v>
      </c>
      <c r="E8" s="17" t="s">
        <v>16</v>
      </c>
      <c r="F8" s="17" t="s">
        <v>17</v>
      </c>
      <c r="G8" s="17" t="s">
        <v>18</v>
      </c>
      <c r="H8" s="17"/>
      <c r="I8" s="202" t="s">
        <v>19</v>
      </c>
      <c r="J8" s="202"/>
      <c r="K8" s="202"/>
      <c r="L8" s="202" t="s">
        <v>20</v>
      </c>
      <c r="M8" s="202"/>
      <c r="N8" s="202" t="s">
        <v>21</v>
      </c>
      <c r="O8" s="202"/>
      <c r="P8" s="17"/>
      <c r="Q8" s="202" t="s">
        <v>22</v>
      </c>
      <c r="R8" s="202"/>
      <c r="S8" s="205" t="s">
        <v>23</v>
      </c>
      <c r="T8" s="205"/>
      <c r="U8" s="205" t="s">
        <v>24</v>
      </c>
      <c r="V8" s="205"/>
      <c r="W8" s="17"/>
      <c r="X8" s="206" t="s">
        <v>25</v>
      </c>
      <c r="Y8" s="206"/>
      <c r="Z8" s="206" t="s">
        <v>26</v>
      </c>
      <c r="AA8" s="206"/>
      <c r="AB8" s="206" t="s">
        <v>27</v>
      </c>
      <c r="AC8" s="206"/>
    </row>
    <row r="9" spans="1:29" x14ac:dyDescent="0.25">
      <c r="A9" s="5"/>
      <c r="B9" s="18" t="s">
        <v>28</v>
      </c>
      <c r="C9" s="18" t="s">
        <v>29</v>
      </c>
      <c r="D9" s="18" t="s">
        <v>30</v>
      </c>
      <c r="E9" s="18" t="s">
        <v>31</v>
      </c>
      <c r="F9" s="18" t="s">
        <v>32</v>
      </c>
      <c r="G9" s="18" t="s">
        <v>33</v>
      </c>
      <c r="H9" s="19"/>
      <c r="I9" s="20" t="s">
        <v>34</v>
      </c>
      <c r="J9" s="19">
        <v>24</v>
      </c>
      <c r="K9" s="19">
        <v>25</v>
      </c>
      <c r="L9" s="19" t="s">
        <v>35</v>
      </c>
      <c r="M9" s="19" t="s">
        <v>36</v>
      </c>
      <c r="N9" s="19" t="str">
        <f>L9</f>
        <v>'24</v>
      </c>
      <c r="O9" s="19" t="str">
        <f>M9</f>
        <v>'25</v>
      </c>
      <c r="P9" s="18"/>
      <c r="Q9" s="19" t="s">
        <v>37</v>
      </c>
      <c r="R9" s="19" t="s">
        <v>38</v>
      </c>
      <c r="S9" s="19" t="s">
        <v>35</v>
      </c>
      <c r="T9" s="19" t="s">
        <v>36</v>
      </c>
      <c r="U9" s="19" t="str">
        <f>S9</f>
        <v>'24</v>
      </c>
      <c r="V9" s="19" t="str">
        <f>T9</f>
        <v>'25</v>
      </c>
      <c r="W9" s="19"/>
      <c r="X9" s="19" t="s">
        <v>35</v>
      </c>
      <c r="Y9" s="19" t="s">
        <v>36</v>
      </c>
      <c r="Z9" s="19" t="s">
        <v>35</v>
      </c>
      <c r="AA9" s="19" t="s">
        <v>36</v>
      </c>
      <c r="AB9" s="19" t="s">
        <v>35</v>
      </c>
      <c r="AC9" s="19" t="s">
        <v>36</v>
      </c>
    </row>
    <row r="10" spans="1:29" ht="3.75" customHeight="1" x14ac:dyDescent="0.25">
      <c r="A10" s="5"/>
      <c r="B10" s="6"/>
      <c r="C10" s="6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 spans="1:29" x14ac:dyDescent="0.25">
      <c r="A11" s="23"/>
      <c r="B11" s="137" t="str">
        <f>'Global Peers'!B6</f>
        <v>TATAMOTORS</v>
      </c>
      <c r="C11" s="142" t="str">
        <f>'Indian Comps'!C11</f>
        <v>Tata Motors</v>
      </c>
      <c r="D11" s="26">
        <f>'Indian Comps'!D11</f>
        <v>688</v>
      </c>
      <c r="E11" s="151">
        <f>'Indian Comps'!E11</f>
        <v>368.25345930232561</v>
      </c>
      <c r="F11" s="151">
        <f>'Indian Comps'!F11</f>
        <v>284064.38</v>
      </c>
      <c r="G11" s="151">
        <f>'Indian Comps'!G11</f>
        <v>253358.38</v>
      </c>
      <c r="H11" s="125"/>
      <c r="I11" s="151">
        <f>'Indian Comps'!I11</f>
        <v>345966.97</v>
      </c>
      <c r="J11" s="27">
        <f>'Indian Comps'!J11</f>
        <v>434016</v>
      </c>
      <c r="K11" s="27">
        <f>'Indian Comps'!K11</f>
        <v>439695</v>
      </c>
      <c r="L11" s="151">
        <f>'Indian Comps'!L11</f>
        <v>76450.3</v>
      </c>
      <c r="M11" s="151">
        <f>'Indian Comps'!M11</f>
        <v>75372.299999999988</v>
      </c>
      <c r="N11" s="27">
        <f>'Indian Comps'!N11</f>
        <v>31399</v>
      </c>
      <c r="O11" s="27">
        <f>'Indian Comps'!O11</f>
        <v>27830</v>
      </c>
      <c r="P11" s="125"/>
      <c r="Q11" s="140">
        <f>'Indian Comps'!Q11</f>
        <v>0.25450126062612277</v>
      </c>
      <c r="R11" s="140">
        <f>'Indian Comps'!R11</f>
        <v>1.3084771068347711E-2</v>
      </c>
      <c r="S11" s="139">
        <f t="shared" ref="S11:S18" si="0">L11/K11</f>
        <v>0.17387120617700907</v>
      </c>
      <c r="T11" s="140">
        <f>'Indian Comps'!T11</f>
        <v>0.17141950670351036</v>
      </c>
      <c r="U11" s="140">
        <f>'Indian Comps'!U11</f>
        <v>7.2345259160952594E-2</v>
      </c>
      <c r="V11" s="140">
        <f>'Indian Comps'!V11</f>
        <v>6.3293874162771921E-2</v>
      </c>
      <c r="W11" s="125"/>
      <c r="X11" s="39">
        <f>'Indian Comps'!X11</f>
        <v>0.65450209208877097</v>
      </c>
      <c r="Y11" s="39">
        <f>'Indian Comps'!Y11</f>
        <v>0.64604869284390321</v>
      </c>
      <c r="Z11" s="39">
        <f>'Indian Comps'!Z11</f>
        <v>3.7156738430065022</v>
      </c>
      <c r="AA11" s="39">
        <f>'Indian Comps'!AA11</f>
        <v>3.7688166607626417</v>
      </c>
      <c r="AB11" s="39">
        <f>'Indian Comps'!AB11</f>
        <v>8.0689951909296482</v>
      </c>
      <c r="AC11" s="141">
        <f>'Indian Comps'!AC11</f>
        <v>9.1037865612648226</v>
      </c>
    </row>
    <row r="12" spans="1:29" ht="5.25" customHeight="1" x14ac:dyDescent="0.25">
      <c r="A12" s="5"/>
      <c r="B12" s="138"/>
      <c r="C12" s="143"/>
      <c r="D12" s="136"/>
      <c r="E12" s="177"/>
      <c r="F12" s="177"/>
      <c r="G12" s="177"/>
      <c r="H12" s="33"/>
      <c r="I12" s="34"/>
      <c r="J12" s="34"/>
      <c r="K12" s="34"/>
      <c r="L12" s="34"/>
      <c r="M12" s="34"/>
      <c r="N12" s="34"/>
      <c r="O12" s="34"/>
      <c r="P12" s="33"/>
      <c r="Q12" s="33"/>
      <c r="R12" s="33"/>
      <c r="S12" s="139"/>
      <c r="T12" s="33"/>
      <c r="U12" s="33"/>
      <c r="V12" s="33"/>
      <c r="W12" s="33"/>
      <c r="X12" s="36"/>
      <c r="Y12" s="36"/>
      <c r="Z12" s="36"/>
      <c r="AA12" s="36"/>
      <c r="AB12" s="36"/>
      <c r="AC12" s="36"/>
    </row>
    <row r="13" spans="1:29" x14ac:dyDescent="0.25">
      <c r="A13" s="5">
        <v>1</v>
      </c>
      <c r="B13" s="137" t="str">
        <f>'Global Peers'!B7</f>
        <v>MBG.DE</v>
      </c>
      <c r="C13" s="144" t="str">
        <f>'Global Peers'!C7</f>
        <v>Mercedes</v>
      </c>
      <c r="D13" s="26">
        <f>'Global Peers'!D7</f>
        <v>5126</v>
      </c>
      <c r="E13" s="151">
        <f>'Global Peers'!E7</f>
        <v>96.29</v>
      </c>
      <c r="F13" s="151">
        <f>'Global Peers'!F7</f>
        <v>1063018.5</v>
      </c>
      <c r="G13" s="151">
        <f>'Global Peers'!G7</f>
        <v>490678.05</v>
      </c>
      <c r="H13" s="27"/>
      <c r="I13" s="40">
        <f>'Global Peers'!I7</f>
        <v>1415318.23</v>
      </c>
      <c r="J13" s="40">
        <f>'Global Peers'!J7</f>
        <v>1344810.29</v>
      </c>
      <c r="K13" s="40">
        <f>'Global Peers'!K7</f>
        <v>1275889.46</v>
      </c>
      <c r="L13" s="40">
        <f>'Global Peers'!L7</f>
        <v>198651.18</v>
      </c>
      <c r="M13" s="40">
        <f>'Global Peers'!M7</f>
        <v>153506.26999999999</v>
      </c>
      <c r="N13" s="40">
        <f>'Global Peers'!N7</f>
        <v>94261.65</v>
      </c>
      <c r="O13" s="40">
        <f>'Global Peers'!O7</f>
        <v>58171.57</v>
      </c>
      <c r="P13" s="129"/>
      <c r="Q13" s="139">
        <f>J13/I13-1</f>
        <v>-4.9817728978167608E-2</v>
      </c>
      <c r="R13" s="139">
        <f t="shared" ref="R13" si="1">K13/J13-1</f>
        <v>-5.124948144172814E-2</v>
      </c>
      <c r="S13" s="139">
        <f>L13/K13</f>
        <v>0.15569623092583584</v>
      </c>
      <c r="T13" s="139">
        <f>M13/K13</f>
        <v>0.12031314217455796</v>
      </c>
      <c r="U13" s="139">
        <f>N13/J13</f>
        <v>7.0092897638372467E-2</v>
      </c>
      <c r="V13" s="139">
        <f>O13/K13</f>
        <v>4.5592954424123859E-2</v>
      </c>
      <c r="W13" s="129"/>
      <c r="X13" s="39">
        <f>$F13/J13</f>
        <v>0.79045982017285132</v>
      </c>
      <c r="Y13" s="39">
        <f t="shared" ref="Y13:AA13" si="2">$F13/K13</f>
        <v>0.83315877536914529</v>
      </c>
      <c r="Z13" s="39">
        <f t="shared" si="2"/>
        <v>5.3511814024965769</v>
      </c>
      <c r="AA13" s="39">
        <f t="shared" si="2"/>
        <v>6.9249190928813533</v>
      </c>
      <c r="AB13" s="39">
        <f>$G13/N13</f>
        <v>5.2054897193079057</v>
      </c>
      <c r="AC13" s="39">
        <f>$G13/O13</f>
        <v>8.4350147331419798</v>
      </c>
    </row>
    <row r="14" spans="1:29" x14ac:dyDescent="0.25">
      <c r="A14" s="5">
        <f>A13+1</f>
        <v>2</v>
      </c>
      <c r="B14" s="137" t="str">
        <f>'Global Peers'!B8</f>
        <v>VOW.DE</v>
      </c>
      <c r="C14" s="144" t="str">
        <f>'Global Peers'!C8</f>
        <v>Volkswagon</v>
      </c>
      <c r="D14" s="26">
        <f>'Global Peers'!D8</f>
        <v>8650</v>
      </c>
      <c r="E14" s="151">
        <f>'Global Peers'!E8</f>
        <v>50.1295</v>
      </c>
      <c r="F14" s="151">
        <f>'Global Peers'!F8</f>
        <v>1200000</v>
      </c>
      <c r="G14" s="151">
        <f>'Global Peers'!G8</f>
        <v>815099.57</v>
      </c>
      <c r="H14" s="27"/>
      <c r="I14" s="40">
        <f>'Global Peers'!I8</f>
        <v>2500000</v>
      </c>
      <c r="J14" s="40">
        <f>'Global Peers'!J8</f>
        <v>2994000</v>
      </c>
      <c r="K14" s="40">
        <f>'Global Peers'!K8</f>
        <v>3000000</v>
      </c>
      <c r="L14" s="40">
        <f>'Global Peers'!L8</f>
        <v>468000</v>
      </c>
      <c r="M14" s="40">
        <f>'Global Peers'!M8</f>
        <v>470000</v>
      </c>
      <c r="N14" s="40">
        <f>'Global Peers'!N8</f>
        <v>156000</v>
      </c>
      <c r="O14" s="40">
        <f>'Global Peers'!O8</f>
        <v>160000</v>
      </c>
      <c r="P14" s="129"/>
      <c r="Q14" s="139">
        <f t="shared" ref="Q14:Q18" si="3">J14/I14-1</f>
        <v>0.1976</v>
      </c>
      <c r="R14" s="139">
        <f t="shared" ref="R14:R18" si="4">K14/J14-1</f>
        <v>2.0040080160319551E-3</v>
      </c>
      <c r="S14" s="139">
        <f t="shared" si="0"/>
        <v>0.156</v>
      </c>
      <c r="T14" s="139">
        <f t="shared" ref="T14:T18" si="5">M14/K14</f>
        <v>0.15666666666666668</v>
      </c>
      <c r="U14" s="139">
        <f t="shared" ref="U14:U18" si="6">N14/J14</f>
        <v>5.2104208416833664E-2</v>
      </c>
      <c r="V14" s="139">
        <f t="shared" ref="V14:V18" si="7">O14/N14-1</f>
        <v>2.564102564102555E-2</v>
      </c>
      <c r="W14" s="129"/>
      <c r="X14" s="39">
        <f t="shared" ref="X14:X18" si="8">$F14/J14</f>
        <v>0.40080160320641284</v>
      </c>
      <c r="Y14" s="39">
        <f t="shared" ref="Y14:Y18" si="9">$F14/K14</f>
        <v>0.4</v>
      </c>
      <c r="Z14" s="39">
        <f t="shared" ref="Z14:Z18" si="10">$F14/L14</f>
        <v>2.5641025641025643</v>
      </c>
      <c r="AA14" s="39">
        <f t="shared" ref="AA14:AA18" si="11">$F14/M14</f>
        <v>2.5531914893617023</v>
      </c>
      <c r="AB14" s="39">
        <f t="shared" ref="AB14:AB18" si="12">$G14/N14</f>
        <v>5.2249972435897432</v>
      </c>
      <c r="AC14" s="39">
        <f t="shared" ref="AC14:AC18" si="13">$G14/O14</f>
        <v>5.0943723125</v>
      </c>
    </row>
    <row r="15" spans="1:29" x14ac:dyDescent="0.25">
      <c r="A15" s="5">
        <f t="shared" ref="A15:A18" si="14">A14+1</f>
        <v>3</v>
      </c>
      <c r="B15" s="137" t="str">
        <f>'Global Peers'!B9</f>
        <v>7203.T</v>
      </c>
      <c r="C15" s="144" t="str">
        <f>'Global Peers'!C9</f>
        <v>Toyota</v>
      </c>
      <c r="D15" s="26">
        <f>'Global Peers'!D9</f>
        <v>1500</v>
      </c>
      <c r="E15" s="151">
        <f>'Global Peers'!E9</f>
        <v>1325.2456</v>
      </c>
      <c r="F15" s="151">
        <f>'Global Peers'!F9</f>
        <v>3000000</v>
      </c>
      <c r="G15" s="151">
        <f>'Global Peers'!G9</f>
        <v>2500000</v>
      </c>
      <c r="H15" s="27"/>
      <c r="I15" s="40">
        <f>'Global Peers'!I9</f>
        <v>2205000</v>
      </c>
      <c r="J15" s="40">
        <f>'Global Peers'!J9</f>
        <v>2677129.06</v>
      </c>
      <c r="K15" s="40">
        <f>'Global Peers'!K9</f>
        <v>2850746</v>
      </c>
      <c r="L15" s="40">
        <f>'Global Peers'!L9</f>
        <v>540000</v>
      </c>
      <c r="M15" s="40">
        <f>'Global Peers'!M9</f>
        <v>519500</v>
      </c>
      <c r="N15" s="40">
        <f>'Global Peers'!N9</f>
        <v>293000</v>
      </c>
      <c r="O15" s="40">
        <f>'Global Peers'!O9</f>
        <v>283000</v>
      </c>
      <c r="P15" s="129"/>
      <c r="Q15" s="139">
        <f t="shared" si="3"/>
        <v>0.2141174875283447</v>
      </c>
      <c r="R15" s="139">
        <f t="shared" si="4"/>
        <v>6.4851912667968303E-2</v>
      </c>
      <c r="S15" s="139">
        <f t="shared" si="0"/>
        <v>0.18942410162111953</v>
      </c>
      <c r="T15" s="139">
        <f t="shared" si="5"/>
        <v>0.18223300146698443</v>
      </c>
      <c r="U15" s="139">
        <f t="shared" si="6"/>
        <v>0.10944560140107702</v>
      </c>
      <c r="V15" s="139">
        <f t="shared" si="7"/>
        <v>-3.4129692832764458E-2</v>
      </c>
      <c r="W15" s="129"/>
      <c r="X15" s="39">
        <f t="shared" si="8"/>
        <v>1.1206034273147818</v>
      </c>
      <c r="Y15" s="39">
        <f t="shared" si="9"/>
        <v>1.0523561201173306</v>
      </c>
      <c r="Z15" s="39">
        <f t="shared" si="10"/>
        <v>5.5555555555555554</v>
      </c>
      <c r="AA15" s="39">
        <f t="shared" si="11"/>
        <v>5.7747834456207894</v>
      </c>
      <c r="AB15" s="39">
        <f t="shared" si="12"/>
        <v>8.5324232081911262</v>
      </c>
      <c r="AC15" s="39">
        <f t="shared" si="13"/>
        <v>8.8339222614840995</v>
      </c>
    </row>
    <row r="16" spans="1:29" x14ac:dyDescent="0.25">
      <c r="A16" s="5">
        <f t="shared" si="14"/>
        <v>4</v>
      </c>
      <c r="B16" s="137" t="str">
        <f>'Global Peers'!B10</f>
        <v>BMW.DE</v>
      </c>
      <c r="C16" s="144" t="str">
        <f>'Global Peers'!C10</f>
        <v>BMW</v>
      </c>
      <c r="D16" s="26">
        <f>'Global Peers'!D10</f>
        <v>7096.17</v>
      </c>
      <c r="E16" s="151">
        <f>'Global Peers'!E10</f>
        <v>96.29</v>
      </c>
      <c r="F16" s="151">
        <f>'Global Peers'!F10</f>
        <v>1265564.3999999999</v>
      </c>
      <c r="G16" s="151">
        <f>'Global Peers'!G10</f>
        <v>752744.45</v>
      </c>
      <c r="H16" s="27"/>
      <c r="I16" s="40">
        <f>'Global Peers'!I10</f>
        <v>1314879.3</v>
      </c>
      <c r="J16" s="40">
        <f>'Global Peers'!J10</f>
        <v>1200550</v>
      </c>
      <c r="K16" s="40">
        <f>'Global Peers'!K10</f>
        <v>1200550</v>
      </c>
      <c r="L16" s="40">
        <f>'Global Peers'!L10</f>
        <v>432198</v>
      </c>
      <c r="M16" s="40">
        <f>'Global Peers'!M10</f>
        <v>434045</v>
      </c>
      <c r="N16" s="40">
        <f>'Global Peers'!N10</f>
        <v>144066</v>
      </c>
      <c r="O16" s="40">
        <f>'Global Peers'!O10</f>
        <v>147760</v>
      </c>
      <c r="P16" s="129"/>
      <c r="Q16" s="139">
        <f t="shared" si="3"/>
        <v>-8.6950414384042718E-2</v>
      </c>
      <c r="R16" s="139">
        <f t="shared" si="4"/>
        <v>0</v>
      </c>
      <c r="S16" s="139">
        <f t="shared" si="0"/>
        <v>0.36</v>
      </c>
      <c r="T16" s="139">
        <f t="shared" si="5"/>
        <v>0.36153846153846153</v>
      </c>
      <c r="U16" s="139">
        <f t="shared" si="6"/>
        <v>0.12</v>
      </c>
      <c r="V16" s="139">
        <f t="shared" si="7"/>
        <v>2.564102564102555E-2</v>
      </c>
      <c r="W16" s="129"/>
      <c r="X16" s="39">
        <f t="shared" si="8"/>
        <v>1.054153846153846</v>
      </c>
      <c r="Y16" s="39">
        <f t="shared" si="9"/>
        <v>1.054153846153846</v>
      </c>
      <c r="Z16" s="39">
        <f t="shared" si="10"/>
        <v>2.928205128205128</v>
      </c>
      <c r="AA16" s="39">
        <f t="shared" si="11"/>
        <v>2.9157446808510636</v>
      </c>
      <c r="AB16" s="39">
        <f t="shared" si="12"/>
        <v>5.2249972234947863</v>
      </c>
      <c r="AC16" s="39">
        <f t="shared" si="13"/>
        <v>5.0943722929074173</v>
      </c>
    </row>
    <row r="17" spans="1:29" x14ac:dyDescent="0.25">
      <c r="A17" s="5">
        <f t="shared" si="14"/>
        <v>5</v>
      </c>
      <c r="B17" s="137" t="str">
        <f>'Global Peers'!B11</f>
        <v>VOLCBS.XC</v>
      </c>
      <c r="C17" s="144" t="str">
        <f>'Global Peers'!C11</f>
        <v>Volvo</v>
      </c>
      <c r="D17" s="26">
        <f>'Global Peers'!D11</f>
        <v>126.48</v>
      </c>
      <c r="E17" s="151">
        <f>'Global Peers'!E11</f>
        <v>297.95240000000001</v>
      </c>
      <c r="F17" s="151">
        <f>'Global Peers'!F11</f>
        <v>31150</v>
      </c>
      <c r="G17" s="151">
        <f>'Global Peers'!G11</f>
        <v>37685.019999999997</v>
      </c>
      <c r="H17" s="27"/>
      <c r="I17" s="40">
        <f>'Global Peers'!I11</f>
        <v>313495.5</v>
      </c>
      <c r="J17" s="40">
        <f>'Global Peers'!J11</f>
        <v>314157</v>
      </c>
      <c r="K17" s="40">
        <f>'Global Peers'!K11</f>
        <v>329700</v>
      </c>
      <c r="L17" s="40">
        <f>'Global Peers'!L11</f>
        <v>9958.51</v>
      </c>
      <c r="M17" s="40">
        <f>'Global Peers'!M11</f>
        <v>10500</v>
      </c>
      <c r="N17" s="40">
        <f>'Global Peers'!N11</f>
        <v>3182.74</v>
      </c>
      <c r="O17" s="40">
        <f>'Global Peers'!O11</f>
        <v>3500</v>
      </c>
      <c r="P17" s="129"/>
      <c r="Q17" s="139">
        <f>J17/I17-1</f>
        <v>2.1100781350928965E-3</v>
      </c>
      <c r="R17" s="139">
        <f t="shared" si="4"/>
        <v>4.9475262368815498E-2</v>
      </c>
      <c r="S17" s="139">
        <f t="shared" si="0"/>
        <v>3.0204761904761904E-2</v>
      </c>
      <c r="T17" s="139">
        <f t="shared" si="5"/>
        <v>3.1847133757961783E-2</v>
      </c>
      <c r="U17" s="139">
        <f t="shared" si="6"/>
        <v>1.0131049125118969E-2</v>
      </c>
      <c r="V17" s="139">
        <f t="shared" si="7"/>
        <v>9.9681406586777488E-2</v>
      </c>
      <c r="W17" s="129"/>
      <c r="X17" s="39">
        <f t="shared" si="8"/>
        <v>9.9154244533784061E-2</v>
      </c>
      <c r="Y17" s="39">
        <f t="shared" si="9"/>
        <v>9.4479830148619964E-2</v>
      </c>
      <c r="Z17" s="39">
        <f t="shared" si="10"/>
        <v>3.1279779806416821</v>
      </c>
      <c r="AA17" s="39">
        <f t="shared" si="11"/>
        <v>2.9666666666666668</v>
      </c>
      <c r="AB17" s="39">
        <f t="shared" si="12"/>
        <v>11.840433085957383</v>
      </c>
      <c r="AC17" s="39">
        <f t="shared" si="13"/>
        <v>10.767148571428571</v>
      </c>
    </row>
    <row r="18" spans="1:29" x14ac:dyDescent="0.25">
      <c r="A18" s="5">
        <f t="shared" si="14"/>
        <v>6</v>
      </c>
      <c r="B18" s="137" t="str">
        <f>'Global Peers'!B12</f>
        <v>F</v>
      </c>
      <c r="C18" s="144" t="str">
        <f>'Global Peers'!C12</f>
        <v>Ford</v>
      </c>
      <c r="D18" s="26">
        <f>'Global Peers'!D12</f>
        <v>944.23</v>
      </c>
      <c r="E18" s="151">
        <f>'Global Peers'!E12</f>
        <v>390.34365170000001</v>
      </c>
      <c r="F18" s="151">
        <f>'Global Peers'!F12</f>
        <v>1476776</v>
      </c>
      <c r="G18" s="151">
        <f>'Global Peers'!G12</f>
        <v>330340</v>
      </c>
      <c r="H18" s="27"/>
      <c r="I18" s="40">
        <f>'Global Peers'!I12</f>
        <v>1147041.8500000001</v>
      </c>
      <c r="J18" s="40">
        <f>'Global Peers'!J12</f>
        <v>1535500</v>
      </c>
      <c r="K18" s="40">
        <f>'Global Peers'!K12</f>
        <v>1593825</v>
      </c>
      <c r="L18" s="40">
        <f>'Global Peers'!L12</f>
        <v>85922.5</v>
      </c>
      <c r="M18" s="40">
        <f>'Global Peers'!M12</f>
        <v>89105</v>
      </c>
      <c r="N18" s="40">
        <f>'Global Peers'!N12</f>
        <v>48804</v>
      </c>
      <c r="O18" s="40">
        <f>'Global Peers'!O12</f>
        <v>50525</v>
      </c>
      <c r="P18" s="129"/>
      <c r="Q18" s="139">
        <f t="shared" si="3"/>
        <v>0.33866083438891081</v>
      </c>
      <c r="R18" s="139">
        <f t="shared" si="4"/>
        <v>3.7984369912080762E-2</v>
      </c>
      <c r="S18" s="139">
        <f t="shared" si="0"/>
        <v>5.3909619939453833E-2</v>
      </c>
      <c r="T18" s="139">
        <f t="shared" si="5"/>
        <v>5.5906388718962245E-2</v>
      </c>
      <c r="U18" s="139">
        <f t="shared" si="6"/>
        <v>3.1783783783783784E-2</v>
      </c>
      <c r="V18" s="139">
        <f t="shared" si="7"/>
        <v>3.5263502991558004E-2</v>
      </c>
      <c r="W18" s="129"/>
      <c r="X18" s="39">
        <f t="shared" si="8"/>
        <v>0.96175577987626182</v>
      </c>
      <c r="Y18" s="39">
        <f t="shared" si="9"/>
        <v>0.9265609461515536</v>
      </c>
      <c r="Z18" s="39">
        <f t="shared" si="10"/>
        <v>17.187302510983734</v>
      </c>
      <c r="AA18" s="39">
        <f t="shared" si="11"/>
        <v>16.573435834128276</v>
      </c>
      <c r="AB18" s="39">
        <f t="shared" si="12"/>
        <v>6.7687074829931975</v>
      </c>
      <c r="AC18" s="39">
        <f t="shared" si="13"/>
        <v>6.538149430974765</v>
      </c>
    </row>
    <row r="19" spans="1:29" x14ac:dyDescent="0.25">
      <c r="A19" s="5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 x14ac:dyDescent="0.25">
      <c r="A20" s="5"/>
      <c r="B20" s="24" t="s">
        <v>1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9">
        <f t="shared" ref="Q20:V20" si="15">AVERAGE(Q13:Q18)</f>
        <v>0.10262004278168968</v>
      </c>
      <c r="R20" s="29">
        <f t="shared" si="15"/>
        <v>1.7177678587194729E-2</v>
      </c>
      <c r="S20" s="29">
        <f t="shared" si="15"/>
        <v>0.15753911906519522</v>
      </c>
      <c r="T20" s="29">
        <f t="shared" si="15"/>
        <v>0.15141746572059908</v>
      </c>
      <c r="U20" s="29">
        <f t="shared" si="15"/>
        <v>6.5592923394197644E-2</v>
      </c>
      <c r="V20" s="29">
        <f t="shared" si="15"/>
        <v>3.2948370408624333E-2</v>
      </c>
      <c r="W20" s="145"/>
      <c r="X20" s="39">
        <f t="shared" ref="X20:AC20" si="16">AVERAGE(X13:X18)</f>
        <v>0.73782145354298956</v>
      </c>
      <c r="Y20" s="39">
        <f t="shared" si="16"/>
        <v>0.7267849196567493</v>
      </c>
      <c r="Z20" s="39">
        <f t="shared" si="16"/>
        <v>6.1190541903308739</v>
      </c>
      <c r="AA20" s="39">
        <f t="shared" si="16"/>
        <v>6.2847902015849755</v>
      </c>
      <c r="AB20" s="39">
        <f t="shared" si="16"/>
        <v>7.132841327255691</v>
      </c>
      <c r="AC20" s="147">
        <f t="shared" si="16"/>
        <v>7.4604966004061382</v>
      </c>
    </row>
    <row r="21" spans="1:29" x14ac:dyDescent="0.25">
      <c r="A21" s="5"/>
      <c r="B21" s="24" t="s">
        <v>0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148">
        <f t="shared" ref="Q21:V21" si="17">MEDIAN(Q13:Q18)</f>
        <v>9.9855039067546447E-2</v>
      </c>
      <c r="R21" s="148">
        <f t="shared" si="17"/>
        <v>1.9994188964056359E-2</v>
      </c>
      <c r="S21" s="148">
        <f t="shared" si="17"/>
        <v>0.15584811546291794</v>
      </c>
      <c r="T21" s="148">
        <f t="shared" si="17"/>
        <v>0.13848990442061232</v>
      </c>
      <c r="U21" s="148">
        <f t="shared" si="17"/>
        <v>6.1098553027603066E-2</v>
      </c>
      <c r="V21" s="148">
        <f t="shared" si="17"/>
        <v>3.0452264316291777E-2</v>
      </c>
      <c r="W21" s="146"/>
      <c r="X21" s="39">
        <f t="shared" ref="X21:AC21" si="18">MEDIAN(X13:X18)</f>
        <v>0.87610780002455657</v>
      </c>
      <c r="Y21" s="39">
        <f t="shared" si="18"/>
        <v>0.87985986076034939</v>
      </c>
      <c r="Z21" s="39">
        <f t="shared" si="18"/>
        <v>4.2395796915691299</v>
      </c>
      <c r="AA21" s="39">
        <f t="shared" si="18"/>
        <v>4.3707250561437281</v>
      </c>
      <c r="AB21" s="39">
        <f t="shared" si="18"/>
        <v>5.9968523632914703</v>
      </c>
      <c r="AC21" s="147">
        <f t="shared" si="18"/>
        <v>7.4865820820583728</v>
      </c>
    </row>
    <row r="22" spans="1:29" x14ac:dyDescent="0.25">
      <c r="A22" s="5"/>
    </row>
    <row r="23" spans="1:29" ht="16.5" thickBot="1" x14ac:dyDescent="0.3">
      <c r="A23" s="5"/>
      <c r="B23" s="15"/>
      <c r="C23" s="15"/>
      <c r="D23" s="202" t="s">
        <v>39</v>
      </c>
      <c r="E23" s="202"/>
      <c r="F23" s="202"/>
      <c r="G23" s="17"/>
      <c r="H23" s="202" t="s">
        <v>40</v>
      </c>
      <c r="I23" s="202"/>
      <c r="J23" s="202"/>
      <c r="K23" s="17"/>
      <c r="L23" s="202" t="s">
        <v>41</v>
      </c>
      <c r="M23" s="202"/>
      <c r="N23" s="202"/>
      <c r="O23" s="17"/>
      <c r="P23" s="17"/>
      <c r="Q23" s="17"/>
      <c r="R23" s="17"/>
      <c r="S23" s="17"/>
      <c r="T23" s="202" t="s">
        <v>7</v>
      </c>
      <c r="U23" s="202"/>
      <c r="V23" s="202"/>
      <c r="W23" s="17"/>
      <c r="X23" s="202" t="s">
        <v>8</v>
      </c>
      <c r="Y23" s="202"/>
      <c r="Z23" s="202"/>
      <c r="AA23" s="17"/>
      <c r="AB23" s="17"/>
      <c r="AC23" s="17"/>
    </row>
    <row r="24" spans="1:29" x14ac:dyDescent="0.25">
      <c r="B24" s="207" t="s">
        <v>42</v>
      </c>
      <c r="C24" s="207"/>
      <c r="D24" s="18" t="s">
        <v>19</v>
      </c>
      <c r="E24" s="18" t="s">
        <v>20</v>
      </c>
      <c r="F24" s="18" t="s">
        <v>5</v>
      </c>
      <c r="G24" s="18"/>
      <c r="H24" s="18" t="s">
        <v>19</v>
      </c>
      <c r="I24" s="18" t="s">
        <v>20</v>
      </c>
      <c r="J24" s="18" t="s">
        <v>43</v>
      </c>
      <c r="K24" s="18"/>
      <c r="L24" s="18" t="s">
        <v>19</v>
      </c>
      <c r="M24" s="18" t="s">
        <v>20</v>
      </c>
      <c r="N24" s="18" t="s">
        <v>21</v>
      </c>
      <c r="O24" s="18"/>
      <c r="P24" s="18" t="s">
        <v>44</v>
      </c>
      <c r="Q24" s="18" t="s">
        <v>45</v>
      </c>
      <c r="R24" s="18" t="s">
        <v>46</v>
      </c>
      <c r="S24" s="18"/>
      <c r="T24" s="18" t="s">
        <v>19</v>
      </c>
      <c r="U24" s="18" t="s">
        <v>20</v>
      </c>
      <c r="V24" s="18" t="s">
        <v>21</v>
      </c>
      <c r="W24" s="18"/>
      <c r="X24" s="18" t="s">
        <v>19</v>
      </c>
      <c r="Y24" s="18" t="s">
        <v>20</v>
      </c>
      <c r="Z24" s="18" t="s">
        <v>21</v>
      </c>
      <c r="AA24" s="18"/>
      <c r="AB24" s="18"/>
      <c r="AC24" s="18"/>
    </row>
    <row r="25" spans="1:29" ht="3" customHeight="1" x14ac:dyDescent="0.25"/>
    <row r="26" spans="1:29" x14ac:dyDescent="0.25">
      <c r="A26" s="5"/>
      <c r="B26" s="208" t="s">
        <v>47</v>
      </c>
      <c r="C26" s="209"/>
      <c r="D26" s="39">
        <f>MIN(Y13:Y18)</f>
        <v>9.4479830148619964E-2</v>
      </c>
      <c r="E26" s="39">
        <f>MIN(AA13:AA18)</f>
        <v>2.5531914893617023</v>
      </c>
      <c r="F26" s="39">
        <f>MIN(AC13:AC18)</f>
        <v>5.0943722929074173</v>
      </c>
      <c r="G26" s="25"/>
      <c r="H26" s="25">
        <f>K11</f>
        <v>439695</v>
      </c>
      <c r="I26" s="25">
        <f>M11</f>
        <v>75372.299999999988</v>
      </c>
      <c r="J26" s="149">
        <f>'Indian Comps'!J26</f>
        <v>75.598294080895343</v>
      </c>
      <c r="K26" s="25"/>
      <c r="L26" s="151">
        <f t="shared" ref="L26:M29" si="19">D26*H26</f>
        <v>41542.308917197457</v>
      </c>
      <c r="M26" s="151">
        <f t="shared" si="19"/>
        <v>192439.91489361701</v>
      </c>
      <c r="N26" s="27" t="s">
        <v>157</v>
      </c>
      <c r="O26" s="25"/>
      <c r="P26" s="150">
        <f>'Indian Comps'!P26</f>
        <v>40834</v>
      </c>
      <c r="Q26" s="150">
        <f>'Indian Comps'!Q26</f>
        <v>71540</v>
      </c>
      <c r="R26" s="150">
        <f>'Indian Comps'!R26</f>
        <v>368.25345930232561</v>
      </c>
      <c r="S26" s="25"/>
      <c r="T26" s="40">
        <f t="shared" ref="T26:U29" si="20">L26+P26-Q26</f>
        <v>10836.308917197457</v>
      </c>
      <c r="U26" s="40">
        <f t="shared" si="20"/>
        <v>263611.66143431474</v>
      </c>
      <c r="V26" s="40">
        <f>R26*J26*F26</f>
        <v>141823.92828094927</v>
      </c>
      <c r="W26" s="25"/>
      <c r="X26" s="152">
        <f t="shared" ref="X26:Z29" si="21">T26/$R26</f>
        <v>29.426224366574534</v>
      </c>
      <c r="Y26" s="152">
        <f t="shared" si="21"/>
        <v>715.84300099648772</v>
      </c>
      <c r="Z26" s="152">
        <f t="shared" si="21"/>
        <v>385.12585475678009</v>
      </c>
      <c r="AA26" s="25"/>
      <c r="AB26" s="25"/>
      <c r="AC26" s="128"/>
    </row>
    <row r="27" spans="1:29" x14ac:dyDescent="0.25">
      <c r="A27" s="5"/>
      <c r="B27" s="203" t="s">
        <v>1</v>
      </c>
      <c r="C27" s="204"/>
      <c r="D27" s="39">
        <f>Y20</f>
        <v>0.7267849196567493</v>
      </c>
      <c r="E27" s="39">
        <f>AA20</f>
        <v>6.2847902015849755</v>
      </c>
      <c r="F27" s="39">
        <f>AC20</f>
        <v>7.4604966004061382</v>
      </c>
      <c r="G27" s="25"/>
      <c r="H27" s="25">
        <f t="shared" ref="H27:J29" si="22">H26</f>
        <v>439695</v>
      </c>
      <c r="I27" s="25">
        <f t="shared" si="22"/>
        <v>75372.299999999988</v>
      </c>
      <c r="J27" s="149">
        <f t="shared" si="22"/>
        <v>75.598294080895343</v>
      </c>
      <c r="K27" s="25"/>
      <c r="L27" s="151">
        <f t="shared" si="19"/>
        <v>319563.69524847437</v>
      </c>
      <c r="M27" s="151">
        <f t="shared" si="19"/>
        <v>473699.09251092316</v>
      </c>
      <c r="N27" s="27" t="s">
        <v>157</v>
      </c>
      <c r="O27" s="25"/>
      <c r="P27" s="150">
        <f>'Indian Comps'!P27</f>
        <v>40834</v>
      </c>
      <c r="Q27" s="150">
        <f>'Indian Comps'!Q27</f>
        <v>71540</v>
      </c>
      <c r="R27" s="150">
        <f>'Indian Comps'!R27</f>
        <v>368.25345930232561</v>
      </c>
      <c r="S27" s="25"/>
      <c r="T27" s="40">
        <f t="shared" si="20"/>
        <v>288857.69524847437</v>
      </c>
      <c r="U27" s="40">
        <f t="shared" si="20"/>
        <v>544870.8390516208</v>
      </c>
      <c r="V27" s="40">
        <f>R27*J27*F27</f>
        <v>207695.25153655568</v>
      </c>
      <c r="W27" s="25"/>
      <c r="X27" s="152">
        <f t="shared" si="21"/>
        <v>784.39913584445219</v>
      </c>
      <c r="Y27" s="152">
        <f t="shared" si="21"/>
        <v>1479.608202687099</v>
      </c>
      <c r="Z27" s="152">
        <f t="shared" si="21"/>
        <v>564.0008159870232</v>
      </c>
      <c r="AA27" s="25"/>
      <c r="AB27" s="25"/>
      <c r="AC27" s="128"/>
    </row>
    <row r="28" spans="1:29" x14ac:dyDescent="0.25">
      <c r="A28" s="5"/>
      <c r="B28" s="203" t="s">
        <v>0</v>
      </c>
      <c r="C28" s="204"/>
      <c r="D28" s="39">
        <f>Y21</f>
        <v>0.87985986076034939</v>
      </c>
      <c r="E28" s="39">
        <f>AA21</f>
        <v>4.3707250561437281</v>
      </c>
      <c r="F28" s="39">
        <f>AC21</f>
        <v>7.4865820820583728</v>
      </c>
      <c r="G28" s="25"/>
      <c r="H28" s="25">
        <f t="shared" si="22"/>
        <v>439695</v>
      </c>
      <c r="I28" s="25">
        <f t="shared" si="22"/>
        <v>75372.299999999988</v>
      </c>
      <c r="J28" s="149">
        <f t="shared" si="22"/>
        <v>75.598294080895343</v>
      </c>
      <c r="K28" s="25"/>
      <c r="L28" s="151">
        <f t="shared" si="19"/>
        <v>386869.98147702182</v>
      </c>
      <c r="M28" s="151">
        <f t="shared" si="19"/>
        <v>329431.60014918185</v>
      </c>
      <c r="N28" s="27" t="s">
        <v>157</v>
      </c>
      <c r="O28" s="25"/>
      <c r="P28" s="150">
        <f>'Indian Comps'!P28</f>
        <v>40834</v>
      </c>
      <c r="Q28" s="150">
        <f>'Indian Comps'!Q28</f>
        <v>71540</v>
      </c>
      <c r="R28" s="150">
        <f>'Indian Comps'!R28</f>
        <v>368.25345930232561</v>
      </c>
      <c r="S28" s="25"/>
      <c r="T28" s="40">
        <f t="shared" si="20"/>
        <v>356163.98147702182</v>
      </c>
      <c r="U28" s="40">
        <f t="shared" si="20"/>
        <v>400603.34668987955</v>
      </c>
      <c r="V28" s="40">
        <f>R28*J28*F28</f>
        <v>208421.45395489311</v>
      </c>
      <c r="W28" s="25"/>
      <c r="X28" s="152">
        <f t="shared" si="21"/>
        <v>967.17076915391942</v>
      </c>
      <c r="Y28" s="152">
        <f t="shared" si="21"/>
        <v>1087.8467983677394</v>
      </c>
      <c r="Z28" s="152">
        <f t="shared" si="21"/>
        <v>565.97283390021062</v>
      </c>
      <c r="AA28" s="25"/>
      <c r="AB28" s="25"/>
      <c r="AC28" s="128"/>
    </row>
    <row r="29" spans="1:29" x14ac:dyDescent="0.25">
      <c r="A29" s="5"/>
      <c r="B29" s="203" t="s">
        <v>49</v>
      </c>
      <c r="C29" s="203"/>
      <c r="D29" s="39">
        <f>MAX(Y13:Y18)</f>
        <v>1.054153846153846</v>
      </c>
      <c r="E29" s="39">
        <f>MAX(AA13:AA18)</f>
        <v>16.573435834128276</v>
      </c>
      <c r="F29" s="39">
        <f>MAX(AC13:AC18)</f>
        <v>10.767148571428571</v>
      </c>
      <c r="G29" s="25"/>
      <c r="H29" s="25">
        <f t="shared" si="22"/>
        <v>439695</v>
      </c>
      <c r="I29" s="25">
        <f t="shared" si="22"/>
        <v>75372.299999999988</v>
      </c>
      <c r="J29" s="149">
        <f t="shared" si="22"/>
        <v>75.598294080895343</v>
      </c>
      <c r="K29" s="25"/>
      <c r="L29" s="151">
        <f t="shared" si="19"/>
        <v>463506.17538461532</v>
      </c>
      <c r="M29" s="151">
        <f t="shared" si="19"/>
        <v>1249177.9777206664</v>
      </c>
      <c r="N29" s="27" t="s">
        <v>157</v>
      </c>
      <c r="O29" s="25"/>
      <c r="P29" s="150">
        <f>'Indian Comps'!P29</f>
        <v>40834</v>
      </c>
      <c r="Q29" s="150">
        <f>'Indian Comps'!Q29</f>
        <v>71540</v>
      </c>
      <c r="R29" s="150">
        <f>'Indian Comps'!R29</f>
        <v>368.25345930232561</v>
      </c>
      <c r="S29" s="25"/>
      <c r="T29" s="40">
        <f t="shared" si="20"/>
        <v>432800.17538461532</v>
      </c>
      <c r="U29" s="40">
        <f t="shared" si="20"/>
        <v>1320349.7242613642</v>
      </c>
      <c r="V29" s="40">
        <f>R29*J29*F29</f>
        <v>299750.23790676123</v>
      </c>
      <c r="W29" s="25"/>
      <c r="X29" s="152">
        <f t="shared" si="21"/>
        <v>1175.2779626417539</v>
      </c>
      <c r="Y29" s="152">
        <f t="shared" si="21"/>
        <v>3585.4373961967176</v>
      </c>
      <c r="Z29" s="152">
        <f t="shared" si="21"/>
        <v>813.97806411554939</v>
      </c>
      <c r="AA29" s="25"/>
      <c r="AB29" s="25"/>
      <c r="AC29" s="128"/>
    </row>
    <row r="30" spans="1:29" x14ac:dyDescent="0.25">
      <c r="A30" s="5"/>
    </row>
    <row r="31" spans="1:29" x14ac:dyDescent="0.25">
      <c r="A31" s="5"/>
      <c r="B31" s="6"/>
      <c r="C31" s="6"/>
      <c r="D31" s="50"/>
      <c r="E31" s="50"/>
      <c r="F31" s="50"/>
      <c r="G31" s="21"/>
      <c r="H31" s="5"/>
      <c r="I31" s="34"/>
      <c r="J31" s="34"/>
      <c r="K31" s="34"/>
      <c r="L31" s="34"/>
      <c r="M31" s="34"/>
      <c r="N31" s="34"/>
      <c r="P31" s="34"/>
      <c r="Q31" s="34"/>
      <c r="R31" s="51"/>
      <c r="U31" s="22"/>
      <c r="V31" s="22"/>
      <c r="W31" s="22"/>
      <c r="X31" s="22"/>
      <c r="Y31" s="22"/>
      <c r="Z31" s="22"/>
      <c r="AA31" s="22"/>
      <c r="AB31" s="22"/>
      <c r="AC31" s="22"/>
    </row>
    <row r="32" spans="1:29" x14ac:dyDescent="0.25">
      <c r="A32" s="5"/>
      <c r="D32" s="5"/>
      <c r="E32" s="34"/>
      <c r="F32" s="34"/>
      <c r="G32" s="34"/>
      <c r="I32" s="34"/>
      <c r="J32" s="34"/>
      <c r="K32" s="34"/>
      <c r="L32" s="34"/>
      <c r="M32" s="34"/>
      <c r="N32" s="34"/>
      <c r="O32" s="34"/>
      <c r="P32" s="37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 spans="1:29" x14ac:dyDescent="0.25">
      <c r="A33" s="5"/>
      <c r="B33" s="32"/>
      <c r="D33" s="5"/>
      <c r="E33" s="34"/>
      <c r="F33" s="34"/>
      <c r="G33" s="34"/>
      <c r="I33" s="34"/>
      <c r="J33" s="34"/>
      <c r="K33" s="34"/>
      <c r="L33" s="34"/>
      <c r="M33" s="34"/>
      <c r="N33" s="34"/>
      <c r="O33" s="34"/>
      <c r="P33" s="37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spans="1:29" x14ac:dyDescent="0.25">
      <c r="A34" s="5"/>
      <c r="B34" s="32"/>
      <c r="D34" s="5"/>
      <c r="E34" s="34"/>
      <c r="F34" s="34"/>
      <c r="G34" s="34"/>
      <c r="I34" s="34"/>
      <c r="J34" s="34"/>
      <c r="K34" s="34"/>
      <c r="L34" s="34"/>
      <c r="M34" s="34"/>
      <c r="N34" s="34"/>
      <c r="O34" s="34"/>
      <c r="P34" s="37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</row>
    <row r="35" spans="1:29" x14ac:dyDescent="0.25">
      <c r="A35" s="5"/>
      <c r="B35" s="32"/>
      <c r="D35" s="5"/>
      <c r="E35" s="34"/>
      <c r="F35" s="34"/>
      <c r="G35" s="34"/>
      <c r="I35" s="34"/>
      <c r="J35" s="34"/>
      <c r="K35" s="34"/>
      <c r="L35" s="34"/>
      <c r="M35" s="34"/>
      <c r="N35" s="34"/>
      <c r="O35" s="34"/>
      <c r="P35" s="37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</row>
    <row r="36" spans="1:29" x14ac:dyDescent="0.25">
      <c r="A36" s="5"/>
      <c r="B36" s="32"/>
      <c r="D36" s="5"/>
      <c r="E36" s="34"/>
      <c r="F36" s="34"/>
      <c r="G36" s="34"/>
      <c r="I36" s="34"/>
      <c r="J36" s="34"/>
      <c r="K36" s="34"/>
      <c r="L36" s="34"/>
      <c r="M36" s="34"/>
      <c r="N36" s="34"/>
      <c r="O36" s="34"/>
      <c r="P36" s="37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</row>
    <row r="37" spans="1:29" x14ac:dyDescent="0.25">
      <c r="A37" s="5"/>
      <c r="B37" s="32"/>
      <c r="D37" s="5"/>
      <c r="E37" s="34"/>
      <c r="F37" s="34"/>
      <c r="G37" s="34"/>
      <c r="I37" s="34"/>
      <c r="J37" s="34"/>
      <c r="K37" s="34"/>
      <c r="L37" s="34"/>
      <c r="M37" s="34"/>
      <c r="N37" s="34"/>
      <c r="O37" s="34"/>
      <c r="P37" s="37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</row>
    <row r="38" spans="1:29" x14ac:dyDescent="0.25">
      <c r="A38" s="5"/>
      <c r="B38" s="32"/>
      <c r="D38" s="5"/>
      <c r="E38" s="34"/>
      <c r="F38" s="34"/>
      <c r="G38" s="34"/>
      <c r="I38" s="34"/>
      <c r="J38" s="34"/>
      <c r="K38" s="34"/>
      <c r="L38" s="34"/>
      <c r="M38" s="34"/>
      <c r="N38" s="34"/>
      <c r="O38" s="34"/>
      <c r="P38" s="37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</row>
  </sheetData>
  <mergeCells count="20">
    <mergeCell ref="X7:AC7"/>
    <mergeCell ref="I8:K8"/>
    <mergeCell ref="L8:M8"/>
    <mergeCell ref="N8:O8"/>
    <mergeCell ref="Q8:R8"/>
    <mergeCell ref="S8:T8"/>
    <mergeCell ref="U8:V8"/>
    <mergeCell ref="X8:Y8"/>
    <mergeCell ref="Z8:AA8"/>
    <mergeCell ref="AB8:AC8"/>
    <mergeCell ref="H23:J23"/>
    <mergeCell ref="L23:N23"/>
    <mergeCell ref="T23:V23"/>
    <mergeCell ref="X23:Z23"/>
    <mergeCell ref="B24:C24"/>
    <mergeCell ref="B26:C26"/>
    <mergeCell ref="B27:C27"/>
    <mergeCell ref="B28:C28"/>
    <mergeCell ref="B29:C29"/>
    <mergeCell ref="D23:F23"/>
  </mergeCells>
  <phoneticPr fontId="21" type="noConversion"/>
  <conditionalFormatting sqref="H1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P18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:P36 P3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Q19 S11:S12 R13:V1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Q36 Q3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:Q3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:R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V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V3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 R1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:R3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:R3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 S1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:S36 S3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:S3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:T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 T1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36 T3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3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 U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:U3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:U3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:V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 V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V3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2:V3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X19 Y13:AA1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:X3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:Y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00C459"/>
        <color rgb="FFFFEB84"/>
        <color rgb="FFFF5353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:AC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:AC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00B050"/>
        <color theme="5" tint="0.39997558519241921"/>
        <color rgb="FFFF0000"/>
      </colorScale>
    </cfRule>
  </conditionalFormatting>
  <conditionalFormatting sqref="Y12:Y1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2:Y38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:Z1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2:Z38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:AA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:AA1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2:AA3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:AB19 AC13:AC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2:AB3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:AC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2:AC38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50E3-1A57-4813-AFCC-5056D1C3AA77}">
  <sheetPr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85546875" defaultRowHeight="15" x14ac:dyDescent="0.25"/>
  <cols>
    <col min="1" max="1" width="22.85546875" bestFit="1" customWidth="1"/>
    <col min="2" max="2" width="13.42578125" customWidth="1"/>
    <col min="3" max="11" width="15.42578125" customWidth="1"/>
  </cols>
  <sheetData>
    <row r="1" spans="1:11" s="153" customFormat="1" x14ac:dyDescent="0.25">
      <c r="A1" s="153">
        <f>'[9]Profit &amp; Loss'!A1</f>
        <v>0</v>
      </c>
      <c r="E1" t="str">
        <f>UPDATE</f>
        <v/>
      </c>
      <c r="G1"/>
      <c r="J1" s="153" t="s">
        <v>85</v>
      </c>
    </row>
    <row r="2" spans="1:11" x14ac:dyDescent="0.25">
      <c r="G2" s="153"/>
      <c r="H2" s="153"/>
    </row>
    <row r="3" spans="1:11" x14ac:dyDescent="0.25">
      <c r="A3" s="155" t="s">
        <v>84</v>
      </c>
      <c r="B3" s="156">
        <f>'Hyundai (DS)'!B56</f>
        <v>0</v>
      </c>
      <c r="C3" s="156">
        <f>'Hyundai (DS)'!C56</f>
        <v>0</v>
      </c>
      <c r="D3" s="156">
        <f>'Hyundai (DS)'!D56</f>
        <v>0</v>
      </c>
      <c r="E3" s="156">
        <f>'Hyundai (DS)'!E56</f>
        <v>43555</v>
      </c>
      <c r="F3" s="156">
        <f>'Hyundai (DS)'!F56</f>
        <v>43921</v>
      </c>
      <c r="G3" s="156">
        <f>'Hyundai (DS)'!G56</f>
        <v>44286</v>
      </c>
      <c r="H3" s="156">
        <f>'Hyundai (DS)'!H56</f>
        <v>44651</v>
      </c>
      <c r="I3" s="156">
        <f>'Hyundai (DS)'!I56</f>
        <v>45016</v>
      </c>
      <c r="J3" s="156">
        <f>'Hyundai (DS)'!J56</f>
        <v>45382</v>
      </c>
      <c r="K3" s="156">
        <f>'Hyundai (DS)'!K56</f>
        <v>45747</v>
      </c>
    </row>
    <row r="4" spans="1:11" x14ac:dyDescent="0.25">
      <c r="A4" t="s">
        <v>101</v>
      </c>
      <c r="B4" s="110">
        <f>'Hyundai (DS)'!B57</f>
        <v>0</v>
      </c>
      <c r="C4" s="110">
        <f>'Hyundai (DS)'!C57</f>
        <v>0</v>
      </c>
      <c r="D4" s="110">
        <f>'Hyundai (DS)'!D57</f>
        <v>0</v>
      </c>
      <c r="E4" s="110">
        <f>'Hyundai (DS)'!E57</f>
        <v>812.54</v>
      </c>
      <c r="F4" s="110">
        <f>'Hyundai (DS)'!F57</f>
        <v>812.54</v>
      </c>
      <c r="G4" s="110">
        <f>'Hyundai (DS)'!G57</f>
        <v>812.54</v>
      </c>
      <c r="H4" s="110">
        <f>'Hyundai (DS)'!H57</f>
        <v>812.54</v>
      </c>
      <c r="I4" s="110">
        <f>'Hyundai (DS)'!I57</f>
        <v>812.54</v>
      </c>
      <c r="J4" s="110">
        <f>'Hyundai (DS)'!J57</f>
        <v>812.54</v>
      </c>
      <c r="K4" s="110">
        <f>'Hyundai (DS)'!K57</f>
        <v>812.54</v>
      </c>
    </row>
    <row r="5" spans="1:11" x14ac:dyDescent="0.25">
      <c r="A5" t="s">
        <v>100</v>
      </c>
      <c r="B5" s="110">
        <f>'Hyundai (DS)'!B58</f>
        <v>0</v>
      </c>
      <c r="C5" s="110">
        <f>'Hyundai (DS)'!C58</f>
        <v>0</v>
      </c>
      <c r="D5" s="110">
        <f>'Hyundai (DS)'!D58</f>
        <v>0</v>
      </c>
      <c r="E5" s="110">
        <f>'Hyundai (DS)'!E58</f>
        <v>12938.32</v>
      </c>
      <c r="F5" s="110">
        <f>'Hyundai (DS)'!F58</f>
        <v>12467.33</v>
      </c>
      <c r="G5" s="110">
        <f>'Hyundai (DS)'!G58</f>
        <v>14317.61</v>
      </c>
      <c r="H5" s="110">
        <f>'Hyundai (DS)'!H58</f>
        <v>15822.6</v>
      </c>
      <c r="I5" s="110">
        <f>'Hyundai (DS)'!I58</f>
        <v>18965.330000000002</v>
      </c>
      <c r="J5" s="110">
        <f>'Hyundai (DS)'!J58</f>
        <v>9472.33</v>
      </c>
      <c r="K5" s="110">
        <f>'Hyundai (DS)'!K58</f>
        <v>14954.24</v>
      </c>
    </row>
    <row r="6" spans="1:11" x14ac:dyDescent="0.25">
      <c r="A6" t="s">
        <v>99</v>
      </c>
      <c r="B6" s="110">
        <f>'Hyundai (DS)'!B59</f>
        <v>0</v>
      </c>
      <c r="C6" s="110">
        <f>'Hyundai (DS)'!C59</f>
        <v>0</v>
      </c>
      <c r="D6" s="110">
        <f>'Hyundai (DS)'!D59</f>
        <v>0</v>
      </c>
      <c r="E6" s="110">
        <f>'Hyundai (DS)'!E59</f>
        <v>1069.4000000000001</v>
      </c>
      <c r="F6" s="110">
        <f>'Hyundai (DS)'!F59</f>
        <v>1098.3499999999999</v>
      </c>
      <c r="G6" s="110">
        <f>'Hyundai (DS)'!G59</f>
        <v>1353.94</v>
      </c>
      <c r="H6" s="110">
        <f>'Hyundai (DS)'!H59</f>
        <v>1175.1300000000001</v>
      </c>
      <c r="I6" s="110">
        <f>'Hyundai (DS)'!I59</f>
        <v>1187.58</v>
      </c>
      <c r="J6" s="110">
        <f>'Hyundai (DS)'!J59</f>
        <v>832.34</v>
      </c>
      <c r="K6" s="110">
        <f>'Hyundai (DS)'!K59</f>
        <v>847.29</v>
      </c>
    </row>
    <row r="7" spans="1:11" x14ac:dyDescent="0.25">
      <c r="A7" t="s">
        <v>98</v>
      </c>
      <c r="B7" s="110">
        <f>'Hyundai (DS)'!B60</f>
        <v>0</v>
      </c>
      <c r="C7" s="110">
        <f>'Hyundai (DS)'!C60</f>
        <v>0</v>
      </c>
      <c r="D7" s="110">
        <f>'Hyundai (DS)'!D60</f>
        <v>0</v>
      </c>
      <c r="E7" s="110">
        <f>'Hyundai (DS)'!E60</f>
        <v>8258.0300000000007</v>
      </c>
      <c r="F7" s="110">
        <f>'Hyundai (DS)'!F60</f>
        <v>7953.02</v>
      </c>
      <c r="G7" s="110">
        <f>'Hyundai (DS)'!G60</f>
        <v>10014.15</v>
      </c>
      <c r="H7" s="110">
        <f>'Hyundai (DS)'!H60</f>
        <v>10273.56</v>
      </c>
      <c r="I7" s="110">
        <f>'Hyundai (DS)'!I60</f>
        <v>13193.15</v>
      </c>
      <c r="J7" s="110">
        <f>'Hyundai (DS)'!J60</f>
        <v>14536.54</v>
      </c>
      <c r="K7" s="110">
        <f>'Hyundai (DS)'!K60</f>
        <v>12757.45</v>
      </c>
    </row>
    <row r="8" spans="1:11" s="153" customFormat="1" x14ac:dyDescent="0.25">
      <c r="A8" s="153" t="s">
        <v>93</v>
      </c>
      <c r="B8" s="111">
        <f>'Hyundai (DS)'!B61</f>
        <v>0</v>
      </c>
      <c r="C8" s="111">
        <f>'Hyundai (DS)'!C61</f>
        <v>0</v>
      </c>
      <c r="D8" s="111">
        <f>'Hyundai (DS)'!D61</f>
        <v>0</v>
      </c>
      <c r="E8" s="111">
        <f>'Hyundai (DS)'!E61</f>
        <v>23078.29</v>
      </c>
      <c r="F8" s="111">
        <f>'Hyundai (DS)'!F61</f>
        <v>22331.24</v>
      </c>
      <c r="G8" s="111">
        <f>'Hyundai (DS)'!G61</f>
        <v>26498.240000000002</v>
      </c>
      <c r="H8" s="111">
        <f>'Hyundai (DS)'!H61</f>
        <v>28083.83</v>
      </c>
      <c r="I8" s="111">
        <f>'Hyundai (DS)'!I61</f>
        <v>34158.6</v>
      </c>
      <c r="J8" s="111">
        <f>'Hyundai (DS)'!J61</f>
        <v>25653.75</v>
      </c>
      <c r="K8" s="111">
        <f>'Hyundai (DS)'!K61</f>
        <v>29371.52</v>
      </c>
    </row>
    <row r="9" spans="1:11" s="153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t="s">
        <v>97</v>
      </c>
      <c r="B10" s="110">
        <f>'Hyundai (DS)'!B62</f>
        <v>0</v>
      </c>
      <c r="C10" s="110">
        <f>'Hyundai (DS)'!C62</f>
        <v>0</v>
      </c>
      <c r="D10" s="110">
        <f>'Hyundai (DS)'!D62</f>
        <v>0</v>
      </c>
      <c r="E10" s="110">
        <f>'Hyundai (DS)'!E62</f>
        <v>4929.71</v>
      </c>
      <c r="F10" s="110">
        <f>'Hyundai (DS)'!F62</f>
        <v>6957.59</v>
      </c>
      <c r="G10" s="110">
        <f>'Hyundai (DS)'!G62</f>
        <v>7205.3</v>
      </c>
      <c r="H10" s="110">
        <f>'Hyundai (DS)'!H62</f>
        <v>6559.45</v>
      </c>
      <c r="I10" s="110">
        <f>'Hyundai (DS)'!I62</f>
        <v>6052.31</v>
      </c>
      <c r="J10" s="110">
        <f>'Hyundai (DS)'!J62</f>
        <v>7518.7</v>
      </c>
      <c r="K10" s="110">
        <f>'Hyundai (DS)'!K62</f>
        <v>7004.28</v>
      </c>
    </row>
    <row r="11" spans="1:11" x14ac:dyDescent="0.25">
      <c r="A11" t="s">
        <v>96</v>
      </c>
      <c r="B11" s="110">
        <f>'Hyundai (DS)'!B63</f>
        <v>0</v>
      </c>
      <c r="C11" s="110">
        <f>'Hyundai (DS)'!C63</f>
        <v>0</v>
      </c>
      <c r="D11" s="110">
        <f>'Hyundai (DS)'!D63</f>
        <v>0</v>
      </c>
      <c r="E11" s="110">
        <f>'Hyundai (DS)'!E63</f>
        <v>1207.74</v>
      </c>
      <c r="F11" s="110">
        <f>'Hyundai (DS)'!F63</f>
        <v>561.80999999999995</v>
      </c>
      <c r="G11" s="110">
        <f>'Hyundai (DS)'!G63</f>
        <v>795.87</v>
      </c>
      <c r="H11" s="110">
        <f>'Hyundai (DS)'!H63</f>
        <v>529.05999999999995</v>
      </c>
      <c r="I11" s="110">
        <f>'Hyundai (DS)'!I63</f>
        <v>1332.41</v>
      </c>
      <c r="J11" s="110">
        <f>'Hyundai (DS)'!J63</f>
        <v>639.12</v>
      </c>
      <c r="K11" s="110">
        <f>'Hyundai (DS)'!K63</f>
        <v>4703.6000000000004</v>
      </c>
    </row>
    <row r="12" spans="1:11" x14ac:dyDescent="0.25">
      <c r="A12" t="s">
        <v>95</v>
      </c>
      <c r="B12" s="110">
        <f>'Hyundai (DS)'!B64</f>
        <v>0</v>
      </c>
      <c r="C12" s="110">
        <f>'Hyundai (DS)'!C64</f>
        <v>0</v>
      </c>
      <c r="D12" s="110">
        <f>'Hyundai (DS)'!D64</f>
        <v>0</v>
      </c>
      <c r="E12" s="110">
        <f>'Hyundai (DS)'!E64</f>
        <v>139.16</v>
      </c>
      <c r="F12" s="110">
        <f>'Hyundai (DS)'!F64</f>
        <v>137</v>
      </c>
      <c r="G12" s="110">
        <f>'Hyundai (DS)'!G64</f>
        <v>137</v>
      </c>
      <c r="H12" s="110">
        <f>'Hyundai (DS)'!H64</f>
        <v>141</v>
      </c>
      <c r="I12" s="110">
        <f>'Hyundai (DS)'!I64</f>
        <v>146.80000000000001</v>
      </c>
      <c r="J12" s="110">
        <f>'Hyundai (DS)'!J64</f>
        <v>146.80000000000001</v>
      </c>
      <c r="K12" s="110">
        <f>'Hyundai (DS)'!K64</f>
        <v>146.80000000000001</v>
      </c>
    </row>
    <row r="13" spans="1:11" x14ac:dyDescent="0.25">
      <c r="A13" t="s">
        <v>94</v>
      </c>
      <c r="B13" s="110">
        <f>'Hyundai (DS)'!B65</f>
        <v>0</v>
      </c>
      <c r="C13" s="110">
        <f>'Hyundai (DS)'!C65</f>
        <v>0</v>
      </c>
      <c r="D13" s="110">
        <f>'Hyundai (DS)'!D65</f>
        <v>0</v>
      </c>
      <c r="E13" s="110">
        <f>'Hyundai (DS)'!E65</f>
        <v>16801.68</v>
      </c>
      <c r="F13" s="110">
        <f>'Hyundai (DS)'!F65</f>
        <v>14674.84</v>
      </c>
      <c r="G13" s="110">
        <f>'Hyundai (DS)'!G65</f>
        <v>18360.07</v>
      </c>
      <c r="H13" s="110">
        <f>'Hyundai (DS)'!H65</f>
        <v>20854.32</v>
      </c>
      <c r="I13" s="110">
        <f>'Hyundai (DS)'!I65</f>
        <v>26627.08</v>
      </c>
      <c r="J13" s="110">
        <f>'Hyundai (DS)'!J65</f>
        <v>17349.13</v>
      </c>
      <c r="K13" s="110">
        <f>'Hyundai (DS)'!K65</f>
        <v>17516.84</v>
      </c>
    </row>
    <row r="14" spans="1:11" s="153" customFormat="1" x14ac:dyDescent="0.25">
      <c r="A14" s="153" t="s">
        <v>93</v>
      </c>
      <c r="B14" s="110">
        <f>'Hyundai (DS)'!B66</f>
        <v>0</v>
      </c>
      <c r="C14" s="110">
        <f>'Hyundai (DS)'!C66</f>
        <v>0</v>
      </c>
      <c r="D14" s="110">
        <f>'Hyundai (DS)'!D66</f>
        <v>0</v>
      </c>
      <c r="E14" s="110">
        <f>'Hyundai (DS)'!E66</f>
        <v>23078.29</v>
      </c>
      <c r="F14" s="110">
        <f>'Hyundai (DS)'!F66</f>
        <v>22331.24</v>
      </c>
      <c r="G14" s="110">
        <f>'Hyundai (DS)'!G66</f>
        <v>26498.240000000002</v>
      </c>
      <c r="H14" s="110">
        <f>'Hyundai (DS)'!H66</f>
        <v>28083.83</v>
      </c>
      <c r="I14" s="110">
        <f>'Hyundai (DS)'!I66</f>
        <v>34158.6</v>
      </c>
      <c r="J14" s="110">
        <f>'Hyundai (DS)'!J66</f>
        <v>25653.75</v>
      </c>
      <c r="K14" s="110">
        <f>'Hyundai (DS)'!K66</f>
        <v>29371.52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t="s">
        <v>92</v>
      </c>
      <c r="B16" s="109">
        <f>B13-B7</f>
        <v>0</v>
      </c>
      <c r="C16" s="109">
        <f t="shared" ref="C16:K16" si="0">C13-C7</f>
        <v>0</v>
      </c>
      <c r="D16" s="109">
        <f t="shared" si="0"/>
        <v>0</v>
      </c>
      <c r="E16" s="109">
        <f t="shared" si="0"/>
        <v>8543.65</v>
      </c>
      <c r="F16" s="109">
        <f t="shared" si="0"/>
        <v>6721.82</v>
      </c>
      <c r="G16" s="109">
        <f t="shared" si="0"/>
        <v>8345.92</v>
      </c>
      <c r="H16" s="109">
        <f t="shared" si="0"/>
        <v>10580.76</v>
      </c>
      <c r="I16" s="109">
        <f t="shared" si="0"/>
        <v>13433.930000000002</v>
      </c>
      <c r="J16" s="109">
        <f t="shared" si="0"/>
        <v>2812.59</v>
      </c>
      <c r="K16" s="109">
        <f t="shared" si="0"/>
        <v>4759.3899999999994</v>
      </c>
    </row>
    <row r="17" spans="1:11" x14ac:dyDescent="0.25">
      <c r="A17" t="s">
        <v>91</v>
      </c>
      <c r="B17" s="109">
        <f>'Hyundai (DS)'!B67</f>
        <v>0</v>
      </c>
      <c r="C17" s="109">
        <f>'Hyundai (DS)'!C67</f>
        <v>0</v>
      </c>
      <c r="D17" s="109">
        <f>'Hyundai (DS)'!D67</f>
        <v>0</v>
      </c>
      <c r="E17" s="109">
        <f>'Hyundai (DS)'!E67</f>
        <v>2048.1999999999998</v>
      </c>
      <c r="F17" s="109">
        <f>'Hyundai (DS)'!F67</f>
        <v>1498.31</v>
      </c>
      <c r="G17" s="109">
        <f>'Hyundai (DS)'!G67</f>
        <v>2440.62</v>
      </c>
      <c r="H17" s="109">
        <f>'Hyundai (DS)'!H67</f>
        <v>2149.09</v>
      </c>
      <c r="I17" s="109">
        <f>'Hyundai (DS)'!I67</f>
        <v>2802.72</v>
      </c>
      <c r="J17" s="109">
        <f>'Hyundai (DS)'!J67</f>
        <v>2288.31</v>
      </c>
      <c r="K17" s="109">
        <f>'Hyundai (DS)'!K67</f>
        <v>2241.4</v>
      </c>
    </row>
    <row r="18" spans="1:11" x14ac:dyDescent="0.25">
      <c r="A18" t="s">
        <v>90</v>
      </c>
      <c r="B18" s="109">
        <f>'Hyundai (DS)'!B68</f>
        <v>0</v>
      </c>
      <c r="C18" s="109">
        <f>'Hyundai (DS)'!C68</f>
        <v>0</v>
      </c>
      <c r="D18" s="109">
        <f>'Hyundai (DS)'!D68</f>
        <v>0</v>
      </c>
      <c r="E18" s="109">
        <f>'Hyundai (DS)'!E68</f>
        <v>2552.5</v>
      </c>
      <c r="F18" s="109">
        <f>'Hyundai (DS)'!F68</f>
        <v>2769.98</v>
      </c>
      <c r="G18" s="109">
        <f>'Hyundai (DS)'!G68</f>
        <v>2563.3200000000002</v>
      </c>
      <c r="H18" s="109">
        <f>'Hyundai (DS)'!H68</f>
        <v>2881.12</v>
      </c>
      <c r="I18" s="109">
        <f>'Hyundai (DS)'!I68</f>
        <v>3422.41</v>
      </c>
      <c r="J18" s="109">
        <f>'Hyundai (DS)'!J68</f>
        <v>3315.63</v>
      </c>
      <c r="K18" s="109">
        <f>'Hyundai (DS)'!K68</f>
        <v>3404.36</v>
      </c>
    </row>
    <row r="20" spans="1:11" x14ac:dyDescent="0.25">
      <c r="A20" t="s">
        <v>89</v>
      </c>
      <c r="B20" s="109">
        <f>IF('[9]Profit &amp; Loss'!B4&gt;0,'Hyundai (BS)'!B17/('[9]Profit &amp; Loss'!B4/365),0)</f>
        <v>0</v>
      </c>
      <c r="C20" s="109">
        <f>IF('[9]Profit &amp; Loss'!C4&gt;0,'Hyundai (BS)'!C17/('[9]Profit &amp; Loss'!C4/365),0)</f>
        <v>0</v>
      </c>
      <c r="D20" s="109">
        <f>IF('[9]Profit &amp; Loss'!D4&gt;0,'Hyundai (BS)'!D17/('[9]Profit &amp; Loss'!D4/365),0)</f>
        <v>0</v>
      </c>
      <c r="E20" s="109">
        <f>IF('[9]Profit &amp; Loss'!E4&gt;0,'Hyundai (BS)'!E17/('[9]Profit &amp; Loss'!E4/365),0)</f>
        <v>0</v>
      </c>
      <c r="F20" s="109">
        <f>IF('[9]Profit &amp; Loss'!F4&gt;0,'Hyundai (BS)'!F17/('[9]Profit &amp; Loss'!F4/365),0)</f>
        <v>0</v>
      </c>
      <c r="G20" s="109">
        <f>IF('[9]Profit &amp; Loss'!G4&gt;0,'Hyundai (BS)'!G17/('[9]Profit &amp; Loss'!G4/365),0)</f>
        <v>0</v>
      </c>
      <c r="H20" s="109">
        <f>IF('[9]Profit &amp; Loss'!H4&gt;0,'Hyundai (BS)'!H17/('[9]Profit &amp; Loss'!H4/365),0)</f>
        <v>0</v>
      </c>
      <c r="I20" s="109">
        <f>IF('[9]Profit &amp; Loss'!I4&gt;0,'Hyundai (BS)'!I17/('[9]Profit &amp; Loss'!I4/365),0)</f>
        <v>0</v>
      </c>
      <c r="J20" s="109">
        <f>IF('[9]Profit &amp; Loss'!J4&gt;0,'Hyundai (BS)'!J17/('[9]Profit &amp; Loss'!J4/365),0)</f>
        <v>0</v>
      </c>
      <c r="K20" s="109">
        <f>IF('[9]Profit &amp; Loss'!K4&gt;0,'Hyundai (BS)'!K17/('[9]Profit &amp; Loss'!K4/365),0)</f>
        <v>0</v>
      </c>
    </row>
    <row r="21" spans="1:11" x14ac:dyDescent="0.25">
      <c r="A21" t="s">
        <v>88</v>
      </c>
      <c r="B21" s="109">
        <f>IF('Hyundai (BS)'!B18&gt;0,'[9]Profit &amp; Loss'!B4/'Hyundai (BS)'!B18,0)</f>
        <v>0</v>
      </c>
      <c r="C21" s="109">
        <f>IF('Hyundai (BS)'!C18&gt;0,'[9]Profit &amp; Loss'!C4/'Hyundai (BS)'!C18,0)</f>
        <v>0</v>
      </c>
      <c r="D21" s="109">
        <f>IF('Hyundai (BS)'!D18&gt;0,'[9]Profit &amp; Loss'!D4/'Hyundai (BS)'!D18,0)</f>
        <v>0</v>
      </c>
      <c r="E21" s="109">
        <f>IF('Hyundai (BS)'!E18&gt;0,'[9]Profit &amp; Loss'!E4/'Hyundai (BS)'!E18,0)</f>
        <v>0</v>
      </c>
      <c r="F21" s="109">
        <f>IF('Hyundai (BS)'!F18&gt;0,'[9]Profit &amp; Loss'!F4/'Hyundai (BS)'!F18,0)</f>
        <v>0</v>
      </c>
      <c r="G21" s="109">
        <f>IF('Hyundai (BS)'!G18&gt;0,'[9]Profit &amp; Loss'!G4/'Hyundai (BS)'!G18,0)</f>
        <v>0</v>
      </c>
      <c r="H21" s="109">
        <f>IF('Hyundai (BS)'!H18&gt;0,'[9]Profit &amp; Loss'!H4/'Hyundai (BS)'!H18,0)</f>
        <v>0</v>
      </c>
      <c r="I21" s="109">
        <f>IF('Hyundai (BS)'!I18&gt;0,'[9]Profit &amp; Loss'!I4/'Hyundai (BS)'!I18,0)</f>
        <v>0</v>
      </c>
      <c r="J21" s="109">
        <f>IF('Hyundai (BS)'!J18&gt;0,'[9]Profit &amp; Loss'!J4/'Hyundai (BS)'!J18,0)</f>
        <v>0</v>
      </c>
      <c r="K21" s="109">
        <f>IF('Hyundai (BS)'!K18&gt;0,'[9]Profit &amp; Loss'!K4/'Hyundai (BS)'!K18,0)</f>
        <v>0</v>
      </c>
    </row>
    <row r="23" spans="1:11" s="153" customFormat="1" x14ac:dyDescent="0.25">
      <c r="A23" s="153" t="s">
        <v>87</v>
      </c>
      <c r="B23" s="160" t="str">
        <f>IF(SUM('Hyundai (BS)'!B4:B5)&gt;0,'[9]Profit &amp; Loss'!B12/SUM('Hyundai (BS)'!B4:B5),"")</f>
        <v/>
      </c>
      <c r="C23" s="160" t="str">
        <f>IF(SUM('Hyundai (BS)'!C4:C5)&gt;0,'[9]Profit &amp; Loss'!C12/SUM('Hyundai (BS)'!C4:C5),"")</f>
        <v/>
      </c>
      <c r="D23" s="160" t="str">
        <f>IF(SUM('Hyundai (BS)'!D4:D5)&gt;0,'[9]Profit &amp; Loss'!D12/SUM('Hyundai (BS)'!D4:D5),"")</f>
        <v/>
      </c>
      <c r="E23" s="160">
        <f>IF(SUM('Hyundai (BS)'!E4:E5)&gt;0,'[9]Profit &amp; Loss'!E12/SUM('Hyundai (BS)'!E4:E5),"")</f>
        <v>0</v>
      </c>
      <c r="F23" s="160">
        <f>IF(SUM('Hyundai (BS)'!F4:F5)&gt;0,'[9]Profit &amp; Loss'!F12/SUM('Hyundai (BS)'!F4:F5),"")</f>
        <v>0</v>
      </c>
      <c r="G23" s="160">
        <f>IF(SUM('Hyundai (BS)'!G4:G5)&gt;0,'[9]Profit &amp; Loss'!G12/SUM('Hyundai (BS)'!G4:G5),"")</f>
        <v>0</v>
      </c>
      <c r="H23" s="160">
        <f>IF(SUM('Hyundai (BS)'!H4:H5)&gt;0,'[9]Profit &amp; Loss'!H12/SUM('Hyundai (BS)'!H4:H5),"")</f>
        <v>0</v>
      </c>
      <c r="I23" s="160">
        <f>IF(SUM('Hyundai (BS)'!I4:I5)&gt;0,'[9]Profit &amp; Loss'!I12/SUM('Hyundai (BS)'!I4:I5),"")</f>
        <v>0</v>
      </c>
      <c r="J23" s="160">
        <f>IF(SUM('Hyundai (BS)'!J4:J5)&gt;0,'[9]Profit &amp; Loss'!J12/SUM('Hyundai (BS)'!J4:J5),"")</f>
        <v>0</v>
      </c>
      <c r="K23" s="160">
        <f>IF(SUM('Hyundai (BS)'!K4:K5)&gt;0,'[9]Profit &amp; Loss'!K12/SUM('Hyundai (BS)'!K4:K5),"")</f>
        <v>0</v>
      </c>
    </row>
    <row r="24" spans="1:11" s="153" customFormat="1" x14ac:dyDescent="0.25">
      <c r="A24" s="153" t="s">
        <v>86</v>
      </c>
      <c r="B24" s="160"/>
      <c r="C24" s="160" t="str">
        <f>IF((B4+B5+B6+C4+C5+C6)&gt;0,('[9]Profit &amp; Loss'!C10+'[9]Profit &amp; Loss'!C9)*2/(B4+B5+B6+C4+C5+C6),"")</f>
        <v/>
      </c>
      <c r="D24" s="160" t="str">
        <f>IF((C4+C5+C6+D4+D5+D6)&gt;0,('[9]Profit &amp; Loss'!D10+'[9]Profit &amp; Loss'!D9)*2/(C4+C5+C6+D4+D5+D6),"")</f>
        <v/>
      </c>
      <c r="E24" s="160">
        <f>IF((D4+D5+D6+E4+E5+E6)&gt;0,('[9]Profit &amp; Loss'!E10+'[9]Profit &amp; Loss'!E9)*2/(D4+D5+D6+E4+E5+E6),"")</f>
        <v>0</v>
      </c>
      <c r="F24" s="160">
        <f>IF((E4+E5+E6+F4+F5+F6)&gt;0,('[9]Profit &amp; Loss'!F10+'[9]Profit &amp; Loss'!F9)*2/(E4+E5+E6+F4+F5+F6),"")</f>
        <v>0</v>
      </c>
      <c r="G24" s="160">
        <f>IF((F4+F5+F6+G4+G5+G6)&gt;0,('[9]Profit &amp; Loss'!G10+'[9]Profit &amp; Loss'!G9)*2/(F4+F5+F6+G4+G5+G6),"")</f>
        <v>0</v>
      </c>
      <c r="H24" s="160">
        <f>IF((G4+G5+G6+H4+H5+H6)&gt;0,('[9]Profit &amp; Loss'!H10+'[9]Profit &amp; Loss'!H9)*2/(G4+G5+G6+H4+H5+H6),"")</f>
        <v>0</v>
      </c>
      <c r="I24" s="160">
        <f>IF((H4+H5+H6+I4+I5+I6)&gt;0,('[9]Profit &amp; Loss'!I10+'[9]Profit &amp; Loss'!I9)*2/(H4+H5+H6+I4+I5+I6),"")</f>
        <v>0</v>
      </c>
      <c r="J24" s="160">
        <f>IF((I4+I5+I6+J4+J5+J6)&gt;0,('[9]Profit &amp; Loss'!J10+'[9]Profit &amp; Loss'!J9)*2/(I4+I5+I6+J4+J5+J6),"")</f>
        <v>0</v>
      </c>
      <c r="K24" s="160">
        <f>IF((J4+J5+J6+K4+K5+K6)&gt;0,('[9]Profit &amp; Loss'!K10+'[9]Profit &amp; Loss'!K9)*2/(J4+J5+J6+K4+K5+K6),"")</f>
        <v>0</v>
      </c>
    </row>
  </sheetData>
  <hyperlinks>
    <hyperlink ref="J1" r:id="rId1" xr:uid="{EFF627D0-FD41-4A02-BC5E-A41A9DD8CFD5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074E-8357-40C5-B467-37076D2B3049}">
  <dimension ref="A1:K93"/>
  <sheetViews>
    <sheetView zoomScale="120" zoomScaleNormal="120" zoomScalePageLayoutView="120"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158</v>
      </c>
      <c r="E1" s="210" t="str">
        <f>IF(B2&lt;&gt;B3, "A NEW VERSION OF THE WORKSHEET IS AVAILABLE", "")</f>
        <v/>
      </c>
      <c r="F1" s="210"/>
      <c r="G1" s="210"/>
      <c r="H1" s="210"/>
      <c r="I1" s="210"/>
      <c r="J1" s="210"/>
      <c r="K1" s="210"/>
    </row>
    <row r="2" spans="1:11" x14ac:dyDescent="0.25">
      <c r="A2" s="115" t="s">
        <v>134</v>
      </c>
      <c r="B2" s="109">
        <v>2.1</v>
      </c>
      <c r="E2" s="211" t="s">
        <v>133</v>
      </c>
      <c r="F2" s="211"/>
      <c r="G2" s="211"/>
      <c r="H2" s="211"/>
      <c r="I2" s="211"/>
      <c r="J2" s="211"/>
      <c r="K2" s="211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81.290897560975608</v>
      </c>
    </row>
    <row r="7" spans="1:11" x14ac:dyDescent="0.25">
      <c r="A7" s="109" t="s">
        <v>129</v>
      </c>
      <c r="B7">
        <v>10</v>
      </c>
    </row>
    <row r="8" spans="1:11" x14ac:dyDescent="0.25">
      <c r="A8" s="109" t="s">
        <v>128</v>
      </c>
      <c r="B8">
        <v>2050</v>
      </c>
    </row>
    <row r="9" spans="1:11" x14ac:dyDescent="0.25">
      <c r="A9" s="109" t="s">
        <v>127</v>
      </c>
      <c r="B9">
        <v>166646.34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56"/>
      <c r="C16" s="156"/>
      <c r="D16" s="156"/>
      <c r="E16" s="156">
        <v>43555</v>
      </c>
      <c r="F16" s="156">
        <v>43921</v>
      </c>
      <c r="G16" s="156">
        <v>44286</v>
      </c>
      <c r="H16" s="156">
        <v>44651</v>
      </c>
      <c r="I16" s="156">
        <v>45016</v>
      </c>
      <c r="J16" s="156">
        <v>45382</v>
      </c>
      <c r="K16" s="156">
        <v>45747</v>
      </c>
    </row>
    <row r="17" spans="1:11" s="116" customFormat="1" x14ac:dyDescent="0.25">
      <c r="A17" s="116" t="s">
        <v>80</v>
      </c>
      <c r="E17">
        <v>43258.09</v>
      </c>
      <c r="F17">
        <v>42978.63</v>
      </c>
      <c r="G17">
        <v>40674.01</v>
      </c>
      <c r="H17">
        <v>47042.79</v>
      </c>
      <c r="I17">
        <v>59761.45</v>
      </c>
      <c r="J17">
        <v>68538.61</v>
      </c>
      <c r="K17">
        <v>67653.81</v>
      </c>
    </row>
    <row r="18" spans="1:11" s="116" customFormat="1" x14ac:dyDescent="0.25">
      <c r="A18" s="109" t="s">
        <v>125</v>
      </c>
      <c r="E18">
        <v>32632.55</v>
      </c>
      <c r="F18">
        <v>32757.45</v>
      </c>
      <c r="G18">
        <v>31224.98</v>
      </c>
      <c r="H18">
        <v>35887.21</v>
      </c>
      <c r="I18">
        <v>45165.05</v>
      </c>
      <c r="J18">
        <v>51731.42</v>
      </c>
      <c r="K18">
        <v>50106.65</v>
      </c>
    </row>
    <row r="19" spans="1:11" s="116" customFormat="1" x14ac:dyDescent="0.25">
      <c r="A19" s="109" t="s">
        <v>124</v>
      </c>
      <c r="E19">
        <v>18.02</v>
      </c>
      <c r="F19">
        <v>-46.35</v>
      </c>
      <c r="G19">
        <v>-104.81</v>
      </c>
      <c r="H19">
        <v>62.12</v>
      </c>
      <c r="I19">
        <v>135.12</v>
      </c>
      <c r="J19">
        <v>138.47</v>
      </c>
      <c r="K19">
        <v>177.24</v>
      </c>
    </row>
    <row r="20" spans="1:11" s="116" customFormat="1" x14ac:dyDescent="0.25">
      <c r="A20" s="109" t="s">
        <v>123</v>
      </c>
      <c r="E20">
        <v>261.95</v>
      </c>
      <c r="F20">
        <v>257.8</v>
      </c>
      <c r="G20">
        <v>218.97</v>
      </c>
      <c r="H20">
        <v>261.45</v>
      </c>
      <c r="I20">
        <v>296.18</v>
      </c>
      <c r="J20">
        <v>336.48</v>
      </c>
    </row>
    <row r="21" spans="1:11" s="116" customFormat="1" x14ac:dyDescent="0.25">
      <c r="A21" s="109" t="s">
        <v>122</v>
      </c>
      <c r="E21">
        <v>467.39</v>
      </c>
      <c r="F21">
        <v>2103.7800000000002</v>
      </c>
      <c r="G21">
        <v>424.4</v>
      </c>
      <c r="H21">
        <v>529</v>
      </c>
      <c r="I21">
        <v>2755.77</v>
      </c>
      <c r="J21">
        <v>3061.9</v>
      </c>
    </row>
    <row r="22" spans="1:11" s="116" customFormat="1" x14ac:dyDescent="0.25">
      <c r="A22" s="109" t="s">
        <v>121</v>
      </c>
      <c r="E22">
        <v>1154.02</v>
      </c>
      <c r="F22">
        <v>1236.22</v>
      </c>
      <c r="G22">
        <v>1302.21</v>
      </c>
      <c r="H22">
        <v>1473.4</v>
      </c>
      <c r="I22">
        <v>1552.22</v>
      </c>
      <c r="J22">
        <v>1731.64</v>
      </c>
      <c r="K22">
        <v>2006.11</v>
      </c>
    </row>
    <row r="23" spans="1:11" s="116" customFormat="1" x14ac:dyDescent="0.25">
      <c r="A23" s="109" t="s">
        <v>120</v>
      </c>
      <c r="E23">
        <v>3528.88</v>
      </c>
      <c r="F23">
        <v>1993.35</v>
      </c>
      <c r="G23">
        <v>2897.64</v>
      </c>
      <c r="H23">
        <v>3221.21</v>
      </c>
      <c r="I23">
        <v>2232.0500000000002</v>
      </c>
      <c r="J23">
        <v>2357.69</v>
      </c>
    </row>
    <row r="24" spans="1:11" s="116" customFormat="1" x14ac:dyDescent="0.25">
      <c r="A24" s="109" t="s">
        <v>119</v>
      </c>
      <c r="E24">
        <v>388.34</v>
      </c>
      <c r="F24">
        <v>298.62</v>
      </c>
      <c r="G24">
        <v>323.74</v>
      </c>
      <c r="H24">
        <v>317.87</v>
      </c>
      <c r="I24">
        <v>441.47</v>
      </c>
      <c r="J24">
        <v>488.73</v>
      </c>
      <c r="K24">
        <v>6970.26</v>
      </c>
    </row>
    <row r="25" spans="1:11" s="116" customFormat="1" x14ac:dyDescent="0.25">
      <c r="A25" s="116" t="s">
        <v>77</v>
      </c>
      <c r="E25">
        <v>661.99</v>
      </c>
      <c r="F25">
        <v>699.48</v>
      </c>
      <c r="G25">
        <v>424.09</v>
      </c>
      <c r="H25">
        <v>575.59</v>
      </c>
      <c r="I25">
        <v>1112.46</v>
      </c>
      <c r="J25">
        <v>1456.66</v>
      </c>
      <c r="K25">
        <v>844.86</v>
      </c>
    </row>
    <row r="26" spans="1:11" s="116" customFormat="1" x14ac:dyDescent="0.25">
      <c r="A26" s="116" t="s">
        <v>76</v>
      </c>
      <c r="E26">
        <v>1409.52</v>
      </c>
      <c r="F26">
        <v>1615.68</v>
      </c>
      <c r="G26">
        <v>1943.71</v>
      </c>
      <c r="H26">
        <v>2135.6799999999998</v>
      </c>
      <c r="I26">
        <v>2155.2199999999998</v>
      </c>
      <c r="J26">
        <v>2172.42</v>
      </c>
      <c r="K26">
        <v>2074.6799999999998</v>
      </c>
    </row>
    <row r="27" spans="1:11" s="116" customFormat="1" x14ac:dyDescent="0.25">
      <c r="A27" s="116" t="s">
        <v>75</v>
      </c>
      <c r="E27">
        <v>127.66</v>
      </c>
      <c r="F27">
        <v>155.94</v>
      </c>
      <c r="G27">
        <v>164.65</v>
      </c>
      <c r="H27">
        <v>131.88999999999999</v>
      </c>
      <c r="I27">
        <v>142.22</v>
      </c>
      <c r="J27">
        <v>157.97</v>
      </c>
      <c r="K27">
        <v>127.15</v>
      </c>
    </row>
    <row r="28" spans="1:11" s="116" customFormat="1" x14ac:dyDescent="0.25">
      <c r="A28" s="116" t="s">
        <v>74</v>
      </c>
      <c r="E28">
        <v>3967.79</v>
      </c>
      <c r="F28">
        <v>3212.92</v>
      </c>
      <c r="G28">
        <v>2492.9899999999998</v>
      </c>
      <c r="H28">
        <v>3722.79</v>
      </c>
      <c r="I28">
        <v>6268.85</v>
      </c>
      <c r="J28">
        <v>8095.49</v>
      </c>
      <c r="K28">
        <v>7391.06</v>
      </c>
    </row>
    <row r="29" spans="1:11" s="116" customFormat="1" x14ac:dyDescent="0.25">
      <c r="A29" s="116" t="s">
        <v>73</v>
      </c>
      <c r="E29">
        <v>1386.06</v>
      </c>
      <c r="F29">
        <v>857.93</v>
      </c>
      <c r="G29">
        <v>645.82000000000005</v>
      </c>
      <c r="H29">
        <v>861.03</v>
      </c>
      <c r="I29">
        <v>1615.01</v>
      </c>
      <c r="J29">
        <v>2141.1799999999998</v>
      </c>
      <c r="K29">
        <v>1898.81</v>
      </c>
    </row>
    <row r="30" spans="1:11" s="116" customFormat="1" x14ac:dyDescent="0.25">
      <c r="A30" s="116" t="s">
        <v>72</v>
      </c>
      <c r="E30">
        <v>2581.73</v>
      </c>
      <c r="F30">
        <v>2355</v>
      </c>
      <c r="G30">
        <v>1847.16</v>
      </c>
      <c r="H30">
        <v>2861.77</v>
      </c>
      <c r="I30">
        <v>4653.8500000000004</v>
      </c>
      <c r="J30">
        <v>5954.31</v>
      </c>
      <c r="K30">
        <v>5492.25</v>
      </c>
    </row>
    <row r="31" spans="1:11" s="116" customFormat="1" x14ac:dyDescent="0.25">
      <c r="A31" s="116" t="s">
        <v>118</v>
      </c>
      <c r="G31">
        <v>1359.38</v>
      </c>
      <c r="H31">
        <v>1493.45</v>
      </c>
      <c r="I31">
        <v>4653.42</v>
      </c>
      <c r="J31">
        <v>10782.41</v>
      </c>
      <c r="K31">
        <v>1706.33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56"/>
      <c r="C41" s="156"/>
      <c r="D41" s="156"/>
      <c r="E41" s="156">
        <v>45199</v>
      </c>
      <c r="F41" s="156">
        <v>45291</v>
      </c>
      <c r="G41" s="156">
        <v>45382</v>
      </c>
      <c r="H41" s="156">
        <v>45473</v>
      </c>
      <c r="I41" s="156">
        <v>45565</v>
      </c>
      <c r="J41" s="156">
        <v>45657</v>
      </c>
      <c r="K41" s="156">
        <v>45747</v>
      </c>
    </row>
    <row r="42" spans="1:11" s="116" customFormat="1" x14ac:dyDescent="0.25">
      <c r="A42" s="116" t="s">
        <v>80</v>
      </c>
      <c r="E42">
        <v>18409.39</v>
      </c>
      <c r="F42">
        <v>16590.400000000001</v>
      </c>
      <c r="G42">
        <v>17131.82</v>
      </c>
      <c r="H42">
        <v>16974.16</v>
      </c>
      <c r="I42">
        <v>16876.169999999998</v>
      </c>
      <c r="J42">
        <v>16241.53</v>
      </c>
      <c r="K42">
        <v>17561.95</v>
      </c>
    </row>
    <row r="43" spans="1:11" s="116" customFormat="1" x14ac:dyDescent="0.25">
      <c r="A43" s="116" t="s">
        <v>79</v>
      </c>
      <c r="E43">
        <v>16009.51</v>
      </c>
      <c r="F43">
        <v>14460.99</v>
      </c>
      <c r="G43">
        <v>14657.42</v>
      </c>
      <c r="H43">
        <v>14677.87</v>
      </c>
      <c r="I43">
        <v>14738.16</v>
      </c>
      <c r="J43">
        <v>14416.89</v>
      </c>
      <c r="K43">
        <v>15072.88</v>
      </c>
    </row>
    <row r="44" spans="1:11" s="116" customFormat="1" x14ac:dyDescent="0.25">
      <c r="A44" s="116" t="s">
        <v>77</v>
      </c>
      <c r="E44">
        <v>378.7</v>
      </c>
      <c r="F44">
        <v>363.69</v>
      </c>
      <c r="G44">
        <v>329.21</v>
      </c>
      <c r="H44">
        <v>203.78</v>
      </c>
      <c r="I44">
        <v>202.08</v>
      </c>
      <c r="J44">
        <v>237.44</v>
      </c>
      <c r="K44">
        <v>201.57</v>
      </c>
    </row>
    <row r="45" spans="1:11" s="116" customFormat="1" x14ac:dyDescent="0.25">
      <c r="A45" s="116" t="s">
        <v>76</v>
      </c>
      <c r="E45">
        <v>547.17999999999995</v>
      </c>
      <c r="F45">
        <v>524.46</v>
      </c>
      <c r="G45">
        <v>549.54999999999995</v>
      </c>
      <c r="H45">
        <v>521.39</v>
      </c>
      <c r="I45">
        <v>510.95</v>
      </c>
      <c r="J45">
        <v>519.36</v>
      </c>
      <c r="K45">
        <v>522.99</v>
      </c>
    </row>
    <row r="46" spans="1:11" s="116" customFormat="1" x14ac:dyDescent="0.25">
      <c r="A46" s="116" t="s">
        <v>75</v>
      </c>
      <c r="E46">
        <v>34.6</v>
      </c>
      <c r="F46">
        <v>48.76</v>
      </c>
      <c r="G46">
        <v>37.450000000000003</v>
      </c>
      <c r="H46">
        <v>31.62</v>
      </c>
      <c r="I46">
        <v>29.16</v>
      </c>
      <c r="J46">
        <v>29.89</v>
      </c>
      <c r="K46">
        <v>36.479999999999997</v>
      </c>
    </row>
    <row r="47" spans="1:11" s="116" customFormat="1" x14ac:dyDescent="0.25">
      <c r="A47" s="116" t="s">
        <v>74</v>
      </c>
      <c r="E47">
        <v>2196.8000000000002</v>
      </c>
      <c r="F47">
        <v>1919.88</v>
      </c>
      <c r="G47">
        <v>2216.61</v>
      </c>
      <c r="H47">
        <v>1947.06</v>
      </c>
      <c r="I47">
        <v>1799.98</v>
      </c>
      <c r="J47">
        <v>1512.83</v>
      </c>
      <c r="K47">
        <v>2131.17</v>
      </c>
    </row>
    <row r="48" spans="1:11" s="116" customFormat="1" x14ac:dyDescent="0.25">
      <c r="A48" s="116" t="s">
        <v>73</v>
      </c>
      <c r="E48">
        <v>594.46</v>
      </c>
      <c r="F48">
        <v>526.78</v>
      </c>
      <c r="G48">
        <v>567.29</v>
      </c>
      <c r="H48">
        <v>499.25</v>
      </c>
      <c r="I48">
        <v>462.2</v>
      </c>
      <c r="J48">
        <v>388.74</v>
      </c>
      <c r="K48">
        <v>548.62</v>
      </c>
    </row>
    <row r="49" spans="1:11" s="116" customFormat="1" x14ac:dyDescent="0.25">
      <c r="A49" s="116" t="s">
        <v>72</v>
      </c>
      <c r="E49">
        <v>1602.34</v>
      </c>
      <c r="F49">
        <v>1393.11</v>
      </c>
      <c r="G49">
        <v>1649.32</v>
      </c>
      <c r="H49">
        <v>1447.81</v>
      </c>
      <c r="I49">
        <v>1337.79</v>
      </c>
      <c r="J49">
        <v>1124.0899999999999</v>
      </c>
      <c r="K49">
        <v>1582.56</v>
      </c>
    </row>
    <row r="50" spans="1:11" x14ac:dyDescent="0.25">
      <c r="A50" s="116" t="s">
        <v>78</v>
      </c>
      <c r="E50">
        <v>2399.88</v>
      </c>
      <c r="F50">
        <v>2129.41</v>
      </c>
      <c r="G50">
        <v>2474.4</v>
      </c>
      <c r="H50">
        <v>2296.29</v>
      </c>
      <c r="I50">
        <v>2138.0100000000002</v>
      </c>
      <c r="J50">
        <v>1824.64</v>
      </c>
      <c r="K50">
        <v>2489.0700000000002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56"/>
      <c r="C56" s="156"/>
      <c r="D56" s="156"/>
      <c r="E56" s="156">
        <v>43555</v>
      </c>
      <c r="F56" s="156">
        <v>43921</v>
      </c>
      <c r="G56" s="156">
        <v>44286</v>
      </c>
      <c r="H56" s="156">
        <v>44651</v>
      </c>
      <c r="I56" s="156">
        <v>45016</v>
      </c>
      <c r="J56" s="156">
        <v>45382</v>
      </c>
      <c r="K56" s="156">
        <v>45747</v>
      </c>
    </row>
    <row r="57" spans="1:11" x14ac:dyDescent="0.25">
      <c r="A57" s="116" t="s">
        <v>101</v>
      </c>
      <c r="E57">
        <v>812.54</v>
      </c>
      <c r="F57">
        <v>812.54</v>
      </c>
      <c r="G57">
        <v>812.54</v>
      </c>
      <c r="H57">
        <v>812.54</v>
      </c>
      <c r="I57">
        <v>812.54</v>
      </c>
      <c r="J57">
        <v>812.54</v>
      </c>
      <c r="K57">
        <v>812.54</v>
      </c>
    </row>
    <row r="58" spans="1:11" x14ac:dyDescent="0.25">
      <c r="A58" s="116" t="s">
        <v>100</v>
      </c>
      <c r="E58">
        <v>12938.32</v>
      </c>
      <c r="F58">
        <v>12467.33</v>
      </c>
      <c r="G58">
        <v>14317.61</v>
      </c>
      <c r="H58">
        <v>15822.6</v>
      </c>
      <c r="I58">
        <v>18965.330000000002</v>
      </c>
      <c r="J58">
        <v>9472.33</v>
      </c>
      <c r="K58">
        <v>14954.24</v>
      </c>
    </row>
    <row r="59" spans="1:11" x14ac:dyDescent="0.25">
      <c r="A59" s="116" t="s">
        <v>99</v>
      </c>
      <c r="E59">
        <v>1069.4000000000001</v>
      </c>
      <c r="F59">
        <v>1098.3499999999999</v>
      </c>
      <c r="G59">
        <v>1353.94</v>
      </c>
      <c r="H59">
        <v>1175.1300000000001</v>
      </c>
      <c r="I59">
        <v>1187.58</v>
      </c>
      <c r="J59">
        <v>832.34</v>
      </c>
      <c r="K59">
        <v>847.29</v>
      </c>
    </row>
    <row r="60" spans="1:11" x14ac:dyDescent="0.25">
      <c r="A60" s="116" t="s">
        <v>98</v>
      </c>
      <c r="E60">
        <v>8258.0300000000007</v>
      </c>
      <c r="F60">
        <v>7953.02</v>
      </c>
      <c r="G60">
        <v>10014.15</v>
      </c>
      <c r="H60">
        <v>10273.56</v>
      </c>
      <c r="I60">
        <v>13193.15</v>
      </c>
      <c r="J60">
        <v>14536.54</v>
      </c>
      <c r="K60">
        <v>12757.45</v>
      </c>
    </row>
    <row r="61" spans="1:11" s="115" customFormat="1" x14ac:dyDescent="0.25">
      <c r="A61" s="115" t="s">
        <v>93</v>
      </c>
      <c r="E61">
        <v>23078.29</v>
      </c>
      <c r="F61">
        <v>22331.24</v>
      </c>
      <c r="G61">
        <v>26498.240000000002</v>
      </c>
      <c r="H61">
        <v>28083.83</v>
      </c>
      <c r="I61">
        <v>34158.6</v>
      </c>
      <c r="J61">
        <v>25653.75</v>
      </c>
      <c r="K61">
        <v>29371.52</v>
      </c>
    </row>
    <row r="62" spans="1:11" x14ac:dyDescent="0.25">
      <c r="A62" s="116" t="s">
        <v>97</v>
      </c>
      <c r="E62">
        <v>4929.71</v>
      </c>
      <c r="F62">
        <v>6957.59</v>
      </c>
      <c r="G62">
        <v>7205.3</v>
      </c>
      <c r="H62">
        <v>6559.45</v>
      </c>
      <c r="I62">
        <v>6052.31</v>
      </c>
      <c r="J62">
        <v>7518.7</v>
      </c>
      <c r="K62">
        <v>7004.28</v>
      </c>
    </row>
    <row r="63" spans="1:11" x14ac:dyDescent="0.25">
      <c r="A63" s="116" t="s">
        <v>96</v>
      </c>
      <c r="E63">
        <v>1207.74</v>
      </c>
      <c r="F63">
        <v>561.80999999999995</v>
      </c>
      <c r="G63">
        <v>795.87</v>
      </c>
      <c r="H63">
        <v>529.05999999999995</v>
      </c>
      <c r="I63">
        <v>1332.41</v>
      </c>
      <c r="J63">
        <v>639.12</v>
      </c>
      <c r="K63">
        <v>4703.6000000000004</v>
      </c>
    </row>
    <row r="64" spans="1:11" x14ac:dyDescent="0.25">
      <c r="A64" s="116" t="s">
        <v>95</v>
      </c>
      <c r="E64">
        <v>139.16</v>
      </c>
      <c r="F64">
        <v>137</v>
      </c>
      <c r="G64">
        <v>137</v>
      </c>
      <c r="H64">
        <v>141</v>
      </c>
      <c r="I64">
        <v>146.80000000000001</v>
      </c>
      <c r="J64">
        <v>146.80000000000001</v>
      </c>
      <c r="K64">
        <v>146.80000000000001</v>
      </c>
    </row>
    <row r="65" spans="1:11" x14ac:dyDescent="0.25">
      <c r="A65" s="116" t="s">
        <v>94</v>
      </c>
      <c r="E65">
        <v>16801.68</v>
      </c>
      <c r="F65">
        <v>14674.84</v>
      </c>
      <c r="G65">
        <v>18360.07</v>
      </c>
      <c r="H65">
        <v>20854.32</v>
      </c>
      <c r="I65">
        <v>26627.08</v>
      </c>
      <c r="J65">
        <v>17349.13</v>
      </c>
      <c r="K65">
        <v>17516.84</v>
      </c>
    </row>
    <row r="66" spans="1:11" s="115" customFormat="1" x14ac:dyDescent="0.25">
      <c r="A66" s="115" t="s">
        <v>93</v>
      </c>
      <c r="E66">
        <v>23078.29</v>
      </c>
      <c r="F66">
        <v>22331.24</v>
      </c>
      <c r="G66">
        <v>26498.240000000002</v>
      </c>
      <c r="H66">
        <v>28083.83</v>
      </c>
      <c r="I66">
        <v>34158.6</v>
      </c>
      <c r="J66">
        <v>25653.75</v>
      </c>
      <c r="K66">
        <v>29371.52</v>
      </c>
    </row>
    <row r="67" spans="1:11" s="116" customFormat="1" x14ac:dyDescent="0.25">
      <c r="A67" s="116" t="s">
        <v>115</v>
      </c>
      <c r="E67">
        <v>2048.1999999999998</v>
      </c>
      <c r="F67">
        <v>1498.31</v>
      </c>
      <c r="G67">
        <v>2440.62</v>
      </c>
      <c r="H67">
        <v>2149.09</v>
      </c>
      <c r="I67">
        <v>2802.72</v>
      </c>
      <c r="J67">
        <v>2288.31</v>
      </c>
      <c r="K67">
        <v>2241.4</v>
      </c>
    </row>
    <row r="68" spans="1:11" x14ac:dyDescent="0.25">
      <c r="A68" s="116" t="s">
        <v>90</v>
      </c>
      <c r="E68">
        <v>2552.5</v>
      </c>
      <c r="F68">
        <v>2769.98</v>
      </c>
      <c r="G68">
        <v>2563.3200000000002</v>
      </c>
      <c r="H68">
        <v>2881.12</v>
      </c>
      <c r="I68">
        <v>3422.41</v>
      </c>
      <c r="J68">
        <v>3315.63</v>
      </c>
      <c r="K68">
        <v>3404.36</v>
      </c>
    </row>
    <row r="69" spans="1:11" x14ac:dyDescent="0.25">
      <c r="A69" s="109" t="s">
        <v>114</v>
      </c>
      <c r="E69">
        <v>9254.15</v>
      </c>
      <c r="F69">
        <v>8070.42</v>
      </c>
      <c r="G69">
        <v>11421.86</v>
      </c>
      <c r="H69">
        <v>13965.84</v>
      </c>
      <c r="I69">
        <v>17493.21</v>
      </c>
      <c r="J69">
        <v>8657.9</v>
      </c>
      <c r="K69">
        <v>8135.35</v>
      </c>
    </row>
    <row r="70" spans="1:11" x14ac:dyDescent="0.25">
      <c r="A70" s="109" t="s">
        <v>113</v>
      </c>
      <c r="E70">
        <v>8125411</v>
      </c>
      <c r="F70">
        <v>8125411</v>
      </c>
      <c r="G70">
        <v>8125411</v>
      </c>
      <c r="H70">
        <v>8125411</v>
      </c>
      <c r="I70">
        <v>8125411</v>
      </c>
      <c r="J70">
        <v>8125411</v>
      </c>
    </row>
    <row r="71" spans="1:11" x14ac:dyDescent="0.25">
      <c r="A71" s="109" t="s">
        <v>112</v>
      </c>
    </row>
    <row r="72" spans="1:11" x14ac:dyDescent="0.25">
      <c r="A72" s="109" t="s">
        <v>111</v>
      </c>
      <c r="E72">
        <v>1000</v>
      </c>
      <c r="F72">
        <v>1000</v>
      </c>
      <c r="G72">
        <v>1000</v>
      </c>
      <c r="H72">
        <v>1000</v>
      </c>
      <c r="I72">
        <v>1000</v>
      </c>
      <c r="J72">
        <v>1000</v>
      </c>
      <c r="K72">
        <v>10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56"/>
      <c r="C81" s="156"/>
      <c r="D81" s="156"/>
      <c r="E81" s="156">
        <v>43555</v>
      </c>
      <c r="F81" s="156">
        <v>43921</v>
      </c>
      <c r="G81" s="156">
        <v>44286</v>
      </c>
      <c r="H81" s="156">
        <v>44651</v>
      </c>
      <c r="I81" s="156">
        <v>45016</v>
      </c>
      <c r="J81" s="156">
        <v>45382</v>
      </c>
      <c r="K81" s="156">
        <v>45747</v>
      </c>
    </row>
    <row r="82" spans="1:11" s="115" customFormat="1" x14ac:dyDescent="0.25">
      <c r="A82" s="116" t="s">
        <v>108</v>
      </c>
      <c r="E82">
        <v>4270.1099999999997</v>
      </c>
      <c r="F82">
        <v>4071.66</v>
      </c>
      <c r="G82">
        <v>5364.94</v>
      </c>
      <c r="H82">
        <v>5081.09</v>
      </c>
      <c r="I82">
        <v>6475.5</v>
      </c>
      <c r="J82">
        <v>9113.34</v>
      </c>
      <c r="K82">
        <v>4251.32</v>
      </c>
    </row>
    <row r="83" spans="1:11" s="116" customFormat="1" x14ac:dyDescent="0.25">
      <c r="A83" s="116" t="s">
        <v>107</v>
      </c>
      <c r="E83">
        <v>-1781.33</v>
      </c>
      <c r="F83">
        <v>-2356.9899999999998</v>
      </c>
      <c r="G83">
        <v>-2156.9499999999998</v>
      </c>
      <c r="H83">
        <v>-875.09</v>
      </c>
      <c r="I83">
        <v>-1369.86</v>
      </c>
      <c r="J83">
        <v>-9814.16</v>
      </c>
      <c r="K83">
        <v>-325.63</v>
      </c>
    </row>
    <row r="84" spans="1:11" s="116" customFormat="1" x14ac:dyDescent="0.25">
      <c r="A84" s="116" t="s">
        <v>106</v>
      </c>
      <c r="E84">
        <v>-464.95</v>
      </c>
      <c r="F84">
        <v>-2898.4</v>
      </c>
      <c r="G84">
        <v>143.44999999999999</v>
      </c>
      <c r="H84">
        <v>-1662.02</v>
      </c>
      <c r="I84">
        <v>-1578.27</v>
      </c>
      <c r="J84">
        <v>-15929.1</v>
      </c>
      <c r="K84">
        <v>-61.8</v>
      </c>
    </row>
    <row r="85" spans="1:11" s="115" customFormat="1" x14ac:dyDescent="0.25">
      <c r="A85" s="116" t="s">
        <v>105</v>
      </c>
      <c r="E85">
        <v>2023.83</v>
      </c>
      <c r="F85">
        <v>-1183.72</v>
      </c>
      <c r="G85">
        <v>3351.43</v>
      </c>
      <c r="H85">
        <v>2543.98</v>
      </c>
      <c r="I85">
        <v>3527.37</v>
      </c>
      <c r="J85">
        <v>-16629.919999999998</v>
      </c>
      <c r="K85">
        <v>3863.89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K90">
        <v>1707.65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f>IF($B7&gt;0,(B70*B72/$B7)+SUM(C71:$K71),0)/10000000</f>
        <v>0</v>
      </c>
      <c r="C93" s="114">
        <f>IF($B7&gt;0,(C70*C72/$B7)+SUM(D71:$K71),0)/10000000</f>
        <v>0</v>
      </c>
      <c r="D93" s="114">
        <f>IF($B7&gt;0,(D70*D72/$B7)+SUM(E71:$K71),0)/10000000</f>
        <v>0</v>
      </c>
      <c r="E93" s="114">
        <f>IF($B7&gt;0,(E70*E72/$B7)+SUM(F71:$K71),0)/10000000</f>
        <v>81.254109999999997</v>
      </c>
      <c r="F93" s="114">
        <f>IF($B7&gt;0,(F70*F72/$B7)+SUM(G71:$K71),0)/10000000</f>
        <v>81.254109999999997</v>
      </c>
      <c r="G93" s="114">
        <f>IF($B7&gt;0,(G70*G72/$B7)+SUM(H71:$K71),0)/10000000</f>
        <v>81.254109999999997</v>
      </c>
      <c r="H93" s="114">
        <f>IF($B7&gt;0,(H70*H72/$B7)+SUM(I71:$K71),0)/10000000</f>
        <v>81.254109999999997</v>
      </c>
      <c r="I93" s="114">
        <f>IF($B7&gt;0,(I70*I72/$B7)+SUM(J71:$K71),0)/10000000</f>
        <v>81.254109999999997</v>
      </c>
      <c r="J93" s="114">
        <f>IF($B7&gt;0,(J70*J72/$B7)+SUM(K71:$K71),0)/10000000</f>
        <v>81.254109999999997</v>
      </c>
      <c r="K93" s="114">
        <v>81.25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A09E1216-5D9A-4F26-873D-934B14789FBB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66C83-C480-4031-9256-74D4AF42719F}">
  <sheetPr>
    <tabColor rgb="FF0070C0"/>
  </sheetPr>
  <dimension ref="A1"/>
  <sheetViews>
    <sheetView workbookViewId="0">
      <selection activeCell="G19" sqref="G19"/>
    </sheetView>
  </sheetViews>
  <sheetFormatPr defaultRowHeight="15.75" x14ac:dyDescent="0.25"/>
  <cols>
    <col min="1" max="16384" width="9.140625" style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6DD9-2EE1-4E29-9339-333CD5139CE0}">
  <dimension ref="A2:O13"/>
  <sheetViews>
    <sheetView workbookViewId="0">
      <selection activeCell="C17" sqref="C17"/>
    </sheetView>
  </sheetViews>
  <sheetFormatPr defaultRowHeight="15.75" x14ac:dyDescent="0.25"/>
  <cols>
    <col min="1" max="1" width="2.140625" style="1" bestFit="1" customWidth="1"/>
    <col min="2" max="2" width="14.42578125" style="1" customWidth="1"/>
    <col min="3" max="3" width="20" style="1" customWidth="1"/>
    <col min="4" max="4" width="10.140625" style="1" bestFit="1" customWidth="1"/>
    <col min="5" max="5" width="7.28515625" style="1" bestFit="1" customWidth="1"/>
    <col min="6" max="7" width="12.7109375" style="1" bestFit="1" customWidth="1"/>
    <col min="8" max="8" width="2.140625" style="1" bestFit="1" customWidth="1"/>
    <col min="9" max="11" width="10.7109375" style="1" bestFit="1" customWidth="1"/>
    <col min="12" max="15" width="11.5703125" style="1" bestFit="1" customWidth="1"/>
    <col min="16" max="16384" width="9.140625" style="1"/>
  </cols>
  <sheetData>
    <row r="2" spans="1:15" ht="18.75" x14ac:dyDescent="0.3">
      <c r="B2" s="54" t="s">
        <v>50</v>
      </c>
      <c r="C2" s="54"/>
      <c r="D2" s="55"/>
      <c r="E2" s="55"/>
      <c r="F2" s="55"/>
      <c r="G2" s="56"/>
      <c r="H2" s="57"/>
      <c r="I2" s="58"/>
      <c r="J2" s="58"/>
      <c r="K2" s="58"/>
      <c r="L2" s="58"/>
      <c r="M2" s="58"/>
      <c r="N2" s="58"/>
      <c r="O2" s="59"/>
    </row>
    <row r="3" spans="1:15" x14ac:dyDescent="0.25">
      <c r="B3" s="60">
        <v>1</v>
      </c>
      <c r="C3" s="60">
        <f>B3+1</f>
        <v>2</v>
      </c>
      <c r="D3" s="61">
        <f t="shared" ref="D3:O3" si="0">C3+1</f>
        <v>3</v>
      </c>
      <c r="E3" s="61">
        <f t="shared" si="0"/>
        <v>4</v>
      </c>
      <c r="F3" s="61">
        <f t="shared" si="0"/>
        <v>5</v>
      </c>
      <c r="G3" s="61">
        <f t="shared" si="0"/>
        <v>6</v>
      </c>
      <c r="H3" s="60">
        <f t="shared" si="0"/>
        <v>7</v>
      </c>
      <c r="I3" s="60">
        <f t="shared" si="0"/>
        <v>8</v>
      </c>
      <c r="J3" s="61">
        <f t="shared" si="0"/>
        <v>9</v>
      </c>
      <c r="K3" s="61">
        <f t="shared" si="0"/>
        <v>10</v>
      </c>
      <c r="L3" s="61">
        <f t="shared" si="0"/>
        <v>11</v>
      </c>
      <c r="M3" s="61">
        <f t="shared" si="0"/>
        <v>12</v>
      </c>
      <c r="N3" s="60">
        <f t="shared" si="0"/>
        <v>13</v>
      </c>
      <c r="O3" s="60">
        <f t="shared" si="0"/>
        <v>14</v>
      </c>
    </row>
    <row r="4" spans="1:15" x14ac:dyDescent="0.25">
      <c r="B4" s="15"/>
      <c r="C4" s="15"/>
      <c r="D4" s="17" t="s">
        <v>15</v>
      </c>
      <c r="E4" s="17" t="s">
        <v>16</v>
      </c>
      <c r="F4" s="17" t="s">
        <v>17</v>
      </c>
      <c r="G4" s="17" t="s">
        <v>18</v>
      </c>
      <c r="H4" s="62"/>
      <c r="I4" s="62" t="s">
        <v>19</v>
      </c>
      <c r="J4" s="62"/>
      <c r="K4" s="62"/>
      <c r="L4" s="62" t="s">
        <v>20</v>
      </c>
      <c r="M4" s="62"/>
      <c r="N4" s="62" t="s">
        <v>21</v>
      </c>
      <c r="O4" s="62"/>
    </row>
    <row r="5" spans="1:15" x14ac:dyDescent="0.25">
      <c r="B5" s="63" t="s">
        <v>28</v>
      </c>
      <c r="C5" s="63" t="s">
        <v>29</v>
      </c>
      <c r="D5" s="18" t="s">
        <v>30</v>
      </c>
      <c r="E5" s="18" t="s">
        <v>31</v>
      </c>
      <c r="F5" s="18" t="s">
        <v>32</v>
      </c>
      <c r="G5" s="18" t="s">
        <v>33</v>
      </c>
      <c r="H5" s="19"/>
      <c r="I5" s="19">
        <v>23</v>
      </c>
      <c r="J5" s="19">
        <v>24</v>
      </c>
      <c r="K5" s="19">
        <v>25</v>
      </c>
      <c r="L5" s="19" t="s">
        <v>35</v>
      </c>
      <c r="M5" s="19" t="s">
        <v>36</v>
      </c>
      <c r="N5" s="19" t="str">
        <f>L5</f>
        <v>'24</v>
      </c>
      <c r="O5" s="19" t="str">
        <f>M5</f>
        <v>'25</v>
      </c>
    </row>
    <row r="6" spans="1:15" x14ac:dyDescent="0.25">
      <c r="A6" s="32">
        <v>1</v>
      </c>
      <c r="B6" s="32" t="str">
        <f>'Indian Comps'!B11</f>
        <v>TATAMOTORS</v>
      </c>
      <c r="C6" s="32" t="s">
        <v>51</v>
      </c>
      <c r="D6" s="64">
        <v>688</v>
      </c>
      <c r="E6" s="52">
        <f>'Tata Motors (DS)'!B6</f>
        <v>368.25345930232561</v>
      </c>
      <c r="F6" s="65">
        <f>G6+ 'Tata Motors (DS)'!K59-'Tata Motors (DS)'!K69</f>
        <v>284064.38</v>
      </c>
      <c r="G6" s="52">
        <f>'Tata Motors (DS)'!B9</f>
        <v>253358.38</v>
      </c>
      <c r="H6" s="53"/>
      <c r="I6" s="66">
        <f>'Tata Motors (IS)'!I4</f>
        <v>345966.97</v>
      </c>
      <c r="J6" s="66">
        <f>'Tata Motors (IS)'!J4</f>
        <v>434016</v>
      </c>
      <c r="K6" s="66">
        <f>'Tata Motors (IS)'!K4</f>
        <v>439695</v>
      </c>
      <c r="L6" s="67">
        <f>'Tata Motors (IS)'!J6+Annual[[#This Row],[Column10]]</f>
        <v>76450.3</v>
      </c>
      <c r="M6" s="67">
        <f>'Tata Motors (IS)'!K6+Annual[[#This Row],[Column11]]</f>
        <v>75372.299999999988</v>
      </c>
      <c r="N6" s="67">
        <f>'Tata Motors (IS)'!J12</f>
        <v>31399</v>
      </c>
      <c r="O6" s="67">
        <f>'Tata Motors (IS)'!K12</f>
        <v>27830</v>
      </c>
    </row>
    <row r="7" spans="1:15" x14ac:dyDescent="0.25">
      <c r="A7" s="1">
        <f>A6+1</f>
        <v>2</v>
      </c>
      <c r="B7" s="1" t="str">
        <f>'Indian Comps'!B13</f>
        <v>MARUTI</v>
      </c>
      <c r="C7" s="1" t="s">
        <v>52</v>
      </c>
      <c r="D7" s="68">
        <v>12667</v>
      </c>
      <c r="E7" s="68">
        <f>'MARUTI SUZUKI (DS)'!B6</f>
        <v>31.440257079576014</v>
      </c>
      <c r="F7" s="69">
        <f>G7+'MARUTI SUZUKI (DS)'!K59-'MARUTI SUZUKI (DS)'!K69</f>
        <v>397001.82999999996</v>
      </c>
      <c r="G7" s="69">
        <f>'MARUTI SUZUKI (DS)'!B9</f>
        <v>397467.73</v>
      </c>
      <c r="I7" s="70">
        <f>'MARUTI SUZUKI (IS)'!I4</f>
        <v>118409.9</v>
      </c>
      <c r="J7" s="70">
        <f>'MARUTI SUZUKI (IS)'!J4</f>
        <v>141858.20000000001</v>
      </c>
      <c r="K7" s="70">
        <f>'MARUTI SUZUKI (IS)'!K4</f>
        <v>152913</v>
      </c>
      <c r="L7" s="71">
        <f>'MARUTI SUZUKI (IS)'!J6+Annual[[#This Row],[Column10]]</f>
        <v>22873.9</v>
      </c>
      <c r="M7" s="71">
        <f>'MARUTI SUZUKI (IS)'!K6+Annual[[#This Row],[Column11]]</f>
        <v>25422.399999999987</v>
      </c>
      <c r="N7" s="71">
        <f>'MARUTI SUZUKI (IS)'!J12</f>
        <v>13488.2</v>
      </c>
      <c r="O7" s="71">
        <f>'MARUTI SUZUKI (IS)'!K12</f>
        <v>14500.2</v>
      </c>
    </row>
    <row r="8" spans="1:15" x14ac:dyDescent="0.25">
      <c r="A8" s="1">
        <f t="shared" ref="A8:A13" si="1">A7+1</f>
        <v>3</v>
      </c>
      <c r="B8" s="1" t="str">
        <f>'Indian Comps'!B14</f>
        <v>M&amp;M</v>
      </c>
      <c r="C8" t="s">
        <v>206</v>
      </c>
      <c r="D8" s="72">
        <v>3220</v>
      </c>
      <c r="E8" s="68">
        <f>'M &amp; M (DS)'!B6</f>
        <v>124.35288296444291</v>
      </c>
      <c r="F8" s="69">
        <f>G8+'M &amp; M (DS)'!K59-'M &amp; M (DS)'!K69</f>
        <v>502674.06</v>
      </c>
      <c r="G8" s="69">
        <f>'M &amp; M (DS)'!B9</f>
        <v>398339.59</v>
      </c>
      <c r="I8" s="70">
        <f>'M &amp; M (IS) '!I4</f>
        <v>121268.55</v>
      </c>
      <c r="J8" s="70">
        <f>'M &amp; M (IS) '!J4</f>
        <v>139078.26999999999</v>
      </c>
      <c r="K8" s="70">
        <f>'M &amp; M (IS) '!K4</f>
        <v>159210.82</v>
      </c>
      <c r="L8" s="71">
        <f>'M &amp; M (IS) '!J6+'M &amp; M (IS) '!J8</f>
        <v>29615.709999999992</v>
      </c>
      <c r="M8" s="73">
        <f>'M &amp; M (IS) '!K6+'M &amp; M (IS) '!K8</f>
        <v>36591.840000000004</v>
      </c>
      <c r="N8" s="73">
        <f>'M &amp; M (IS) '!J12</f>
        <v>11268.64</v>
      </c>
      <c r="O8" s="73">
        <f>'M &amp; M (IS) '!K12</f>
        <v>12929.1</v>
      </c>
    </row>
    <row r="9" spans="1:15" x14ac:dyDescent="0.25">
      <c r="A9" s="1">
        <f t="shared" si="1"/>
        <v>4</v>
      </c>
      <c r="B9" s="1" t="str">
        <f>'Indian Comps'!B15</f>
        <v>FORCEMOT</v>
      </c>
      <c r="C9" s="1" t="s">
        <v>54</v>
      </c>
      <c r="D9" s="72">
        <v>14525</v>
      </c>
      <c r="E9" s="68">
        <f>'Force Motors (DS)'!B6</f>
        <v>1.3176262068965519</v>
      </c>
      <c r="F9" s="69">
        <f>G9+'Force Motors (DS)'!K59-'Force Motors (DS)'!K69</f>
        <v>18615.600000000002</v>
      </c>
      <c r="G9" s="69">
        <f>'Force Motors (DS)'!B9</f>
        <v>19105.580000000002</v>
      </c>
      <c r="I9" s="70">
        <f>'Force Motors (IS)'!I4</f>
        <v>5028.9799999999996</v>
      </c>
      <c r="J9" s="70">
        <f>'Force Motors (IS)'!J4</f>
        <v>6992.13</v>
      </c>
      <c r="K9" s="70">
        <f>'Force Motors (IS)'!K4</f>
        <v>8071.73</v>
      </c>
      <c r="L9" s="71">
        <f>'Force Motors (IS)'!J6+'Force Motors (IS)'!J8</f>
        <v>1163.3199999999997</v>
      </c>
      <c r="M9" s="73">
        <f>'Force Motors (IS)'!K6+'Force Motors (IS)'!K8</f>
        <v>1372.9599999999984</v>
      </c>
      <c r="N9" s="73">
        <f>'Force Motors (IS)'!J12</f>
        <v>388.09</v>
      </c>
      <c r="O9" s="73">
        <f>'Force Motors (IS)'!K12</f>
        <v>800.74</v>
      </c>
    </row>
    <row r="10" spans="1:15" x14ac:dyDescent="0.25">
      <c r="A10" s="1">
        <f t="shared" si="1"/>
        <v>5</v>
      </c>
      <c r="B10" s="1" t="str">
        <f>'Indian Comps'!B18</f>
        <v>EICHERMOT</v>
      </c>
      <c r="C10" s="1" t="s">
        <v>55</v>
      </c>
      <c r="D10" s="72">
        <v>5630</v>
      </c>
      <c r="E10" s="68">
        <f>'Eicher Motors (DS)'!B6</f>
        <v>27.425224381625441</v>
      </c>
      <c r="F10" s="69">
        <f>G10+'Eicher Motors (DS)'!K59-'Eicher Motors (DS)'!K69</f>
        <v>155421.88999999998</v>
      </c>
      <c r="G10" s="69">
        <f>'Eicher Motors (DS)'!B9</f>
        <v>155226.76999999999</v>
      </c>
      <c r="I10" s="70">
        <f>'Eicher Motors (IS)'!I4</f>
        <v>14442.18</v>
      </c>
      <c r="J10" s="70">
        <f>'Eicher Motors (IS)'!J4</f>
        <v>16535.78</v>
      </c>
      <c r="K10" s="70">
        <f>'Eicher Motors (IS)'!K4</f>
        <v>18870.349999999999</v>
      </c>
      <c r="L10" s="71">
        <f>'Eicher Motors (IS)'!J6+'Eicher Motors (IS)'!J8</f>
        <v>4926.9699999999975</v>
      </c>
      <c r="M10" s="73">
        <f>'Eicher Motors (IS)'!K6+'Eicher Motors (IS)'!K8</f>
        <v>5441.3599999999988</v>
      </c>
      <c r="N10" s="73">
        <f>'Eicher Motors (IS)'!J12</f>
        <v>4001.01</v>
      </c>
      <c r="O10" s="73">
        <f>'Eicher Motors (IS)'!K12</f>
        <v>4734.4399999999996</v>
      </c>
    </row>
    <row r="11" spans="1:15" x14ac:dyDescent="0.25">
      <c r="A11" s="1">
        <f t="shared" si="1"/>
        <v>6</v>
      </c>
      <c r="B11" s="1" t="str">
        <f>'Indian Comps'!B17</f>
        <v>HYUNDAI</v>
      </c>
      <c r="C11" s="1" t="s">
        <v>148</v>
      </c>
      <c r="D11" s="1">
        <v>2050</v>
      </c>
      <c r="E11" s="68">
        <f>'Hyundai (DS)'!B6</f>
        <v>81.290897560975608</v>
      </c>
      <c r="F11" s="69">
        <f>G11+'Hyundai (DS)'!K60-'Hyundai (DS)'!K70</f>
        <v>179403.79</v>
      </c>
      <c r="G11" s="68">
        <f>'Hyundai (DS)'!B9</f>
        <v>166646.34</v>
      </c>
      <c r="I11" s="70">
        <f>'Hyundai (IS)'!I4</f>
        <v>59761.45</v>
      </c>
      <c r="J11" s="70">
        <f>'Hyundai (IS)'!J4</f>
        <v>68538.61</v>
      </c>
      <c r="K11" s="70">
        <f>'Hyundai (IS)'!K4</f>
        <v>67653.81</v>
      </c>
      <c r="L11" s="71">
        <f>'Hyundai (IS)'!J6+'Hyundai (IS)'!J8</f>
        <v>11141.639999999994</v>
      </c>
      <c r="M11" s="73">
        <f>'Hyundai (IS)'!K6+'Hyundai (IS)'!K8</f>
        <v>10822.709999999992</v>
      </c>
      <c r="N11" s="73">
        <f>'Hyundai (IS)'!J12</f>
        <v>5954.31</v>
      </c>
      <c r="O11" s="73">
        <f>'Hyundai (IS)'!K12</f>
        <v>5492.25</v>
      </c>
    </row>
    <row r="12" spans="1:15" x14ac:dyDescent="0.25">
      <c r="A12" s="1">
        <f t="shared" si="1"/>
        <v>7</v>
      </c>
      <c r="B12" s="1" t="str">
        <f>'Indian Comps'!B16</f>
        <v>ASHOKLEY</v>
      </c>
      <c r="C12" s="1" t="s">
        <v>57</v>
      </c>
      <c r="D12" s="72">
        <v>249.6</v>
      </c>
      <c r="E12" s="68">
        <f>'Ashok Leyland (DS)'!B6</f>
        <v>293.65274496456169</v>
      </c>
      <c r="F12" s="69">
        <f>G12+'Ashok Leyland (DS)'!K69-'Ashok Leyland (DS)'!K69</f>
        <v>73333.899999999994</v>
      </c>
      <c r="G12" s="69">
        <f>'Ashok Leyland (DS)'!B9</f>
        <v>73333.899999999994</v>
      </c>
      <c r="I12" s="70">
        <f>'Ashok Leyland (IS)'!I4</f>
        <v>41672.6</v>
      </c>
      <c r="J12" s="70">
        <f>'Ashok Leyland (IS)'!J4</f>
        <v>45790.64</v>
      </c>
      <c r="K12" s="70">
        <f>'Ashok Leyland (IS)'!K4</f>
        <v>48535.14</v>
      </c>
      <c r="L12" s="71">
        <f>'Ashok Leyland (IS)'!J6+'Ashok Leyland (IS)'!J8</f>
        <v>8870.1600000000035</v>
      </c>
      <c r="M12" s="73">
        <f>'Ashok Leyland (IS)'!K6+'Ashok Leyland (IS)'!K8</f>
        <v>10294.4</v>
      </c>
      <c r="N12" s="73">
        <f>'Ashok Leyland (IS)'!J12</f>
        <v>2483.52</v>
      </c>
      <c r="O12" s="73">
        <f>'Ashok Leyland (IS)'!K12</f>
        <v>3106.8</v>
      </c>
    </row>
    <row r="13" spans="1:15" x14ac:dyDescent="0.25">
      <c r="A13" s="1">
        <f t="shared" si="1"/>
        <v>8</v>
      </c>
      <c r="B13" s="32"/>
      <c r="C13" s="1" t="s">
        <v>56</v>
      </c>
      <c r="D13" s="72">
        <v>8470</v>
      </c>
      <c r="E13" s="68">
        <f>'Bajaj Auto (DS)'!B6</f>
        <v>27.925761024182076</v>
      </c>
      <c r="F13" s="69">
        <f>G13+'Bajaj Auto (DS)'!K59-'Bajaj Auto (DS)'!K69</f>
        <v>242098.28</v>
      </c>
      <c r="G13" s="69">
        <f>'Bajaj Auto (DS)'!B9</f>
        <v>235581.72</v>
      </c>
      <c r="I13" s="70">
        <f>'Bajaj Auto (IS)'!I4</f>
        <v>36455.379999999997</v>
      </c>
      <c r="J13" s="70">
        <f>'Bajaj Auto (IS)'!J4</f>
        <v>44870.43</v>
      </c>
      <c r="K13" s="70">
        <f>'Bajaj Auto (IS)'!K4</f>
        <v>50994.55</v>
      </c>
      <c r="L13" s="71">
        <f>'Bajaj Auto (IS)'!J6+'Bajaj Auto (IS)'!J8</f>
        <v>9129.4500000000007</v>
      </c>
      <c r="M13" s="73">
        <f>'Bajaj Auto (IS)'!K6+'Bajaj Auto (IS)'!K8</f>
        <v>9966.48</v>
      </c>
      <c r="N13" s="74">
        <f>Annual7[[#This Row],[Column10]]</f>
        <v>276.08309455587391</v>
      </c>
      <c r="O13" s="74">
        <f>Annual7[[#This Row],[Column11]]</f>
        <v>262.25313283208021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75FCB-0190-4BE9-B77F-3C206F138DB4}">
  <dimension ref="A2:O14"/>
  <sheetViews>
    <sheetView zoomScaleNormal="100" workbookViewId="0">
      <selection activeCell="B6" sqref="B6"/>
    </sheetView>
  </sheetViews>
  <sheetFormatPr defaultRowHeight="15.75" x14ac:dyDescent="0.25"/>
  <cols>
    <col min="1" max="1" width="2.140625" style="1" bestFit="1" customWidth="1"/>
    <col min="2" max="2" width="14" style="1" customWidth="1"/>
    <col min="3" max="3" width="16.5703125" style="1" bestFit="1" customWidth="1"/>
    <col min="4" max="4" width="9" style="1" bestFit="1" customWidth="1"/>
    <col min="5" max="5" width="12.85546875" style="1" bestFit="1" customWidth="1"/>
    <col min="6" max="7" width="13.140625" style="1" bestFit="1" customWidth="1"/>
    <col min="8" max="8" width="2.140625" style="1" bestFit="1" customWidth="1"/>
    <col min="9" max="11" width="13.140625" style="1" bestFit="1" customWidth="1"/>
    <col min="12" max="15" width="11.85546875" style="1" bestFit="1" customWidth="1"/>
    <col min="16" max="16384" width="9.140625" style="1"/>
  </cols>
  <sheetData>
    <row r="2" spans="1:15" ht="18.75" x14ac:dyDescent="0.3">
      <c r="B2" s="54" t="s">
        <v>50</v>
      </c>
      <c r="C2" s="54"/>
      <c r="D2" s="55"/>
      <c r="E2" s="55"/>
      <c r="F2" s="55"/>
      <c r="G2" s="56"/>
      <c r="H2" s="57"/>
      <c r="I2" s="58"/>
      <c r="J2" s="58"/>
      <c r="K2" s="58"/>
      <c r="L2" s="58"/>
      <c r="M2" s="58"/>
      <c r="N2" s="58"/>
      <c r="O2" s="59"/>
    </row>
    <row r="3" spans="1:15" x14ac:dyDescent="0.25">
      <c r="B3" s="60">
        <v>1</v>
      </c>
      <c r="C3" s="60">
        <f>B3+1</f>
        <v>2</v>
      </c>
      <c r="D3" s="61">
        <f t="shared" ref="D3:O3" si="0">C3+1</f>
        <v>3</v>
      </c>
      <c r="E3" s="61">
        <f t="shared" si="0"/>
        <v>4</v>
      </c>
      <c r="F3" s="61">
        <f t="shared" si="0"/>
        <v>5</v>
      </c>
      <c r="G3" s="61">
        <f t="shared" si="0"/>
        <v>6</v>
      </c>
      <c r="H3" s="60">
        <f t="shared" si="0"/>
        <v>7</v>
      </c>
      <c r="I3" s="60">
        <f t="shared" si="0"/>
        <v>8</v>
      </c>
      <c r="J3" s="61">
        <f t="shared" si="0"/>
        <v>9</v>
      </c>
      <c r="K3" s="61">
        <f t="shared" si="0"/>
        <v>10</v>
      </c>
      <c r="L3" s="61">
        <f t="shared" si="0"/>
        <v>11</v>
      </c>
      <c r="M3" s="61">
        <f t="shared" si="0"/>
        <v>12</v>
      </c>
      <c r="N3" s="60">
        <f t="shared" si="0"/>
        <v>13</v>
      </c>
      <c r="O3" s="60">
        <f t="shared" si="0"/>
        <v>14</v>
      </c>
    </row>
    <row r="4" spans="1:15" x14ac:dyDescent="0.25">
      <c r="B4" s="15"/>
      <c r="C4" s="15"/>
      <c r="D4" s="17" t="s">
        <v>15</v>
      </c>
      <c r="E4" s="17" t="s">
        <v>16</v>
      </c>
      <c r="F4" s="17" t="s">
        <v>17</v>
      </c>
      <c r="G4" s="17" t="s">
        <v>18</v>
      </c>
      <c r="H4" s="62"/>
      <c r="I4" s="62" t="s">
        <v>19</v>
      </c>
      <c r="J4" s="62"/>
      <c r="K4" s="62"/>
      <c r="L4" s="62" t="s">
        <v>20</v>
      </c>
      <c r="M4" s="62"/>
      <c r="N4" s="62" t="s">
        <v>21</v>
      </c>
      <c r="O4" s="62"/>
    </row>
    <row r="5" spans="1:15" x14ac:dyDescent="0.25">
      <c r="B5" s="63" t="s">
        <v>28</v>
      </c>
      <c r="C5" s="63" t="s">
        <v>29</v>
      </c>
      <c r="D5" s="18" t="s">
        <v>30</v>
      </c>
      <c r="E5" s="18" t="s">
        <v>31</v>
      </c>
      <c r="F5" s="18" t="s">
        <v>32</v>
      </c>
      <c r="G5" s="18" t="s">
        <v>33</v>
      </c>
      <c r="H5" s="19"/>
      <c r="I5" s="19">
        <v>23</v>
      </c>
      <c r="J5" s="19">
        <v>24</v>
      </c>
      <c r="K5" s="19">
        <v>25</v>
      </c>
      <c r="L5" s="19" t="s">
        <v>35</v>
      </c>
      <c r="M5" s="19" t="s">
        <v>36</v>
      </c>
      <c r="N5" s="19" t="str">
        <f>L5</f>
        <v>'24</v>
      </c>
      <c r="O5" s="19" t="str">
        <f>M5</f>
        <v>'25</v>
      </c>
    </row>
    <row r="6" spans="1:15" x14ac:dyDescent="0.25">
      <c r="A6" s="32">
        <v>1</v>
      </c>
      <c r="B6" s="32" t="s">
        <v>151</v>
      </c>
      <c r="C6" s="32" t="s">
        <v>51</v>
      </c>
      <c r="D6" s="64">
        <v>688</v>
      </c>
      <c r="E6" s="52">
        <f>'Tata Motors (DS)'!B6</f>
        <v>368.25345930232561</v>
      </c>
      <c r="F6" s="65">
        <f>G6+'Tata Motors (DS)'!K59-'Tata Motors (DS)'!K69</f>
        <v>284064.38</v>
      </c>
      <c r="G6" s="52">
        <f>'Tata Motors (DS)'!B9</f>
        <v>253358.38</v>
      </c>
      <c r="H6" s="53"/>
      <c r="I6" s="66">
        <f>'Tata Motors (IS)'!I4</f>
        <v>345966.97</v>
      </c>
      <c r="J6" s="66">
        <f>'Tata Motors (IS)'!J4</f>
        <v>434016</v>
      </c>
      <c r="K6" s="66">
        <f>'Tata Motors (IS)'!K4</f>
        <v>439695</v>
      </c>
      <c r="L6" s="67">
        <f>'Tata Motors (IS)'!J6+Annual[[#This Row],[Column10]]</f>
        <v>76450.3</v>
      </c>
      <c r="M6" s="67">
        <f>'Tata Motors (IS)'!K6+Annual[[#This Row],[Column11]]</f>
        <v>75372.299999999988</v>
      </c>
      <c r="N6" s="67">
        <f>'Tata Motors (IS)'!J12</f>
        <v>31399</v>
      </c>
      <c r="O6" s="67">
        <f>'Tata Motors (IS)'!K12</f>
        <v>27830</v>
      </c>
    </row>
    <row r="7" spans="1:15" x14ac:dyDescent="0.25">
      <c r="A7" s="1">
        <f>A6+1</f>
        <v>2</v>
      </c>
      <c r="B7" s="131" t="s">
        <v>150</v>
      </c>
      <c r="C7" s="124" t="s">
        <v>143</v>
      </c>
      <c r="D7" s="132">
        <v>5126</v>
      </c>
      <c r="E7" s="70">
        <v>96.29</v>
      </c>
      <c r="F7" s="73">
        <v>1063018.5</v>
      </c>
      <c r="G7" s="73">
        <v>490678.05</v>
      </c>
      <c r="H7" s="73"/>
      <c r="I7" s="133">
        <v>1415318.23</v>
      </c>
      <c r="J7" s="133">
        <v>1344810.29</v>
      </c>
      <c r="K7" s="133">
        <v>1275889.46</v>
      </c>
      <c r="L7" s="133">
        <v>198651.18</v>
      </c>
      <c r="M7" s="133">
        <v>153506.26999999999</v>
      </c>
      <c r="N7" s="133">
        <v>94261.65</v>
      </c>
      <c r="O7" s="133">
        <v>58171.57</v>
      </c>
    </row>
    <row r="8" spans="1:15" x14ac:dyDescent="0.25">
      <c r="A8" s="1">
        <f t="shared" ref="A8:A12" si="1">A7+1</f>
        <v>3</v>
      </c>
      <c r="B8" s="1" t="s">
        <v>153</v>
      </c>
      <c r="C8" s="124" t="s">
        <v>144</v>
      </c>
      <c r="D8" s="132">
        <v>8650</v>
      </c>
      <c r="E8" s="133">
        <v>50.1295</v>
      </c>
      <c r="F8" s="133">
        <v>1200000</v>
      </c>
      <c r="G8" s="68">
        <v>815099.57</v>
      </c>
      <c r="H8" s="73"/>
      <c r="I8" s="133">
        <v>2500000</v>
      </c>
      <c r="J8" s="133">
        <v>2994000</v>
      </c>
      <c r="K8" s="133">
        <v>3000000</v>
      </c>
      <c r="L8" s="133">
        <v>468000</v>
      </c>
      <c r="M8" s="133">
        <v>470000</v>
      </c>
      <c r="N8" s="133">
        <v>156000</v>
      </c>
      <c r="O8" s="133">
        <v>160000</v>
      </c>
    </row>
    <row r="9" spans="1:15" x14ac:dyDescent="0.25">
      <c r="A9" s="1">
        <f t="shared" si="1"/>
        <v>4</v>
      </c>
      <c r="B9" s="131" t="s">
        <v>152</v>
      </c>
      <c r="C9" s="124" t="s">
        <v>145</v>
      </c>
      <c r="D9" s="132">
        <v>1500</v>
      </c>
      <c r="E9" s="70">
        <v>1325.2456</v>
      </c>
      <c r="F9" s="133">
        <v>3000000</v>
      </c>
      <c r="G9" s="133">
        <v>2500000</v>
      </c>
      <c r="H9" s="73"/>
      <c r="I9" s="133">
        <v>2205000</v>
      </c>
      <c r="J9" s="133">
        <v>2677129.06</v>
      </c>
      <c r="K9" s="133">
        <v>2850746</v>
      </c>
      <c r="L9" s="133">
        <v>540000</v>
      </c>
      <c r="M9" s="133">
        <v>519500</v>
      </c>
      <c r="N9" s="133">
        <v>293000</v>
      </c>
      <c r="O9" s="133">
        <v>283000</v>
      </c>
    </row>
    <row r="10" spans="1:15" x14ac:dyDescent="0.25">
      <c r="A10" s="1">
        <f t="shared" si="1"/>
        <v>5</v>
      </c>
      <c r="B10" s="131" t="s">
        <v>154</v>
      </c>
      <c r="C10" s="124" t="s">
        <v>146</v>
      </c>
      <c r="D10" s="133">
        <v>7096.17</v>
      </c>
      <c r="E10" s="133">
        <v>96.29</v>
      </c>
      <c r="F10" s="133">
        <v>1265564.3999999999</v>
      </c>
      <c r="G10" s="133">
        <v>752744.45</v>
      </c>
      <c r="H10" s="134"/>
      <c r="I10" s="133">
        <v>1314879.3</v>
      </c>
      <c r="J10" s="133">
        <v>1200550</v>
      </c>
      <c r="K10" s="133">
        <v>1200550</v>
      </c>
      <c r="L10" s="133">
        <v>432198</v>
      </c>
      <c r="M10" s="133">
        <v>434045</v>
      </c>
      <c r="N10" s="133">
        <v>144066</v>
      </c>
      <c r="O10" s="133">
        <v>147760</v>
      </c>
    </row>
    <row r="11" spans="1:15" x14ac:dyDescent="0.25">
      <c r="A11" s="1">
        <f t="shared" si="1"/>
        <v>6</v>
      </c>
      <c r="B11" s="131" t="s">
        <v>155</v>
      </c>
      <c r="C11" s="124" t="s">
        <v>147</v>
      </c>
      <c r="D11" s="135">
        <v>126.48</v>
      </c>
      <c r="E11" s="133">
        <v>297.95240000000001</v>
      </c>
      <c r="F11" s="133">
        <v>31150</v>
      </c>
      <c r="G11" s="133">
        <v>37685.019999999997</v>
      </c>
      <c r="H11" s="134"/>
      <c r="I11" s="133">
        <v>313495.5</v>
      </c>
      <c r="J11" s="133">
        <v>314157</v>
      </c>
      <c r="K11" s="133">
        <v>329700</v>
      </c>
      <c r="L11" s="133">
        <v>9958.51</v>
      </c>
      <c r="M11" s="133">
        <v>10500</v>
      </c>
      <c r="N11" s="133">
        <v>3182.74</v>
      </c>
      <c r="O11" s="133">
        <v>3500</v>
      </c>
    </row>
    <row r="12" spans="1:15" x14ac:dyDescent="0.25">
      <c r="A12" s="1">
        <f t="shared" si="1"/>
        <v>7</v>
      </c>
      <c r="B12" s="131" t="s">
        <v>156</v>
      </c>
      <c r="C12" s="124" t="s">
        <v>149</v>
      </c>
      <c r="D12" s="134">
        <v>944.23</v>
      </c>
      <c r="E12" s="133">
        <v>390.34365170000001</v>
      </c>
      <c r="F12" s="133">
        <v>1476776</v>
      </c>
      <c r="G12" s="133">
        <v>330340</v>
      </c>
      <c r="H12" s="73"/>
      <c r="I12" s="133">
        <v>1147041.8500000001</v>
      </c>
      <c r="J12" s="133">
        <v>1535500</v>
      </c>
      <c r="K12" s="133">
        <v>1593825</v>
      </c>
      <c r="L12" s="133">
        <v>85922.5</v>
      </c>
      <c r="M12" s="133">
        <v>89105</v>
      </c>
      <c r="N12" s="133">
        <v>48804</v>
      </c>
      <c r="O12" s="133">
        <v>50525</v>
      </c>
    </row>
    <row r="14" spans="1:15" x14ac:dyDescent="0.25">
      <c r="C14" s="1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D0FC-F270-4061-AB31-238DF37FFAC7}">
  <sheetPr>
    <tabColor rgb="FF002060"/>
  </sheetPr>
  <dimension ref="A1"/>
  <sheetViews>
    <sheetView workbookViewId="0">
      <selection activeCell="F15" sqref="F15"/>
    </sheetView>
  </sheetViews>
  <sheetFormatPr defaultRowHeight="15.75" x14ac:dyDescent="0.25"/>
  <cols>
    <col min="1" max="16384" width="9.140625" style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CD7-7EEF-4BFA-A206-75B7EFEC9D78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B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0.7109375" style="75" customWidth="1"/>
    <col min="2" max="6" width="13.42578125" style="75" customWidth="1"/>
    <col min="7" max="7" width="14.85546875" style="75" bestFit="1" customWidth="1"/>
    <col min="8" max="11" width="13.42578125" style="75" customWidth="1"/>
    <col min="12" max="12" width="13.28515625" style="75" customWidth="1"/>
    <col min="13" max="14" width="12.140625" style="75" customWidth="1"/>
    <col min="15" max="16384" width="8.85546875" style="75"/>
  </cols>
  <sheetData>
    <row r="1" spans="1:14" s="80" customFormat="1" x14ac:dyDescent="0.25">
      <c r="A1" s="80" t="str">
        <f>'Tata Motors (DS)'!B1</f>
        <v>TATA MOTORS LTD</v>
      </c>
      <c r="H1" s="75" t="str">
        <f>UPDATE</f>
        <v/>
      </c>
      <c r="J1" s="87"/>
      <c r="K1" s="87"/>
      <c r="M1" s="80" t="s">
        <v>85</v>
      </c>
    </row>
    <row r="3" spans="1:14" s="80" customFormat="1" x14ac:dyDescent="0.25">
      <c r="A3" s="83" t="s">
        <v>84</v>
      </c>
      <c r="B3" s="82">
        <f>'Tata Motors (DS)'!B16</f>
        <v>42460</v>
      </c>
      <c r="C3" s="82">
        <f>'Tata Motors (DS)'!C16</f>
        <v>42825</v>
      </c>
      <c r="D3" s="82">
        <f>'Tata Motors (DS)'!D16</f>
        <v>43190</v>
      </c>
      <c r="E3" s="82">
        <f>'Tata Motors (DS)'!E16</f>
        <v>43555</v>
      </c>
      <c r="F3" s="82">
        <f>'Tata Motors (DS)'!F16</f>
        <v>43921</v>
      </c>
      <c r="G3" s="82">
        <f>'Tata Motors (DS)'!G16</f>
        <v>44286</v>
      </c>
      <c r="H3" s="82">
        <f>'Tata Motors (DS)'!H16</f>
        <v>44651</v>
      </c>
      <c r="I3" s="82">
        <f>'Tata Motors (DS)'!I16</f>
        <v>45016</v>
      </c>
      <c r="J3" s="82">
        <f>'Tata Motors (DS)'!J16</f>
        <v>45382</v>
      </c>
      <c r="K3" s="82">
        <f>'Tata Motors (DS)'!K16</f>
        <v>45747</v>
      </c>
      <c r="L3" s="81" t="s">
        <v>83</v>
      </c>
      <c r="M3" s="81" t="s">
        <v>82</v>
      </c>
      <c r="N3" s="81" t="s">
        <v>81</v>
      </c>
    </row>
    <row r="4" spans="1:14" s="80" customFormat="1" x14ac:dyDescent="0.25">
      <c r="A4" s="80" t="s">
        <v>80</v>
      </c>
      <c r="B4" s="76">
        <f>'Tata Motors (DS)'!B17</f>
        <v>273045.59999999998</v>
      </c>
      <c r="C4" s="76">
        <f>'Tata Motors (DS)'!C17</f>
        <v>269692.51</v>
      </c>
      <c r="D4" s="76">
        <f>'Tata Motors (DS)'!D17</f>
        <v>291550.48</v>
      </c>
      <c r="E4" s="76">
        <f>'Tata Motors (DS)'!E17</f>
        <v>301938.40000000002</v>
      </c>
      <c r="F4" s="76">
        <f>'Tata Motors (DS)'!F17</f>
        <v>261067.97</v>
      </c>
      <c r="G4" s="76">
        <f>'Tata Motors (DS)'!G17</f>
        <v>249794.75</v>
      </c>
      <c r="H4" s="76">
        <f>'Tata Motors (DS)'!H17</f>
        <v>278453.62</v>
      </c>
      <c r="I4" s="76">
        <f>'Tata Motors (DS)'!I17</f>
        <v>345966.97</v>
      </c>
      <c r="J4" s="76">
        <f>'Tata Motors (DS)'!J17</f>
        <v>434016</v>
      </c>
      <c r="K4" s="76">
        <f>'Tata Motors (DS)'!K17</f>
        <v>439695</v>
      </c>
      <c r="L4" s="76">
        <f>SUM([7]Quarters!H4:K4)</f>
        <v>0</v>
      </c>
      <c r="M4" s="76">
        <f>$K4+M23*K4</f>
        <v>512017.03850373905</v>
      </c>
      <c r="N4" s="76">
        <f>$K4+N23*L4</f>
        <v>439695</v>
      </c>
    </row>
    <row r="5" spans="1:14" x14ac:dyDescent="0.25">
      <c r="A5" s="75" t="s">
        <v>79</v>
      </c>
      <c r="B5" s="77">
        <f>SUM('Tata Motors (DS)'!B18,'Tata Motors (DS)'!B20:B24, -1*'Tata Motors (DS)'!B19)</f>
        <v>234650.35</v>
      </c>
      <c r="C5" s="77">
        <f>SUM('Tata Motors (DS)'!C18,'Tata Motors (DS)'!C20:C24, -1*'Tata Motors (DS)'!C19)</f>
        <v>240103.81999999998</v>
      </c>
      <c r="D5" s="77">
        <f>SUM('Tata Motors (DS)'!D18,'Tata Motors (DS)'!D20:D24, -1*'Tata Motors (DS)'!D19)</f>
        <v>260092.80000000002</v>
      </c>
      <c r="E5" s="77">
        <f>SUM('Tata Motors (DS)'!E18,'Tata Motors (DS)'!E20:E24, -1*'Tata Motors (DS)'!E19)</f>
        <v>277274.07</v>
      </c>
      <c r="F5" s="77">
        <f>SUM('Tata Motors (DS)'!F18,'Tata Motors (DS)'!F20:F24, -1*'Tata Motors (DS)'!F19)</f>
        <v>243080.90000000005</v>
      </c>
      <c r="G5" s="77">
        <f>SUM('Tata Motors (DS)'!G18,'Tata Motors (DS)'!G20:G24, -1*'Tata Motors (DS)'!G19)</f>
        <v>217507.32</v>
      </c>
      <c r="H5" s="77">
        <f>SUM('Tata Motors (DS)'!H18,'Tata Motors (DS)'!H20:H24, -1*'Tata Motors (DS)'!H19)</f>
        <v>253733.52999999997</v>
      </c>
      <c r="I5" s="77">
        <f>SUM('Tata Motors (DS)'!I18,'Tata Motors (DS)'!I20:I24, -1*'Tata Motors (DS)'!I19)</f>
        <v>314151.17000000004</v>
      </c>
      <c r="J5" s="77">
        <f>SUM('Tata Motors (DS)'!J18,'Tata Motors (DS)'!J20:J24, -1*'Tata Motors (DS)'!J19)</f>
        <v>376192</v>
      </c>
      <c r="K5" s="77">
        <f>SUM('Tata Motors (DS)'!K18,'Tata Motors (DS)'!K20:K24, -1*'Tata Motors (DS)'!K19)</f>
        <v>384479</v>
      </c>
      <c r="L5" s="77">
        <f>SUM([7]Quarters!H5:K5)</f>
        <v>0</v>
      </c>
      <c r="M5" s="77">
        <f>M4-M6</f>
        <v>451207.02180228964</v>
      </c>
      <c r="N5" s="77">
        <f>N4-N6</f>
        <v>439695</v>
      </c>
    </row>
    <row r="6" spans="1:14" s="80" customFormat="1" x14ac:dyDescent="0.25">
      <c r="A6" s="80" t="s">
        <v>78</v>
      </c>
      <c r="B6" s="76">
        <f t="shared" ref="B6:K6" si="0">B4-B5</f>
        <v>38395.249999999971</v>
      </c>
      <c r="C6" s="76">
        <f t="shared" si="0"/>
        <v>29588.690000000031</v>
      </c>
      <c r="D6" s="76">
        <f t="shared" si="0"/>
        <v>31457.679999999964</v>
      </c>
      <c r="E6" s="76">
        <f t="shared" si="0"/>
        <v>24664.330000000016</v>
      </c>
      <c r="F6" s="76">
        <f t="shared" si="0"/>
        <v>17987.069999999949</v>
      </c>
      <c r="G6" s="76">
        <f t="shared" si="0"/>
        <v>32287.429999999993</v>
      </c>
      <c r="H6" s="76">
        <f t="shared" si="0"/>
        <v>24720.090000000026</v>
      </c>
      <c r="I6" s="76">
        <f t="shared" si="0"/>
        <v>31815.79999999993</v>
      </c>
      <c r="J6" s="76">
        <f t="shared" si="0"/>
        <v>57824</v>
      </c>
      <c r="K6" s="76">
        <f t="shared" si="0"/>
        <v>55216</v>
      </c>
      <c r="L6" s="76">
        <f>SUM([7]Quarters!H6:K6)</f>
        <v>0</v>
      </c>
      <c r="M6" s="76">
        <f>M4*M24</f>
        <v>60810.016701449393</v>
      </c>
      <c r="N6" s="76">
        <f>N4*N24</f>
        <v>0</v>
      </c>
    </row>
    <row r="7" spans="1:14" x14ac:dyDescent="0.25">
      <c r="A7" s="75" t="s">
        <v>77</v>
      </c>
      <c r="B7" s="77">
        <f>'Tata Motors (DS)'!B25</f>
        <v>-2669.62</v>
      </c>
      <c r="C7" s="77">
        <f>'Tata Motors (DS)'!C25</f>
        <v>1869.1</v>
      </c>
      <c r="D7" s="77">
        <f>'Tata Motors (DS)'!D25</f>
        <v>5932.73</v>
      </c>
      <c r="E7" s="77">
        <f>'Tata Motors (DS)'!E25</f>
        <v>-26686.25</v>
      </c>
      <c r="F7" s="77">
        <f>'Tata Motors (DS)'!F25</f>
        <v>101.71</v>
      </c>
      <c r="G7" s="77">
        <f>'Tata Motors (DS)'!G25</f>
        <v>-11117.83</v>
      </c>
      <c r="H7" s="77">
        <f>'Tata Motors (DS)'!H25</f>
        <v>2424.0500000000002</v>
      </c>
      <c r="I7" s="77">
        <f>'Tata Motors (DS)'!I25</f>
        <v>6663.97</v>
      </c>
      <c r="J7" s="77">
        <f>'Tata Motors (DS)'!J25</f>
        <v>4792</v>
      </c>
      <c r="K7" s="77">
        <f>'Tata Motors (DS)'!K25</f>
        <v>11774</v>
      </c>
      <c r="L7" s="77">
        <f>SUM([7]Quarters!H7:K7)</f>
        <v>0</v>
      </c>
      <c r="M7" s="77">
        <v>0</v>
      </c>
      <c r="N7" s="77">
        <v>0</v>
      </c>
    </row>
    <row r="8" spans="1:14" x14ac:dyDescent="0.25">
      <c r="A8" s="75" t="s">
        <v>76</v>
      </c>
      <c r="B8" s="77">
        <f>'Tata Motors (DS)'!B26</f>
        <v>16710.78</v>
      </c>
      <c r="C8" s="77">
        <f>'Tata Motors (DS)'!C26</f>
        <v>17904.990000000002</v>
      </c>
      <c r="D8" s="77">
        <f>'Tata Motors (DS)'!D26</f>
        <v>21553.59</v>
      </c>
      <c r="E8" s="77">
        <f>'Tata Motors (DS)'!E26</f>
        <v>23590.63</v>
      </c>
      <c r="F8" s="77">
        <f>'Tata Motors (DS)'!F26</f>
        <v>21425.43</v>
      </c>
      <c r="G8" s="77">
        <f>'Tata Motors (DS)'!G26</f>
        <v>23546.71</v>
      </c>
      <c r="H8" s="77">
        <f>'Tata Motors (DS)'!H26</f>
        <v>24835.69</v>
      </c>
      <c r="I8" s="77">
        <f>'Tata Motors (DS)'!I26</f>
        <v>24860.36</v>
      </c>
      <c r="J8" s="77">
        <f>'Tata Motors (DS)'!J26</f>
        <v>27239</v>
      </c>
      <c r="K8" s="77">
        <f>'Tata Motors (DS)'!K26</f>
        <v>23256</v>
      </c>
      <c r="L8" s="77">
        <f>SUM([7]Quarters!H8:K8)</f>
        <v>0</v>
      </c>
      <c r="M8" s="77">
        <f>+$L8</f>
        <v>0</v>
      </c>
      <c r="N8" s="77">
        <f>+$L8</f>
        <v>0</v>
      </c>
    </row>
    <row r="9" spans="1:14" x14ac:dyDescent="0.25">
      <c r="A9" s="75" t="s">
        <v>75</v>
      </c>
      <c r="B9" s="77">
        <f>'Tata Motors (DS)'!B27</f>
        <v>4889.08</v>
      </c>
      <c r="C9" s="77">
        <f>'Tata Motors (DS)'!C27</f>
        <v>4238.01</v>
      </c>
      <c r="D9" s="77">
        <f>'Tata Motors (DS)'!D27</f>
        <v>4681.79</v>
      </c>
      <c r="E9" s="77">
        <f>'Tata Motors (DS)'!E27</f>
        <v>5758.6</v>
      </c>
      <c r="F9" s="77">
        <f>'Tata Motors (DS)'!F27</f>
        <v>7243.33</v>
      </c>
      <c r="G9" s="77">
        <f>'Tata Motors (DS)'!G27</f>
        <v>8097.17</v>
      </c>
      <c r="H9" s="77">
        <f>'Tata Motors (DS)'!H27</f>
        <v>9311.86</v>
      </c>
      <c r="I9" s="77">
        <f>'Tata Motors (DS)'!I27</f>
        <v>10225.48</v>
      </c>
      <c r="J9" s="77">
        <f>'Tata Motors (DS)'!J27</f>
        <v>7594</v>
      </c>
      <c r="K9" s="77">
        <f>'Tata Motors (DS)'!K27</f>
        <v>5083</v>
      </c>
      <c r="L9" s="77">
        <f>SUM([7]Quarters!H9:K9)</f>
        <v>0</v>
      </c>
      <c r="M9" s="77">
        <f>+$L9</f>
        <v>0</v>
      </c>
      <c r="N9" s="77">
        <f>+$L9</f>
        <v>0</v>
      </c>
    </row>
    <row r="10" spans="1:14" x14ac:dyDescent="0.25">
      <c r="A10" s="75" t="s">
        <v>74</v>
      </c>
      <c r="B10" s="77">
        <f>'Tata Motors (DS)'!B28</f>
        <v>14125.77</v>
      </c>
      <c r="C10" s="77">
        <f>'Tata Motors (DS)'!C28</f>
        <v>9314.7900000000009</v>
      </c>
      <c r="D10" s="77">
        <f>'Tata Motors (DS)'!D28</f>
        <v>11155.03</v>
      </c>
      <c r="E10" s="77">
        <f>'Tata Motors (DS)'!E28</f>
        <v>-31371.15</v>
      </c>
      <c r="F10" s="77">
        <f>'Tata Motors (DS)'!F28</f>
        <v>-10579.98</v>
      </c>
      <c r="G10" s="77">
        <f>'Tata Motors (DS)'!G28</f>
        <v>-10474.280000000001</v>
      </c>
      <c r="H10" s="77">
        <f>'Tata Motors (DS)'!H28</f>
        <v>-7003.41</v>
      </c>
      <c r="I10" s="77">
        <f>'Tata Motors (DS)'!I28</f>
        <v>3393.93</v>
      </c>
      <c r="J10" s="77">
        <f>'Tata Motors (DS)'!J28</f>
        <v>27783</v>
      </c>
      <c r="K10" s="77">
        <f>'Tata Motors (DS)'!K28</f>
        <v>38651</v>
      </c>
      <c r="L10" s="77">
        <f>SUM([7]Quarters!H10:K10)</f>
        <v>0</v>
      </c>
      <c r="M10" s="77">
        <f>M6+M7-SUM(M8:M9)</f>
        <v>60810.016701449393</v>
      </c>
      <c r="N10" s="77">
        <f>N6+N7-SUM(N8:N9)</f>
        <v>0</v>
      </c>
    </row>
    <row r="11" spans="1:14" x14ac:dyDescent="0.25">
      <c r="A11" s="75" t="s">
        <v>73</v>
      </c>
      <c r="B11" s="77">
        <f>'Tata Motors (DS)'!B29</f>
        <v>3025.05</v>
      </c>
      <c r="C11" s="77">
        <f>'Tata Motors (DS)'!C29</f>
        <v>3251.23</v>
      </c>
      <c r="D11" s="77">
        <f>'Tata Motors (DS)'!D29</f>
        <v>4341.93</v>
      </c>
      <c r="E11" s="77">
        <f>'Tata Motors (DS)'!E29</f>
        <v>-2437.4499999999998</v>
      </c>
      <c r="F11" s="77">
        <f>'Tata Motors (DS)'!F29</f>
        <v>395.25</v>
      </c>
      <c r="G11" s="77">
        <f>'Tata Motors (DS)'!G29</f>
        <v>2541.86</v>
      </c>
      <c r="H11" s="77">
        <f>'Tata Motors (DS)'!H29</f>
        <v>4231.29</v>
      </c>
      <c r="I11" s="77">
        <f>'Tata Motors (DS)'!I29</f>
        <v>704.06</v>
      </c>
      <c r="J11" s="77">
        <f>'Tata Motors (DS)'!J29</f>
        <v>-4024</v>
      </c>
      <c r="K11" s="77">
        <f>'Tata Motors (DS)'!K29</f>
        <v>10502</v>
      </c>
      <c r="L11" s="77">
        <f>SUM([7]Quarters!H11:K11)</f>
        <v>0</v>
      </c>
      <c r="M11" s="86">
        <f>IF($L10&gt;0,$L11/$L10,0)</f>
        <v>0</v>
      </c>
      <c r="N11" s="86">
        <f>IF($L10&gt;0,$L11/$L10,0)</f>
        <v>0</v>
      </c>
    </row>
    <row r="12" spans="1:14" s="80" customFormat="1" x14ac:dyDescent="0.25">
      <c r="A12" s="80" t="s">
        <v>72</v>
      </c>
      <c r="B12" s="76">
        <f>'Tata Motors (DS)'!B30</f>
        <v>11579.31</v>
      </c>
      <c r="C12" s="76">
        <f>'Tata Motors (DS)'!C30</f>
        <v>7454.36</v>
      </c>
      <c r="D12" s="76">
        <f>'Tata Motors (DS)'!D30</f>
        <v>8988.91</v>
      </c>
      <c r="E12" s="76">
        <f>'Tata Motors (DS)'!E30</f>
        <v>-28826.23</v>
      </c>
      <c r="F12" s="76">
        <f>'Tata Motors (DS)'!F30</f>
        <v>-12070.85</v>
      </c>
      <c r="G12" s="76">
        <f>'Tata Motors (DS)'!G30</f>
        <v>-13451.39</v>
      </c>
      <c r="H12" s="76">
        <f>'Tata Motors (DS)'!H30</f>
        <v>-11441.47</v>
      </c>
      <c r="I12" s="76">
        <f>'Tata Motors (DS)'!I30</f>
        <v>2414.29</v>
      </c>
      <c r="J12" s="76">
        <f>'Tata Motors (DS)'!J30</f>
        <v>31399</v>
      </c>
      <c r="K12" s="76">
        <f>'Tata Motors (DS)'!K30</f>
        <v>27830</v>
      </c>
      <c r="L12" s="76">
        <f>SUM([7]Quarters!H12:K12)</f>
        <v>0</v>
      </c>
      <c r="M12" s="76">
        <f>M10-M11*M10</f>
        <v>60810.016701449393</v>
      </c>
      <c r="N12" s="76">
        <f>N10-N11*N10</f>
        <v>0</v>
      </c>
    </row>
    <row r="13" spans="1:14" x14ac:dyDescent="0.25">
      <c r="A13" s="75" t="s">
        <v>43</v>
      </c>
      <c r="B13" s="77">
        <f>IF('Tata Motors (DS)'!B93&gt;0,B12/'Tata Motors (DS)'!B93,0)</f>
        <v>40.105673316708227</v>
      </c>
      <c r="C13" s="77">
        <f>IF('Tata Motors (DS)'!C93&gt;0,C12/'Tata Motors (DS)'!C93,0)</f>
        <v>25.817753610639695</v>
      </c>
      <c r="D13" s="77">
        <f>IF('Tata Motors (DS)'!D93&gt;0,D12/'Tata Motors (DS)'!D93,0)</f>
        <v>31.132580611644094</v>
      </c>
      <c r="E13" s="77">
        <f>IF('Tata Motors (DS)'!E93&gt;0,E12/'Tata Motors (DS)'!E93,0)</f>
        <v>-99.838014754268684</v>
      </c>
      <c r="F13" s="77">
        <f>IF('Tata Motors (DS)'!F93&gt;0,F12/'Tata Motors (DS)'!F93,0)</f>
        <v>-39.076885723535128</v>
      </c>
      <c r="G13" s="77">
        <f>IF('Tata Motors (DS)'!G93&gt;0,G12/'Tata Motors (DS)'!G93,0)</f>
        <v>-40.512574164985097</v>
      </c>
      <c r="H13" s="77">
        <f>IF('Tata Motors (DS)'!H93&gt;0,H12/'Tata Motors (DS)'!H93,0)</f>
        <v>-34.454994428885477</v>
      </c>
      <c r="I13" s="77">
        <f>IF('Tata Motors (DS)'!I93&gt;0,I12/'Tata Motors (DS)'!I93,0)</f>
        <v>7.2691114924878812</v>
      </c>
      <c r="J13" s="77">
        <f>IF('Tata Motors (DS)'!J93&gt;0,J12/'Tata Motors (DS)'!J93,0)</f>
        <v>94.470018353040288</v>
      </c>
      <c r="K13" s="77">
        <f>IF('Tata Motors (DS)'!K93&gt;0,K12/'Tata Motors (DS)'!K93,0)</f>
        <v>75.598294080895343</v>
      </c>
      <c r="L13" s="77">
        <f>IF('Tata Motors (DS)'!$B6&gt;0,'Tata Motors (IS)'!L12/'Tata Motors (DS)'!$B6,0)</f>
        <v>0</v>
      </c>
      <c r="M13" s="77">
        <f>IF('Tata Motors (DS)'!$B6&gt;0,'Tata Motors (IS)'!M12/'Tata Motors (DS)'!$B6,0)</f>
        <v>165.13087702327897</v>
      </c>
      <c r="N13" s="77">
        <f>IF('Tata Motors (DS)'!$B6&gt;0,'Tata Motors (IS)'!N12/'Tata Motors (DS)'!$B6,0)</f>
        <v>0</v>
      </c>
    </row>
    <row r="14" spans="1:14" x14ac:dyDescent="0.25">
      <c r="A14" s="75" t="s">
        <v>71</v>
      </c>
      <c r="B14" s="77">
        <f t="shared" ref="B14:K14" si="1">IF(B15&gt;0,B15/B13,"")</f>
        <v>9.6395339618681959</v>
      </c>
      <c r="C14" s="77">
        <f t="shared" si="1"/>
        <v>18.043785180753279</v>
      </c>
      <c r="D14" s="77">
        <f t="shared" si="1"/>
        <v>10.4986478338308</v>
      </c>
      <c r="E14" s="77">
        <f t="shared" si="1"/>
        <v>-1.7453271725092045</v>
      </c>
      <c r="F14" s="77">
        <f t="shared" si="1"/>
        <v>-1.8182103994333454</v>
      </c>
      <c r="G14" s="77">
        <f t="shared" si="1"/>
        <v>-7.4495389695786081</v>
      </c>
      <c r="H14" s="77">
        <f t="shared" si="1"/>
        <v>-12.588886087189845</v>
      </c>
      <c r="I14" s="77">
        <f t="shared" si="1"/>
        <v>57.88878055246056</v>
      </c>
      <c r="J14" s="77">
        <f t="shared" si="1"/>
        <v>10.509154304277205</v>
      </c>
      <c r="K14" s="77">
        <f t="shared" si="1"/>
        <v>8.9214976104922741</v>
      </c>
      <c r="L14" s="77">
        <f>IF(L13&gt;0,L15/L13,0)</f>
        <v>0</v>
      </c>
      <c r="M14" s="77">
        <f>M25</f>
        <v>25.773144155743342</v>
      </c>
      <c r="N14" s="77">
        <f>N25</f>
        <v>0</v>
      </c>
    </row>
    <row r="15" spans="1:14" s="80" customFormat="1" x14ac:dyDescent="0.25">
      <c r="A15" s="80" t="s">
        <v>30</v>
      </c>
      <c r="B15" s="76">
        <f>'Tata Motors (DS)'!B90</f>
        <v>386.6</v>
      </c>
      <c r="C15" s="76">
        <f>'Tata Motors (DS)'!C90</f>
        <v>465.85</v>
      </c>
      <c r="D15" s="76">
        <f>'Tata Motors (DS)'!D90</f>
        <v>326.85000000000002</v>
      </c>
      <c r="E15" s="76">
        <f>'Tata Motors (DS)'!E90</f>
        <v>174.25</v>
      </c>
      <c r="F15" s="76">
        <f>'Tata Motors (DS)'!F90</f>
        <v>71.05</v>
      </c>
      <c r="G15" s="76">
        <f>'Tata Motors (DS)'!G90</f>
        <v>301.8</v>
      </c>
      <c r="H15" s="76">
        <f>'Tata Motors (DS)'!H90</f>
        <v>433.75</v>
      </c>
      <c r="I15" s="76">
        <f>'Tata Motors (DS)'!I90</f>
        <v>420.8</v>
      </c>
      <c r="J15" s="76">
        <f>'Tata Motors (DS)'!J90</f>
        <v>992.8</v>
      </c>
      <c r="K15" s="76">
        <f>'Tata Motors (DS)'!K90</f>
        <v>674.45</v>
      </c>
      <c r="L15" s="76">
        <f>'Tata Motors (DS)'!B8</f>
        <v>688</v>
      </c>
      <c r="M15" s="85">
        <f>M13*M14</f>
        <v>4255.9418980852952</v>
      </c>
      <c r="N15" s="84">
        <f>N13*N14</f>
        <v>0</v>
      </c>
    </row>
    <row r="17" spans="1:14" s="80" customFormat="1" x14ac:dyDescent="0.25">
      <c r="A17" s="80" t="s">
        <v>70</v>
      </c>
    </row>
    <row r="18" spans="1:14" x14ac:dyDescent="0.25">
      <c r="A18" s="75" t="s">
        <v>69</v>
      </c>
      <c r="B18" s="79">
        <f>IF('Tata Motors (DS)'!B30&gt;0, 'Tata Motors (DS)'!B31/'Tata Motors (DS)'!B30, 0)</f>
        <v>5.8656344808110331E-3</v>
      </c>
      <c r="C18" s="79">
        <f>IF('Tata Motors (DS)'!C30&gt;0, 'Tata Motors (DS)'!C31/'Tata Motors (DS)'!C30, 0)</f>
        <v>0</v>
      </c>
      <c r="D18" s="79">
        <f>IF('Tata Motors (DS)'!D30&gt;0, 'Tata Motors (DS)'!D31/'Tata Motors (DS)'!D30, 0)</f>
        <v>0</v>
      </c>
      <c r="E18" s="79">
        <f>IF('Tata Motors (DS)'!E30&gt;0, 'Tata Motors (DS)'!E31/'Tata Motors (DS)'!E30, 0)</f>
        <v>0</v>
      </c>
      <c r="F18" s="79">
        <f>IF('Tata Motors (DS)'!F30&gt;0, 'Tata Motors (DS)'!F31/'Tata Motors (DS)'!F30, 0)</f>
        <v>0</v>
      </c>
      <c r="G18" s="79">
        <f>IF('Tata Motors (DS)'!G30&gt;0, 'Tata Motors (DS)'!G31/'Tata Motors (DS)'!G30, 0)</f>
        <v>0</v>
      </c>
      <c r="H18" s="79">
        <f>IF('Tata Motors (DS)'!H30&gt;0, 'Tata Motors (DS)'!H31/'Tata Motors (DS)'!H30, 0)</f>
        <v>0</v>
      </c>
      <c r="I18" s="79">
        <f>IF('Tata Motors (DS)'!I30&gt;0, 'Tata Motors (DS)'!I31/'Tata Motors (DS)'!I30, 0)</f>
        <v>0.31728582730326516</v>
      </c>
      <c r="J18" s="79">
        <f>IF('Tata Motors (DS)'!J30&gt;0, 'Tata Motors (DS)'!J31/'Tata Motors (DS)'!J30, 0)</f>
        <v>7.3282588617471889E-2</v>
      </c>
      <c r="K18" s="79">
        <f>IF('Tata Motors (DS)'!K30&gt;0, 'Tata Motors (DS)'!K31/'Tata Motors (DS)'!K30, 0)</f>
        <v>7.9338842975206617E-2</v>
      </c>
    </row>
    <row r="19" spans="1:14" x14ac:dyDescent="0.25">
      <c r="A19" s="75" t="s">
        <v>59</v>
      </c>
      <c r="B19" s="79">
        <f t="shared" ref="B19:L19" si="2">IF(B6&gt;0,B6/B4,0)</f>
        <v>0.14061845347443788</v>
      </c>
      <c r="C19" s="79">
        <f t="shared" si="2"/>
        <v>0.10971268723777323</v>
      </c>
      <c r="D19" s="79">
        <f t="shared" si="2"/>
        <v>0.10789788444182964</v>
      </c>
      <c r="E19" s="79">
        <f t="shared" si="2"/>
        <v>8.1686628795807403E-2</v>
      </c>
      <c r="F19" s="79">
        <f t="shared" si="2"/>
        <v>6.8898034485042142E-2</v>
      </c>
      <c r="G19" s="79">
        <f t="shared" si="2"/>
        <v>0.12925583904385499</v>
      </c>
      <c r="H19" s="79">
        <f t="shared" si="2"/>
        <v>8.8776328352276501E-2</v>
      </c>
      <c r="I19" s="79">
        <f t="shared" si="2"/>
        <v>9.1961958102531965E-2</v>
      </c>
      <c r="J19" s="79">
        <f t="shared" si="2"/>
        <v>0.13323011133230112</v>
      </c>
      <c r="K19" s="79">
        <f t="shared" si="2"/>
        <v>0.12557795744777631</v>
      </c>
      <c r="L19" s="79">
        <f t="shared" si="2"/>
        <v>0</v>
      </c>
    </row>
    <row r="20" spans="1:14" x14ac:dyDescent="0.2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1:14" x14ac:dyDescent="0.2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1:14" s="80" customFormat="1" x14ac:dyDescent="0.25">
      <c r="A22" s="83"/>
      <c r="B22" s="82"/>
      <c r="C22" s="82"/>
      <c r="D22" s="82"/>
      <c r="E22" s="82"/>
      <c r="F22" s="82"/>
      <c r="G22" s="82" t="s">
        <v>68</v>
      </c>
      <c r="H22" s="82" t="s">
        <v>67</v>
      </c>
      <c r="I22" s="82" t="s">
        <v>66</v>
      </c>
      <c r="J22" s="82" t="s">
        <v>65</v>
      </c>
      <c r="K22" s="82" t="s">
        <v>64</v>
      </c>
      <c r="L22" s="81" t="s">
        <v>63</v>
      </c>
      <c r="M22" s="81" t="s">
        <v>62</v>
      </c>
      <c r="N22" s="81" t="s">
        <v>61</v>
      </c>
    </row>
    <row r="23" spans="1:14" s="80" customFormat="1" x14ac:dyDescent="0.25">
      <c r="A23" s="75"/>
      <c r="B23" s="75"/>
      <c r="C23" s="75"/>
      <c r="D23" s="75"/>
      <c r="E23" s="75"/>
      <c r="F23" s="75"/>
      <c r="G23" s="75" t="s">
        <v>60</v>
      </c>
      <c r="H23" s="79">
        <f>IF(B4=0,"",POWER($K4/B4,1/9)-1)</f>
        <v>5.4364329974180503E-2</v>
      </c>
      <c r="I23" s="79">
        <f>IF(D4=0,"",POWER($K4/D4,1/7)-1)</f>
        <v>6.0452229419457382E-2</v>
      </c>
      <c r="J23" s="79">
        <f>IF(F4=0,"",POWER($K4/F4,1/5)-1)</f>
        <v>0.10988910171869626</v>
      </c>
      <c r="K23" s="79">
        <f>IF(H4=0,"",POWER($K4/H4, 1/3)-1)</f>
        <v>0.164482285456371</v>
      </c>
      <c r="L23" s="79">
        <f>IF(ISERROR(MAX(IF(J4=0,"",(K4-J4)/J4),IF(K4=0,"",(L4-K4)/K4))),"",MAX(IF(J4=0,"",(K4-J4)/J4),IF(K4=0,"",(L4-K4)/K4)))</f>
        <v>1.3084771068347711E-2</v>
      </c>
      <c r="M23" s="78">
        <f>MAX(K23:L23)</f>
        <v>0.164482285456371</v>
      </c>
      <c r="N23" s="78">
        <f>MIN(H23:L23)</f>
        <v>1.3084771068347711E-2</v>
      </c>
    </row>
    <row r="24" spans="1:14" x14ac:dyDescent="0.25">
      <c r="G24" s="75" t="s">
        <v>59</v>
      </c>
      <c r="H24" s="79">
        <f>IF(SUM(B4:$K$4)=0,"",SUMPRODUCT(B19:$K$19,B4:$K$4)/SUM(B4:$K$4))</f>
        <v>0.1093583907752373</v>
      </c>
      <c r="I24" s="79">
        <f>IF(SUM(E4:$K$4)=0,"",SUMPRODUCT(E19:$K$19,E4:$K$4)/SUM(E4:$K$4))</f>
        <v>0.10580780606112929</v>
      </c>
      <c r="J24" s="79">
        <f>IF(SUM(G4:$K$4)=0,"",SUMPRODUCT(G19:$K$19,G4:$K$4)/SUM(G4:$K$4))</f>
        <v>0.11548731510047498</v>
      </c>
      <c r="K24" s="79">
        <f>IF(SUM(I4:$K$4)=0, "", SUMPRODUCT(I19:$K$19,I4:$K$4)/SUM(I4:$K$4))</f>
        <v>0.11876561154908778</v>
      </c>
      <c r="L24" s="79">
        <f>L19</f>
        <v>0</v>
      </c>
      <c r="M24" s="78">
        <f>MAX(K24:L24)</f>
        <v>0.11876561154908778</v>
      </c>
      <c r="N24" s="78">
        <f>MIN(H24:L24)</f>
        <v>0</v>
      </c>
    </row>
    <row r="25" spans="1:14" x14ac:dyDescent="0.25">
      <c r="G25" s="75" t="s">
        <v>58</v>
      </c>
      <c r="H25" s="77">
        <f>IF(ISERROR(AVERAGEIF(B14:$L14,"&gt;0")),"",AVERAGEIF(B14:$L14,"&gt;0"))</f>
        <v>19.250233240613721</v>
      </c>
      <c r="I25" s="77">
        <f>IF(ISERROR(AVERAGEIF(E14:$L14,"&gt;0")),"",AVERAGEIF(E14:$L14,"&gt;0"))</f>
        <v>25.773144155743342</v>
      </c>
      <c r="J25" s="77">
        <f>IF(ISERROR(AVERAGEIF(G14:$L14,"&gt;0")),"",AVERAGEIF(G14:$L14,"&gt;0"))</f>
        <v>25.773144155743342</v>
      </c>
      <c r="K25" s="77">
        <f>IF(ISERROR(AVERAGEIF(I14:$L14,"&gt;0")),"",AVERAGEIF(I14:$L14,"&gt;0"))</f>
        <v>25.773144155743342</v>
      </c>
      <c r="L25" s="77">
        <f>L14</f>
        <v>0</v>
      </c>
      <c r="M25" s="76">
        <f>MAX(K25:L25)</f>
        <v>25.773144155743342</v>
      </c>
      <c r="N25" s="76">
        <f>MIN(H25:L25)</f>
        <v>0</v>
      </c>
    </row>
  </sheetData>
  <hyperlinks>
    <hyperlink ref="M1" r:id="rId1" xr:uid="{8371ACFA-7382-47C0-A67A-E9EA1C730733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40B7-13B8-4D91-9545-65D57C99A449}">
  <sheetPr>
    <pageSetUpPr fitToPage="1"/>
  </sheetPr>
  <dimension ref="A1:K24"/>
  <sheetViews>
    <sheetView zoomScale="125" workbookViewId="0">
      <pane xSplit="1" ySplit="3" topLeftCell="E4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2.85546875" style="75" bestFit="1" customWidth="1"/>
    <col min="2" max="2" width="13.42578125" style="75" customWidth="1"/>
    <col min="3" max="11" width="15.42578125" style="75" customWidth="1"/>
    <col min="12" max="16384" width="8.85546875" style="75"/>
  </cols>
  <sheetData>
    <row r="1" spans="1:11" s="80" customFormat="1" x14ac:dyDescent="0.25">
      <c r="A1" s="80">
        <f>'[7]Profit &amp; Loss'!A1</f>
        <v>0</v>
      </c>
      <c r="E1" s="75" t="str">
        <f>UPDATE</f>
        <v/>
      </c>
      <c r="G1" s="75"/>
      <c r="J1" s="80" t="s">
        <v>85</v>
      </c>
    </row>
    <row r="2" spans="1:11" x14ac:dyDescent="0.25">
      <c r="G2" s="80"/>
      <c r="H2" s="80"/>
    </row>
    <row r="3" spans="1:11" x14ac:dyDescent="0.25">
      <c r="A3" s="83" t="s">
        <v>84</v>
      </c>
      <c r="B3" s="82">
        <f>'Tata Motors (DS)'!B56</f>
        <v>42460</v>
      </c>
      <c r="C3" s="82">
        <f>'Tata Motors (DS)'!C56</f>
        <v>42825</v>
      </c>
      <c r="D3" s="82">
        <f>'Tata Motors (DS)'!D56</f>
        <v>43190</v>
      </c>
      <c r="E3" s="82">
        <f>'Tata Motors (DS)'!E56</f>
        <v>43555</v>
      </c>
      <c r="F3" s="82">
        <f>'Tata Motors (DS)'!F56</f>
        <v>43921</v>
      </c>
      <c r="G3" s="82">
        <f>'Tata Motors (DS)'!G56</f>
        <v>44286</v>
      </c>
      <c r="H3" s="82">
        <f>'Tata Motors (DS)'!H56</f>
        <v>44651</v>
      </c>
      <c r="I3" s="82">
        <f>'Tata Motors (DS)'!I56</f>
        <v>45016</v>
      </c>
      <c r="J3" s="82">
        <f>'Tata Motors (DS)'!J56</f>
        <v>45382</v>
      </c>
      <c r="K3" s="82">
        <f>'Tata Motors (DS)'!K56</f>
        <v>45747</v>
      </c>
    </row>
    <row r="4" spans="1:11" x14ac:dyDescent="0.25">
      <c r="A4" s="75" t="s">
        <v>101</v>
      </c>
      <c r="B4" s="90">
        <f>'Tata Motors (DS)'!B57</f>
        <v>679.18</v>
      </c>
      <c r="C4" s="90">
        <f>'Tata Motors (DS)'!C57</f>
        <v>679.22</v>
      </c>
      <c r="D4" s="90">
        <f>'Tata Motors (DS)'!D57</f>
        <v>679.22</v>
      </c>
      <c r="E4" s="90">
        <f>'Tata Motors (DS)'!E57</f>
        <v>679.22</v>
      </c>
      <c r="F4" s="90">
        <f>'Tata Motors (DS)'!F57</f>
        <v>719.54</v>
      </c>
      <c r="G4" s="90">
        <f>'Tata Motors (DS)'!G57</f>
        <v>765.81</v>
      </c>
      <c r="H4" s="90">
        <f>'Tata Motors (DS)'!H57</f>
        <v>765.88</v>
      </c>
      <c r="I4" s="90">
        <f>'Tata Motors (DS)'!I57</f>
        <v>766.02</v>
      </c>
      <c r="J4" s="90">
        <f>'Tata Motors (DS)'!J57</f>
        <v>767</v>
      </c>
      <c r="K4" s="90">
        <f>'Tata Motors (DS)'!K57</f>
        <v>736</v>
      </c>
    </row>
    <row r="5" spans="1:11" x14ac:dyDescent="0.25">
      <c r="A5" s="75" t="s">
        <v>100</v>
      </c>
      <c r="B5" s="90">
        <f>'Tata Motors (DS)'!B58</f>
        <v>78273.23</v>
      </c>
      <c r="C5" s="90">
        <f>'Tata Motors (DS)'!C58</f>
        <v>57382.67</v>
      </c>
      <c r="D5" s="90">
        <f>'Tata Motors (DS)'!D58</f>
        <v>94748.69</v>
      </c>
      <c r="E5" s="90">
        <f>'Tata Motors (DS)'!E58</f>
        <v>59500.34</v>
      </c>
      <c r="F5" s="90">
        <f>'Tata Motors (DS)'!F58</f>
        <v>62358.99</v>
      </c>
      <c r="G5" s="90">
        <f>'Tata Motors (DS)'!G58</f>
        <v>54480.91</v>
      </c>
      <c r="H5" s="90">
        <f>'Tata Motors (DS)'!H58</f>
        <v>43795.360000000001</v>
      </c>
      <c r="I5" s="90">
        <f>'Tata Motors (DS)'!I58</f>
        <v>44555.77</v>
      </c>
      <c r="J5" s="90">
        <f>'Tata Motors (DS)'!J58</f>
        <v>84151</v>
      </c>
      <c r="K5" s="90">
        <f>'Tata Motors (DS)'!K58</f>
        <v>115408</v>
      </c>
    </row>
    <row r="6" spans="1:11" x14ac:dyDescent="0.25">
      <c r="A6" s="75" t="s">
        <v>99</v>
      </c>
      <c r="B6" s="90">
        <f>'Tata Motors (DS)'!B59</f>
        <v>69359.960000000006</v>
      </c>
      <c r="C6" s="90">
        <f>'Tata Motors (DS)'!C59</f>
        <v>78603.98</v>
      </c>
      <c r="D6" s="90">
        <f>'Tata Motors (DS)'!D59</f>
        <v>88950.47</v>
      </c>
      <c r="E6" s="90">
        <f>'Tata Motors (DS)'!E59</f>
        <v>106175.34</v>
      </c>
      <c r="F6" s="90">
        <f>'Tata Motors (DS)'!F59</f>
        <v>124787.64</v>
      </c>
      <c r="G6" s="90">
        <f>'Tata Motors (DS)'!G59</f>
        <v>142130.57</v>
      </c>
      <c r="H6" s="90">
        <f>'Tata Motors (DS)'!H59</f>
        <v>146449.03</v>
      </c>
      <c r="I6" s="90">
        <f>'Tata Motors (DS)'!I59</f>
        <v>134113.44</v>
      </c>
      <c r="J6" s="90">
        <f>'Tata Motors (DS)'!J59</f>
        <v>107264</v>
      </c>
      <c r="K6" s="90">
        <f>'Tata Motors (DS)'!K59</f>
        <v>71540</v>
      </c>
    </row>
    <row r="7" spans="1:11" x14ac:dyDescent="0.25">
      <c r="A7" s="75" t="s">
        <v>98</v>
      </c>
      <c r="B7" s="90">
        <f>'Tata Motors (DS)'!B60</f>
        <v>114871.75</v>
      </c>
      <c r="C7" s="90">
        <f>'Tata Motors (DS)'!C60</f>
        <v>135914.49</v>
      </c>
      <c r="D7" s="90">
        <f>'Tata Motors (DS)'!D60</f>
        <v>142813.43</v>
      </c>
      <c r="E7" s="90">
        <f>'Tata Motors (DS)'!E60</f>
        <v>139348.59</v>
      </c>
      <c r="F7" s="90">
        <f>'Tata Motors (DS)'!F60</f>
        <v>132313.22</v>
      </c>
      <c r="G7" s="90">
        <f>'Tata Motors (DS)'!G60</f>
        <v>144192.62</v>
      </c>
      <c r="H7" s="90">
        <f>'Tata Motors (DS)'!H60</f>
        <v>138051.22</v>
      </c>
      <c r="I7" s="90">
        <f>'Tata Motors (DS)'!I60</f>
        <v>155239.20000000001</v>
      </c>
      <c r="J7" s="90">
        <f>'Tata Motors (DS)'!J60</f>
        <v>177339</v>
      </c>
      <c r="K7" s="90">
        <f>'Tata Motors (DS)'!K60</f>
        <v>189289</v>
      </c>
    </row>
    <row r="8" spans="1:11" s="80" customFormat="1" x14ac:dyDescent="0.25">
      <c r="A8" s="80" t="s">
        <v>93</v>
      </c>
      <c r="B8" s="91">
        <f>'Tata Motors (DS)'!B61</f>
        <v>263184.12</v>
      </c>
      <c r="C8" s="91">
        <f>'Tata Motors (DS)'!C61</f>
        <v>272580.36</v>
      </c>
      <c r="D8" s="91">
        <f>'Tata Motors (DS)'!D61</f>
        <v>327191.81</v>
      </c>
      <c r="E8" s="91">
        <f>'Tata Motors (DS)'!E61</f>
        <v>305703.49</v>
      </c>
      <c r="F8" s="91">
        <f>'Tata Motors (DS)'!F61</f>
        <v>320179.39</v>
      </c>
      <c r="G8" s="91">
        <f>'Tata Motors (DS)'!G61</f>
        <v>341569.91</v>
      </c>
      <c r="H8" s="91">
        <f>'Tata Motors (DS)'!H61</f>
        <v>329061.49</v>
      </c>
      <c r="I8" s="91">
        <f>'Tata Motors (DS)'!I61</f>
        <v>334674.43</v>
      </c>
      <c r="J8" s="91">
        <f>'Tata Motors (DS)'!J61</f>
        <v>369521</v>
      </c>
      <c r="K8" s="91">
        <f>'Tata Motors (DS)'!K61</f>
        <v>376973</v>
      </c>
    </row>
    <row r="9" spans="1:11" s="80" customFormat="1" x14ac:dyDescent="0.25">
      <c r="B9" s="91"/>
      <c r="C9" s="91"/>
      <c r="D9" s="91"/>
      <c r="E9" s="91"/>
      <c r="F9" s="91"/>
      <c r="G9" s="91"/>
      <c r="H9" s="91"/>
      <c r="I9" s="91"/>
      <c r="J9" s="91"/>
      <c r="K9" s="91"/>
    </row>
    <row r="10" spans="1:11" x14ac:dyDescent="0.25">
      <c r="A10" s="75" t="s">
        <v>97</v>
      </c>
      <c r="B10" s="90">
        <f>'Tata Motors (DS)'!B62</f>
        <v>107231.76</v>
      </c>
      <c r="C10" s="90">
        <f>'Tata Motors (DS)'!C62</f>
        <v>95944.08</v>
      </c>
      <c r="D10" s="90">
        <f>'Tata Motors (DS)'!D62</f>
        <v>121413.86</v>
      </c>
      <c r="E10" s="90">
        <f>'Tata Motors (DS)'!E62</f>
        <v>111234.47</v>
      </c>
      <c r="F10" s="90">
        <f>'Tata Motors (DS)'!F62</f>
        <v>127107.14</v>
      </c>
      <c r="G10" s="90">
        <f>'Tata Motors (DS)'!G62</f>
        <v>138707.60999999999</v>
      </c>
      <c r="H10" s="90">
        <f>'Tata Motors (DS)'!H62</f>
        <v>138855.45000000001</v>
      </c>
      <c r="I10" s="90">
        <f>'Tata Motors (DS)'!I62</f>
        <v>132079.76</v>
      </c>
      <c r="J10" s="90">
        <f>'Tata Motors (DS)'!J62</f>
        <v>121285</v>
      </c>
      <c r="K10" s="90">
        <f>'Tata Motors (DS)'!K62</f>
        <v>115697</v>
      </c>
    </row>
    <row r="11" spans="1:11" x14ac:dyDescent="0.25">
      <c r="A11" s="75" t="s">
        <v>96</v>
      </c>
      <c r="B11" s="90">
        <f>'Tata Motors (DS)'!B63</f>
        <v>25918.94</v>
      </c>
      <c r="C11" s="90">
        <f>'Tata Motors (DS)'!C63</f>
        <v>33698.839999999997</v>
      </c>
      <c r="D11" s="90">
        <f>'Tata Motors (DS)'!D63</f>
        <v>40033.5</v>
      </c>
      <c r="E11" s="90">
        <f>'Tata Motors (DS)'!E63</f>
        <v>31883.84</v>
      </c>
      <c r="F11" s="90">
        <f>'Tata Motors (DS)'!F63</f>
        <v>35622.29</v>
      </c>
      <c r="G11" s="90">
        <f>'Tata Motors (DS)'!G63</f>
        <v>20963.93</v>
      </c>
      <c r="H11" s="90">
        <f>'Tata Motors (DS)'!H63</f>
        <v>10251.09</v>
      </c>
      <c r="I11" s="90">
        <f>'Tata Motors (DS)'!I63</f>
        <v>14274.5</v>
      </c>
      <c r="J11" s="90">
        <f>'Tata Motors (DS)'!J63</f>
        <v>35698</v>
      </c>
      <c r="K11" s="90">
        <f>'Tata Motors (DS)'!K63</f>
        <v>65806</v>
      </c>
    </row>
    <row r="12" spans="1:11" x14ac:dyDescent="0.25">
      <c r="A12" s="75" t="s">
        <v>95</v>
      </c>
      <c r="B12" s="90">
        <f>'Tata Motors (DS)'!B64</f>
        <v>23767.02</v>
      </c>
      <c r="C12" s="90">
        <f>'Tata Motors (DS)'!C64</f>
        <v>20337.919999999998</v>
      </c>
      <c r="D12" s="90">
        <f>'Tata Motors (DS)'!D64</f>
        <v>20812.75</v>
      </c>
      <c r="E12" s="90">
        <f>'Tata Motors (DS)'!E64</f>
        <v>15770.72</v>
      </c>
      <c r="F12" s="90">
        <f>'Tata Motors (DS)'!F64</f>
        <v>16308.48</v>
      </c>
      <c r="G12" s="90">
        <f>'Tata Motors (DS)'!G64</f>
        <v>24620.28</v>
      </c>
      <c r="H12" s="90">
        <f>'Tata Motors (DS)'!H64</f>
        <v>29379.53</v>
      </c>
      <c r="I12" s="90">
        <f>'Tata Motors (DS)'!I64</f>
        <v>26379.16</v>
      </c>
      <c r="J12" s="90">
        <f>'Tata Motors (DS)'!J64</f>
        <v>22971</v>
      </c>
      <c r="K12" s="90">
        <f>'Tata Motors (DS)'!K64</f>
        <v>35656</v>
      </c>
    </row>
    <row r="13" spans="1:11" x14ac:dyDescent="0.25">
      <c r="A13" s="75" t="s">
        <v>94</v>
      </c>
      <c r="B13" s="90">
        <f>'Tata Motors (DS)'!B65</f>
        <v>106266.4</v>
      </c>
      <c r="C13" s="90">
        <f>'Tata Motors (DS)'!C65</f>
        <v>122599.52</v>
      </c>
      <c r="D13" s="90">
        <f>'Tata Motors (DS)'!D65</f>
        <v>144931.70000000001</v>
      </c>
      <c r="E13" s="90">
        <f>'Tata Motors (DS)'!E65</f>
        <v>146814.46</v>
      </c>
      <c r="F13" s="90">
        <f>'Tata Motors (DS)'!F65</f>
        <v>141141.48000000001</v>
      </c>
      <c r="G13" s="90">
        <f>'Tata Motors (DS)'!G65</f>
        <v>157278.09</v>
      </c>
      <c r="H13" s="90">
        <f>'Tata Motors (DS)'!H65</f>
        <v>150575.42000000001</v>
      </c>
      <c r="I13" s="90">
        <f>'Tata Motors (DS)'!I65</f>
        <v>161941.01</v>
      </c>
      <c r="J13" s="90">
        <f>'Tata Motors (DS)'!J65</f>
        <v>189567</v>
      </c>
      <c r="K13" s="90">
        <f>'Tata Motors (DS)'!K65</f>
        <v>159814</v>
      </c>
    </row>
    <row r="14" spans="1:11" s="80" customFormat="1" x14ac:dyDescent="0.25">
      <c r="A14" s="80" t="s">
        <v>93</v>
      </c>
      <c r="B14" s="90">
        <f>'Tata Motors (DS)'!B66</f>
        <v>263184.12</v>
      </c>
      <c r="C14" s="90">
        <f>'Tata Motors (DS)'!C66</f>
        <v>272580.36</v>
      </c>
      <c r="D14" s="90">
        <f>'Tata Motors (DS)'!D66</f>
        <v>327191.81</v>
      </c>
      <c r="E14" s="90">
        <f>'Tata Motors (DS)'!E66</f>
        <v>305703.49</v>
      </c>
      <c r="F14" s="90">
        <f>'Tata Motors (DS)'!F66</f>
        <v>320179.39</v>
      </c>
      <c r="G14" s="90">
        <f>'Tata Motors (DS)'!G66</f>
        <v>341569.91</v>
      </c>
      <c r="H14" s="90">
        <f>'Tata Motors (DS)'!H66</f>
        <v>329061.49</v>
      </c>
      <c r="I14" s="90">
        <f>'Tata Motors (DS)'!I66</f>
        <v>334674.43</v>
      </c>
      <c r="J14" s="90">
        <f>'Tata Motors (DS)'!J66</f>
        <v>369521</v>
      </c>
      <c r="K14" s="90">
        <f>'Tata Motors (DS)'!K66</f>
        <v>376973</v>
      </c>
    </row>
    <row r="15" spans="1:11" x14ac:dyDescent="0.25">
      <c r="B15" s="89"/>
      <c r="C15" s="89"/>
      <c r="D15" s="89"/>
      <c r="E15" s="89"/>
      <c r="F15" s="89"/>
      <c r="G15" s="89"/>
      <c r="H15" s="89"/>
      <c r="I15" s="89"/>
      <c r="J15" s="89"/>
      <c r="K15" s="89"/>
    </row>
    <row r="16" spans="1:11" x14ac:dyDescent="0.25">
      <c r="A16" s="75" t="s">
        <v>92</v>
      </c>
      <c r="B16" s="89">
        <f t="shared" ref="B16:K16" si="0">B13-B7</f>
        <v>-8605.3500000000058</v>
      </c>
      <c r="C16" s="89">
        <f t="shared" si="0"/>
        <v>-13314.969999999987</v>
      </c>
      <c r="D16" s="89">
        <f t="shared" si="0"/>
        <v>2118.2700000000186</v>
      </c>
      <c r="E16" s="89">
        <f t="shared" si="0"/>
        <v>7465.8699999999953</v>
      </c>
      <c r="F16" s="89">
        <f t="shared" si="0"/>
        <v>8828.2600000000093</v>
      </c>
      <c r="G16" s="89">
        <f t="shared" si="0"/>
        <v>13085.470000000001</v>
      </c>
      <c r="H16" s="89">
        <f t="shared" si="0"/>
        <v>12524.200000000012</v>
      </c>
      <c r="I16" s="89">
        <f t="shared" si="0"/>
        <v>6701.8099999999977</v>
      </c>
      <c r="J16" s="89">
        <f t="shared" si="0"/>
        <v>12228</v>
      </c>
      <c r="K16" s="89">
        <f t="shared" si="0"/>
        <v>-29475</v>
      </c>
    </row>
    <row r="17" spans="1:11" x14ac:dyDescent="0.25">
      <c r="A17" s="75" t="s">
        <v>91</v>
      </c>
      <c r="B17" s="89">
        <f>'Tata Motors (DS)'!B67</f>
        <v>13570.91</v>
      </c>
      <c r="C17" s="89">
        <f>'Tata Motors (DS)'!C67</f>
        <v>14075.55</v>
      </c>
      <c r="D17" s="89">
        <f>'Tata Motors (DS)'!D67</f>
        <v>19893.3</v>
      </c>
      <c r="E17" s="89">
        <f>'Tata Motors (DS)'!E67</f>
        <v>18996.169999999998</v>
      </c>
      <c r="F17" s="89">
        <f>'Tata Motors (DS)'!F67</f>
        <v>11172.69</v>
      </c>
      <c r="G17" s="89">
        <f>'Tata Motors (DS)'!G67</f>
        <v>12679.08</v>
      </c>
      <c r="H17" s="89">
        <f>'Tata Motors (DS)'!H67</f>
        <v>12442.12</v>
      </c>
      <c r="I17" s="89">
        <f>'Tata Motors (DS)'!I67</f>
        <v>15737.97</v>
      </c>
      <c r="J17" s="89">
        <f>'Tata Motors (DS)'!J67</f>
        <v>16952</v>
      </c>
      <c r="K17" s="89">
        <f>'Tata Motors (DS)'!K67</f>
        <v>13248</v>
      </c>
    </row>
    <row r="18" spans="1:11" x14ac:dyDescent="0.25">
      <c r="A18" s="75" t="s">
        <v>90</v>
      </c>
      <c r="B18" s="89">
        <f>'Tata Motors (DS)'!B68</f>
        <v>32655.73</v>
      </c>
      <c r="C18" s="89">
        <f>'Tata Motors (DS)'!C68</f>
        <v>35085.31</v>
      </c>
      <c r="D18" s="89">
        <f>'Tata Motors (DS)'!D68</f>
        <v>42137.63</v>
      </c>
      <c r="E18" s="89">
        <f>'Tata Motors (DS)'!E68</f>
        <v>39013.730000000003</v>
      </c>
      <c r="F18" s="89">
        <f>'Tata Motors (DS)'!F68</f>
        <v>37456.879999999997</v>
      </c>
      <c r="G18" s="89">
        <f>'Tata Motors (DS)'!G68</f>
        <v>36088.589999999997</v>
      </c>
      <c r="H18" s="89">
        <f>'Tata Motors (DS)'!H68</f>
        <v>35240.339999999997</v>
      </c>
      <c r="I18" s="89">
        <f>'Tata Motors (DS)'!I68</f>
        <v>40755.39</v>
      </c>
      <c r="J18" s="89">
        <f>'Tata Motors (DS)'!J68</f>
        <v>47788</v>
      </c>
      <c r="K18" s="89">
        <f>'Tata Motors (DS)'!K68</f>
        <v>47269</v>
      </c>
    </row>
    <row r="20" spans="1:11" x14ac:dyDescent="0.25">
      <c r="A20" s="75" t="s">
        <v>89</v>
      </c>
      <c r="B20" s="89">
        <f>IF('[7]Profit &amp; Loss'!B4&gt;0,'Tata Motors (BS)'!B17/('[7]Profit &amp; Loss'!B4/365),0)</f>
        <v>0</v>
      </c>
      <c r="C20" s="89">
        <f>IF('[7]Profit &amp; Loss'!C4&gt;0,'Tata Motors (BS)'!C17/('[7]Profit &amp; Loss'!C4/365),0)</f>
        <v>0</v>
      </c>
      <c r="D20" s="89">
        <f>IF('[7]Profit &amp; Loss'!D4&gt;0,'Tata Motors (BS)'!D17/('[7]Profit &amp; Loss'!D4/365),0)</f>
        <v>0</v>
      </c>
      <c r="E20" s="89">
        <f>IF('[7]Profit &amp; Loss'!E4&gt;0,'Tata Motors (BS)'!E17/('[7]Profit &amp; Loss'!E4/365),0)</f>
        <v>0</v>
      </c>
      <c r="F20" s="89">
        <f>IF('[7]Profit &amp; Loss'!F4&gt;0,'Tata Motors (BS)'!F17/('[7]Profit &amp; Loss'!F4/365),0)</f>
        <v>0</v>
      </c>
      <c r="G20" s="89">
        <f>IF('[7]Profit &amp; Loss'!G4&gt;0,'Tata Motors (BS)'!G17/('[7]Profit &amp; Loss'!G4/365),0)</f>
        <v>0</v>
      </c>
      <c r="H20" s="89">
        <f>IF('[7]Profit &amp; Loss'!H4&gt;0,'Tata Motors (BS)'!H17/('[7]Profit &amp; Loss'!H4/365),0)</f>
        <v>0</v>
      </c>
      <c r="I20" s="89">
        <f>IF('[7]Profit &amp; Loss'!I4&gt;0,'Tata Motors (BS)'!I17/('[7]Profit &amp; Loss'!I4/365),0)</f>
        <v>0</v>
      </c>
      <c r="J20" s="89">
        <f>IF('[7]Profit &amp; Loss'!J4&gt;0,'Tata Motors (BS)'!J17/('[7]Profit &amp; Loss'!J4/365),0)</f>
        <v>0</v>
      </c>
      <c r="K20" s="89">
        <f>IF('[7]Profit &amp; Loss'!K4&gt;0,'Tata Motors (BS)'!K17/('[7]Profit &amp; Loss'!K4/365),0)</f>
        <v>0</v>
      </c>
    </row>
    <row r="21" spans="1:11" x14ac:dyDescent="0.25">
      <c r="A21" s="75" t="s">
        <v>88</v>
      </c>
      <c r="B21" s="89">
        <f>IF('Tata Motors (BS)'!B18&gt;0,'[7]Profit &amp; Loss'!B4/'Tata Motors (BS)'!B18,0)</f>
        <v>0</v>
      </c>
      <c r="C21" s="89">
        <f>IF('Tata Motors (BS)'!C18&gt;0,'[7]Profit &amp; Loss'!C4/'Tata Motors (BS)'!C18,0)</f>
        <v>0</v>
      </c>
      <c r="D21" s="89">
        <f>IF('Tata Motors (BS)'!D18&gt;0,'[7]Profit &amp; Loss'!D4/'Tata Motors (BS)'!D18,0)</f>
        <v>0</v>
      </c>
      <c r="E21" s="89">
        <f>IF('Tata Motors (BS)'!E18&gt;0,'[7]Profit &amp; Loss'!E4/'Tata Motors (BS)'!E18,0)</f>
        <v>0</v>
      </c>
      <c r="F21" s="89">
        <f>IF('Tata Motors (BS)'!F18&gt;0,'[7]Profit &amp; Loss'!F4/'Tata Motors (BS)'!F18,0)</f>
        <v>0</v>
      </c>
      <c r="G21" s="89">
        <f>IF('Tata Motors (BS)'!G18&gt;0,'[7]Profit &amp; Loss'!G4/'Tata Motors (BS)'!G18,0)</f>
        <v>0</v>
      </c>
      <c r="H21" s="89">
        <f>IF('Tata Motors (BS)'!H18&gt;0,'[7]Profit &amp; Loss'!H4/'Tata Motors (BS)'!H18,0)</f>
        <v>0</v>
      </c>
      <c r="I21" s="89">
        <f>IF('Tata Motors (BS)'!I18&gt;0,'[7]Profit &amp; Loss'!I4/'Tata Motors (BS)'!I18,0)</f>
        <v>0</v>
      </c>
      <c r="J21" s="89">
        <f>IF('Tata Motors (BS)'!J18&gt;0,'[7]Profit &amp; Loss'!J4/'Tata Motors (BS)'!J18,0)</f>
        <v>0</v>
      </c>
      <c r="K21" s="89">
        <f>IF('Tata Motors (BS)'!K18&gt;0,'[7]Profit &amp; Loss'!K4/'Tata Motors (BS)'!K18,0)</f>
        <v>0</v>
      </c>
    </row>
    <row r="23" spans="1:11" s="80" customFormat="1" x14ac:dyDescent="0.25">
      <c r="A23" s="80" t="s">
        <v>87</v>
      </c>
      <c r="B23" s="88">
        <f>IF(SUM('Tata Motors (BS)'!B4:B5)&gt;0,'[7]Profit &amp; Loss'!B12/SUM('Tata Motors (BS)'!B4:B5),"")</f>
        <v>0</v>
      </c>
      <c r="C23" s="88">
        <f>IF(SUM('Tata Motors (BS)'!C4:C5)&gt;0,'[7]Profit &amp; Loss'!C12/SUM('Tata Motors (BS)'!C4:C5),"")</f>
        <v>0</v>
      </c>
      <c r="D23" s="88">
        <f>IF(SUM('Tata Motors (BS)'!D4:D5)&gt;0,'[7]Profit &amp; Loss'!D12/SUM('Tata Motors (BS)'!D4:D5),"")</f>
        <v>0</v>
      </c>
      <c r="E23" s="88">
        <f>IF(SUM('Tata Motors (BS)'!E4:E5)&gt;0,'[7]Profit &amp; Loss'!E12/SUM('Tata Motors (BS)'!E4:E5),"")</f>
        <v>0</v>
      </c>
      <c r="F23" s="88">
        <f>IF(SUM('Tata Motors (BS)'!F4:F5)&gt;0,'[7]Profit &amp; Loss'!F12/SUM('Tata Motors (BS)'!F4:F5),"")</f>
        <v>0</v>
      </c>
      <c r="G23" s="88">
        <f>IF(SUM('Tata Motors (BS)'!G4:G5)&gt;0,'[7]Profit &amp; Loss'!G12/SUM('Tata Motors (BS)'!G4:G5),"")</f>
        <v>0</v>
      </c>
      <c r="H23" s="88">
        <f>IF(SUM('Tata Motors (BS)'!H4:H5)&gt;0,'[7]Profit &amp; Loss'!H12/SUM('Tata Motors (BS)'!H4:H5),"")</f>
        <v>0</v>
      </c>
      <c r="I23" s="88">
        <f>IF(SUM('Tata Motors (BS)'!I4:I5)&gt;0,'[7]Profit &amp; Loss'!I12/SUM('Tata Motors (BS)'!I4:I5),"")</f>
        <v>0</v>
      </c>
      <c r="J23" s="88">
        <f>IF(SUM('Tata Motors (BS)'!J4:J5)&gt;0,'[7]Profit &amp; Loss'!J12/SUM('Tata Motors (BS)'!J4:J5),"")</f>
        <v>0</v>
      </c>
      <c r="K23" s="88">
        <f>IF(SUM('Tata Motors (BS)'!K4:K5)&gt;0,'[7]Profit &amp; Loss'!K12/SUM('Tata Motors (BS)'!K4:K5),"")</f>
        <v>0</v>
      </c>
    </row>
    <row r="24" spans="1:11" s="80" customFormat="1" x14ac:dyDescent="0.25">
      <c r="A24" s="80" t="s">
        <v>86</v>
      </c>
      <c r="B24" s="88"/>
      <c r="C24" s="88">
        <f>IF((B4+B5+B6+C4+C5+C6)&gt;0,('[7]Profit &amp; Loss'!C10+'[7]Profit &amp; Loss'!C9)*2/(B4+B5+B6+C4+C5+C6),"")</f>
        <v>0</v>
      </c>
      <c r="D24" s="88">
        <f>IF((C4+C5+C6+D4+D5+D6)&gt;0,('[7]Profit &amp; Loss'!D10+'[7]Profit &amp; Loss'!D9)*2/(C4+C5+C6+D4+D5+D6),"")</f>
        <v>0</v>
      </c>
      <c r="E24" s="88">
        <f>IF((D4+D5+D6+E4+E5+E6)&gt;0,('[7]Profit &amp; Loss'!E10+'[7]Profit &amp; Loss'!E9)*2/(D4+D5+D6+E4+E5+E6),"")</f>
        <v>0</v>
      </c>
      <c r="F24" s="88">
        <f>IF((E4+E5+E6+F4+F5+F6)&gt;0,('[7]Profit &amp; Loss'!F10+'[7]Profit &amp; Loss'!F9)*2/(E4+E5+E6+F4+F5+F6),"")</f>
        <v>0</v>
      </c>
      <c r="G24" s="88">
        <f>IF((F4+F5+F6+G4+G5+G6)&gt;0,('[7]Profit &amp; Loss'!G10+'[7]Profit &amp; Loss'!G9)*2/(F4+F5+F6+G4+G5+G6),"")</f>
        <v>0</v>
      </c>
      <c r="H24" s="88">
        <f>IF((G4+G5+G6+H4+H5+H6)&gt;0,('[7]Profit &amp; Loss'!H10+'[7]Profit &amp; Loss'!H9)*2/(G4+G5+G6+H4+H5+H6),"")</f>
        <v>0</v>
      </c>
      <c r="I24" s="88">
        <f>IF((H4+H5+H6+I4+I5+I6)&gt;0,('[7]Profit &amp; Loss'!I10+'[7]Profit &amp; Loss'!I9)*2/(H4+H5+H6+I4+I5+I6),"")</f>
        <v>0</v>
      </c>
      <c r="J24" s="88">
        <f>IF((I4+I5+I6+J4+J5+J6)&gt;0,('[7]Profit &amp; Loss'!J10+'[7]Profit &amp; Loss'!J9)*2/(I4+I5+I6+J4+J5+J6),"")</f>
        <v>0</v>
      </c>
      <c r="K24" s="88">
        <f>IF((J4+J5+J6+K4+K5+K6)&gt;0,('[7]Profit &amp; Loss'!K10+'[7]Profit &amp; Loss'!K9)*2/(J4+J5+J6+K4+K5+K6),"")</f>
        <v>0</v>
      </c>
    </row>
  </sheetData>
  <hyperlinks>
    <hyperlink ref="J1" r:id="rId1" xr:uid="{DFBB1F80-CBE1-4152-98DF-8071C5E34A4B}"/>
  </hyperlinks>
  <printOptions gridLines="1"/>
  <pageMargins left="0.7" right="0.7" top="0.75" bottom="0.75" header="0.3" footer="0.3"/>
  <pageSetup paperSize="9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12</vt:i4>
      </vt:variant>
    </vt:vector>
  </HeadingPairs>
  <TitlesOfParts>
    <vt:vector size="43" baseType="lpstr">
      <vt:lpstr>Summary</vt:lpstr>
      <vt:lpstr>Indian Comps</vt:lpstr>
      <vt:lpstr>Global Comps</vt:lpstr>
      <vt:lpstr>Data Base&gt;</vt:lpstr>
      <vt:lpstr>Indian Peers</vt:lpstr>
      <vt:lpstr>Global Peers</vt:lpstr>
      <vt:lpstr>Data&gt;</vt:lpstr>
      <vt:lpstr>Tata Motors (IS)</vt:lpstr>
      <vt:lpstr>Tata Motors (BS)</vt:lpstr>
      <vt:lpstr>Tata Motors (DS)</vt:lpstr>
      <vt:lpstr>MARUTI SUZUKI (IS)</vt:lpstr>
      <vt:lpstr>MARUTI SUZUKI (BS)</vt:lpstr>
      <vt:lpstr>MARUTI SUZUKI (DS)</vt:lpstr>
      <vt:lpstr>M &amp; M (IS) </vt:lpstr>
      <vt:lpstr>M &amp; M (BS)</vt:lpstr>
      <vt:lpstr>M &amp; M (DS)</vt:lpstr>
      <vt:lpstr>Force Motors (IS)</vt:lpstr>
      <vt:lpstr>Force Motors (BS)</vt:lpstr>
      <vt:lpstr>Force Motors (DS)</vt:lpstr>
      <vt:lpstr>Eicher Motors (IS)</vt:lpstr>
      <vt:lpstr> Eicher Motors (BS)</vt:lpstr>
      <vt:lpstr>Eicher Motors (DS)</vt:lpstr>
      <vt:lpstr>Bajaj Auto (IS)</vt:lpstr>
      <vt:lpstr>Bajaj Auto (BS)</vt:lpstr>
      <vt:lpstr>Bajaj Auto (DS)</vt:lpstr>
      <vt:lpstr>Ashok Leyland (IS)</vt:lpstr>
      <vt:lpstr>Ashok Leyland (BS)</vt:lpstr>
      <vt:lpstr>Ashok Leyland (DS)</vt:lpstr>
      <vt:lpstr>Hyundai (IS)</vt:lpstr>
      <vt:lpstr>Hyundai (BS)</vt:lpstr>
      <vt:lpstr>Hyundai (DS)</vt:lpstr>
      <vt:lpstr>'Ashok Leyland (DS)'!UPDATE</vt:lpstr>
      <vt:lpstr>'Bajaj Auto (DS)'!UPDATE</vt:lpstr>
      <vt:lpstr>'Eicher Motors (DS)'!UPDATE</vt:lpstr>
      <vt:lpstr>'Force Motors (DS)'!UPDATE</vt:lpstr>
      <vt:lpstr>'Hyundai (BS)'!UPDATE</vt:lpstr>
      <vt:lpstr>'Hyundai (DS)'!UPDATE</vt:lpstr>
      <vt:lpstr>'Hyundai (IS)'!UPDATE</vt:lpstr>
      <vt:lpstr>'M &amp; M (DS)'!UPDATE</vt:lpstr>
      <vt:lpstr>'Tata Motors (BS)'!UPDATE</vt:lpstr>
      <vt:lpstr>'Tata Motors (DS)'!UPDATE</vt:lpstr>
      <vt:lpstr>'Tata Motors (IS)'!UPDATE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 Singh</dc:creator>
  <cp:lastModifiedBy>Pratyush Singh</cp:lastModifiedBy>
  <dcterms:created xsi:type="dcterms:W3CDTF">2025-06-30T20:17:53Z</dcterms:created>
  <dcterms:modified xsi:type="dcterms:W3CDTF">2025-08-03T14:51:35Z</dcterms:modified>
</cp:coreProperties>
</file>