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CF Model\Tata Motors (Linear Regression)\"/>
    </mc:Choice>
  </mc:AlternateContent>
  <xr:revisionPtr revIDLastSave="0" documentId="8_{70F7D877-1E83-47A1-863F-83315D58AFD3}" xr6:coauthVersionLast="47" xr6:coauthVersionMax="47" xr10:uidLastSave="{00000000-0000-0000-0000-000000000000}"/>
  <bookViews>
    <workbookView xWindow="-120" yWindow="-120" windowWidth="20730" windowHeight="11160" xr2:uid="{AC6C53F5-AC2A-423D-B779-45EC237BFDF2}"/>
  </bookViews>
  <sheets>
    <sheet name="DCF" sheetId="14" r:id="rId1"/>
    <sheet name="Linear regression" sheetId="19" r:id="rId2"/>
    <sheet name=" CapEx &amp; NWC Forecast" sheetId="18" r:id="rId3"/>
    <sheet name="WACC" sheetId="8" r:id="rId4"/>
    <sheet name="IS" sheetId="17" r:id="rId5"/>
    <sheet name="BS" sheetId="5" r:id="rId6"/>
    <sheet name="CFS" sheetId="6" r:id="rId7"/>
  </sheets>
  <externalReferences>
    <externalReference r:id="rId8"/>
  </externalReferences>
  <definedNames>
    <definedName name="ExternalData_1" localSheetId="5" hidden="1">BS!$A$1:$F$36</definedName>
    <definedName name="ExternalData_1" localSheetId="6" hidden="1">CFS!$A$1:$F$10</definedName>
    <definedName name="ExternalData_1" localSheetId="4" hidden="1">IS!$A$1:$F$17</definedName>
    <definedName name="tgr">'[1]Operating Model'!$L$11</definedName>
    <definedName name="wacc">'[1]Operating Model'!$L$10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4" l="1"/>
  <c r="D9" i="19"/>
  <c r="D5" i="18"/>
  <c r="K5" i="18"/>
  <c r="N62" i="14"/>
  <c r="N60" i="14"/>
  <c r="N59" i="14"/>
  <c r="E50" i="14"/>
  <c r="E47" i="14"/>
  <c r="E34" i="14"/>
  <c r="D21" i="8"/>
  <c r="D23" i="8"/>
  <c r="L5" i="18" l="1"/>
  <c r="L7" i="18" s="1"/>
  <c r="M5" i="18"/>
  <c r="N5" i="18"/>
  <c r="N7" i="18" s="1"/>
  <c r="O5" i="18"/>
  <c r="K7" i="18"/>
  <c r="L6" i="18"/>
  <c r="M6" i="18"/>
  <c r="N6" i="18"/>
  <c r="O6" i="18"/>
  <c r="K6" i="18"/>
  <c r="E5" i="18"/>
  <c r="F5" i="18"/>
  <c r="G6" i="18" s="1"/>
  <c r="I26" i="14" s="1"/>
  <c r="G5" i="18"/>
  <c r="C5" i="18"/>
  <c r="D6" i="18" s="1"/>
  <c r="F26" i="14" s="1"/>
  <c r="F23" i="14"/>
  <c r="G23" i="14"/>
  <c r="H23" i="14"/>
  <c r="I23" i="14"/>
  <c r="E23" i="14"/>
  <c r="F19" i="14"/>
  <c r="G19" i="14"/>
  <c r="H19" i="14"/>
  <c r="I19" i="14"/>
  <c r="E19" i="14"/>
  <c r="F16" i="14"/>
  <c r="G16" i="14"/>
  <c r="H16" i="14"/>
  <c r="I16" i="14"/>
  <c r="E16" i="14"/>
  <c r="F13" i="14"/>
  <c r="G13" i="14"/>
  <c r="H13" i="14"/>
  <c r="I13" i="14"/>
  <c r="E13" i="14"/>
  <c r="G33" i="14" l="1"/>
  <c r="E5" i="19"/>
  <c r="G14" i="14"/>
  <c r="G34" i="14" s="1"/>
  <c r="I39" i="14"/>
  <c r="I20" i="14"/>
  <c r="I40" i="14" s="1"/>
  <c r="F44" i="14"/>
  <c r="F24" i="14"/>
  <c r="F45" i="14" s="1"/>
  <c r="E33" i="14"/>
  <c r="E30" i="14"/>
  <c r="E51" i="14" s="1"/>
  <c r="E27" i="14"/>
  <c r="E48" i="14" s="1"/>
  <c r="G36" i="14"/>
  <c r="G17" i="14"/>
  <c r="G37" i="14" s="1"/>
  <c r="G5" i="19"/>
  <c r="I33" i="14"/>
  <c r="I14" i="14"/>
  <c r="I34" i="14" s="1"/>
  <c r="E36" i="14"/>
  <c r="E17" i="14"/>
  <c r="E37" i="14" s="1"/>
  <c r="F36" i="14"/>
  <c r="F17" i="14"/>
  <c r="F37" i="14" s="1"/>
  <c r="G39" i="14"/>
  <c r="G20" i="14"/>
  <c r="G40" i="14" s="1"/>
  <c r="H44" i="14"/>
  <c r="H24" i="14"/>
  <c r="H45" i="14" s="1"/>
  <c r="H36" i="14"/>
  <c r="H17" i="14"/>
  <c r="H37" i="14" s="1"/>
  <c r="E44" i="14"/>
  <c r="E24" i="14"/>
  <c r="E45" i="14" s="1"/>
  <c r="F33" i="14"/>
  <c r="D5" i="19"/>
  <c r="F14" i="14"/>
  <c r="F34" i="14" s="1"/>
  <c r="H39" i="14"/>
  <c r="H20" i="14"/>
  <c r="H40" i="14" s="1"/>
  <c r="I24" i="14"/>
  <c r="I45" i="14" s="1"/>
  <c r="I44" i="14"/>
  <c r="F5" i="19"/>
  <c r="H33" i="14"/>
  <c r="H14" i="14"/>
  <c r="H34" i="14" s="1"/>
  <c r="I36" i="14"/>
  <c r="I17" i="14"/>
  <c r="I37" i="14" s="1"/>
  <c r="E39" i="14"/>
  <c r="E20" i="14"/>
  <c r="E40" i="14" s="1"/>
  <c r="F39" i="14"/>
  <c r="F20" i="14"/>
  <c r="F40" i="14" s="1"/>
  <c r="G44" i="14"/>
  <c r="G24" i="14"/>
  <c r="G45" i="14" s="1"/>
  <c r="F6" i="18"/>
  <c r="H26" i="14" s="1"/>
  <c r="H47" i="14" s="1"/>
  <c r="O7" i="18"/>
  <c r="O8" i="18" s="1"/>
  <c r="I29" i="14" s="1"/>
  <c r="I50" i="14" s="1"/>
  <c r="E6" i="18"/>
  <c r="G26" i="14" s="1"/>
  <c r="G27" i="14" s="1"/>
  <c r="G48" i="14" s="1"/>
  <c r="M7" i="18"/>
  <c r="N8" i="18" s="1"/>
  <c r="H29" i="14" s="1"/>
  <c r="L8" i="18"/>
  <c r="F29" i="14" s="1"/>
  <c r="F50" i="14" s="1"/>
  <c r="F47" i="14"/>
  <c r="F27" i="14"/>
  <c r="F48" i="14" s="1"/>
  <c r="I27" i="14"/>
  <c r="I48" i="14" s="1"/>
  <c r="I47" i="14"/>
  <c r="E22" i="14"/>
  <c r="F12" i="14"/>
  <c r="G12" i="14" s="1"/>
  <c r="G22" i="14" l="1"/>
  <c r="H12" i="14"/>
  <c r="F22" i="14"/>
  <c r="E9" i="19"/>
  <c r="M8" i="18"/>
  <c r="G29" i="14" s="1"/>
  <c r="G50" i="14" s="1"/>
  <c r="I30" i="14"/>
  <c r="I51" i="14" s="1"/>
  <c r="H27" i="14"/>
  <c r="H48" i="14" s="1"/>
  <c r="F30" i="14"/>
  <c r="F51" i="14" s="1"/>
  <c r="H50" i="14"/>
  <c r="H30" i="14"/>
  <c r="H51" i="14" s="1"/>
  <c r="G47" i="14"/>
  <c r="G32" i="14"/>
  <c r="E32" i="14"/>
  <c r="F32" i="14"/>
  <c r="K11" i="14"/>
  <c r="L11" i="14" s="1"/>
  <c r="M11" i="14" s="1"/>
  <c r="N11" i="14" s="1"/>
  <c r="I12" i="14" l="1"/>
  <c r="H22" i="14"/>
  <c r="H32" i="14" s="1"/>
  <c r="J5" i="19"/>
  <c r="L13" i="14" s="1"/>
  <c r="K5" i="19"/>
  <c r="M13" i="14" s="1"/>
  <c r="H5" i="19"/>
  <c r="J13" i="14" s="1"/>
  <c r="L5" i="19"/>
  <c r="N13" i="14" s="1"/>
  <c r="I5" i="19"/>
  <c r="K13" i="14" s="1"/>
  <c r="G30" i="14"/>
  <c r="G51" i="14" s="1"/>
  <c r="J51" i="14" s="1"/>
  <c r="L47" i="14" l="1"/>
  <c r="L48" i="14" s="1"/>
  <c r="L44" i="14"/>
  <c r="L45" i="14" s="1"/>
  <c r="L33" i="14"/>
  <c r="L50" i="14" s="1"/>
  <c r="L16" i="14"/>
  <c r="M47" i="14"/>
  <c r="M48" i="14" s="1"/>
  <c r="M14" i="14"/>
  <c r="M34" i="14" s="1"/>
  <c r="M44" i="14"/>
  <c r="M45" i="14" s="1"/>
  <c r="M16" i="14"/>
  <c r="M33" i="14"/>
  <c r="M50" i="14" s="1"/>
  <c r="L14" i="14"/>
  <c r="L34" i="14" s="1"/>
  <c r="K33" i="14"/>
  <c r="K50" i="14" s="1"/>
  <c r="K16" i="14"/>
  <c r="K47" i="14"/>
  <c r="K48" i="14" s="1"/>
  <c r="K14" i="14"/>
  <c r="K34" i="14" s="1"/>
  <c r="K44" i="14"/>
  <c r="K45" i="14" s="1"/>
  <c r="N33" i="14"/>
  <c r="N50" i="14" s="1"/>
  <c r="N44" i="14"/>
  <c r="N45" i="14" s="1"/>
  <c r="N16" i="14"/>
  <c r="N14" i="14"/>
  <c r="N34" i="14" s="1"/>
  <c r="N47" i="14"/>
  <c r="N48" i="14" s="1"/>
  <c r="J33" i="14"/>
  <c r="J50" i="14" s="1"/>
  <c r="J14" i="14"/>
  <c r="J34" i="14" s="1"/>
  <c r="J47" i="14"/>
  <c r="J48" i="14" s="1"/>
  <c r="J16" i="14"/>
  <c r="J44" i="14"/>
  <c r="J45" i="14" s="1"/>
  <c r="J12" i="14"/>
  <c r="I22" i="14"/>
  <c r="I32" i="14" s="1"/>
  <c r="K12" i="14" l="1"/>
  <c r="J22" i="14"/>
  <c r="N17" i="14"/>
  <c r="N37" i="14" s="1"/>
  <c r="N19" i="14"/>
  <c r="N36" i="14"/>
  <c r="J19" i="14"/>
  <c r="J36" i="14"/>
  <c r="J17" i="14"/>
  <c r="J37" i="14" s="1"/>
  <c r="K19" i="14"/>
  <c r="K36" i="14"/>
  <c r="K17" i="14"/>
  <c r="K37" i="14" s="1"/>
  <c r="M17" i="14"/>
  <c r="M37" i="14" s="1"/>
  <c r="M36" i="14"/>
  <c r="M19" i="14"/>
  <c r="L17" i="14"/>
  <c r="L37" i="14" s="1"/>
  <c r="L19" i="14"/>
  <c r="L36" i="14"/>
  <c r="J32" i="14"/>
  <c r="M20" i="14" l="1"/>
  <c r="M40" i="14" s="1"/>
  <c r="M39" i="14"/>
  <c r="M42" i="14" s="1"/>
  <c r="M53" i="14" s="1"/>
  <c r="M54" i="14" s="1"/>
  <c r="J20" i="14"/>
  <c r="J40" i="14" s="1"/>
  <c r="J39" i="14"/>
  <c r="J42" i="14" s="1"/>
  <c r="J53" i="14" s="1"/>
  <c r="J54" i="14" s="1"/>
  <c r="K20" i="14"/>
  <c r="K40" i="14" s="1"/>
  <c r="K39" i="14"/>
  <c r="K42" i="14" s="1"/>
  <c r="K53" i="14" s="1"/>
  <c r="K54" i="14" s="1"/>
  <c r="L12" i="14"/>
  <c r="K22" i="14"/>
  <c r="K32" i="14" s="1"/>
  <c r="L39" i="14"/>
  <c r="L42" i="14" s="1"/>
  <c r="L53" i="14" s="1"/>
  <c r="L54" i="14" s="1"/>
  <c r="L20" i="14"/>
  <c r="L40" i="14" s="1"/>
  <c r="N20" i="14"/>
  <c r="N40" i="14" s="1"/>
  <c r="N39" i="14"/>
  <c r="N42" i="14" s="1"/>
  <c r="N53" i="14" s="1"/>
  <c r="M12" i="14" l="1"/>
  <c r="L22" i="14"/>
  <c r="L32" i="14" s="1"/>
  <c r="N56" i="14"/>
  <c r="N57" i="14" s="1"/>
  <c r="N54" i="14"/>
  <c r="N12" i="14" l="1"/>
  <c r="N22" i="14" s="1"/>
  <c r="M22" i="14"/>
  <c r="M32" i="14" s="1"/>
  <c r="N32" i="14"/>
  <c r="N58" i="14" l="1"/>
  <c r="N61" i="14" s="1"/>
  <c r="N63" i="14" s="1"/>
  <c r="G4" i="14" l="1"/>
  <c r="K5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BD941-4333-4F10-B065-9CC385607AA2}" keepAlive="1" name="Query - Sheet15" description="Connection to the 'Sheet15' query in the workbook." type="5" refreshedVersion="8" background="1" saveData="1">
    <dbPr connection="Provider=Microsoft.Mashup.OleDb.1;Data Source=$Workbook$;Location=Sheet15;Extended Properties=&quot;&quot;" command="SELECT * FROM [Sheet15]"/>
  </connection>
  <connection id="2" xr16:uid="{EB212E18-5269-44AD-9EE3-9B8EDF50BF2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7E4946A-61D0-4501-ACD9-7BE0E8230C3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<sst xmlns="http://schemas.openxmlformats.org/spreadsheetml/2006/main" count="156" uniqueCount="123">
  <si>
    <t>Mar '24</t>
  </si>
  <si>
    <t>Mar '22</t>
  </si>
  <si>
    <t>Mar '21</t>
  </si>
  <si>
    <t>Mar '20</t>
  </si>
  <si>
    <t>Total Rev. Ann.</t>
  </si>
  <si>
    <t>Operating Exp. Ann.</t>
  </si>
  <si>
    <t>Operating Profit Ann.</t>
  </si>
  <si>
    <t>OPM Ann. %</t>
  </si>
  <si>
    <t>Total Exp. Ann.</t>
  </si>
  <si>
    <t>EBIDT Ann.</t>
  </si>
  <si>
    <t>EBIDT Ann. margin %</t>
  </si>
  <si>
    <t>Interest Ann.</t>
  </si>
  <si>
    <t>Depr.</t>
  </si>
  <si>
    <t>PBT Ann.</t>
  </si>
  <si>
    <t>Tax Ann.</t>
  </si>
  <si>
    <t>PAT Before ExtraOrdinary Items Ann.</t>
  </si>
  <si>
    <t>Net Profit Ann.</t>
  </si>
  <si>
    <t>NPM Ann. %</t>
  </si>
  <si>
    <t>EPS Adj. latest Ann.</t>
  </si>
  <si>
    <t>Total ShareHolders Funds Ann.</t>
  </si>
  <si>
    <t>Equity Share Capital Ann.</t>
  </si>
  <si>
    <t>Total Share Capital Ann.</t>
  </si>
  <si>
    <t>Reserves Plus Surplus Ann.</t>
  </si>
  <si>
    <t>Total Reserves Plus Surplus Ann.</t>
  </si>
  <si>
    <t>Minority Interest Liability Ann.</t>
  </si>
  <si>
    <t>Total Non Current Liabilities Ann.</t>
  </si>
  <si>
    <t>Deferred Tax Liabilities Ann.</t>
  </si>
  <si>
    <t>Other LongTerm Liabilities Ann.</t>
  </si>
  <si>
    <t>Total Current Liabilities Ann.</t>
  </si>
  <si>
    <t>Trade Payables Ann.</t>
  </si>
  <si>
    <t>Other Current Liabilities Ann.</t>
  </si>
  <si>
    <t>ST Provisions Ann.</t>
  </si>
  <si>
    <t>Total Capital Plus Liabilities Ann.</t>
  </si>
  <si>
    <t>Fixed Assets Ann.</t>
  </si>
  <si>
    <t>Tangible Assets Ann.</t>
  </si>
  <si>
    <t>Intangible Assets Ann.</t>
  </si>
  <si>
    <t>Capital Work In Progress Ann.</t>
  </si>
  <si>
    <t>Total Non Current Assets Ann.</t>
  </si>
  <si>
    <t>Non Current Investments Ann.</t>
  </si>
  <si>
    <t>Deferred Tax Assets Ann.</t>
  </si>
  <si>
    <t>LT Loans Plus Advances Ann.</t>
  </si>
  <si>
    <t>Other Non Current Assets Ann.</t>
  </si>
  <si>
    <t>Total Current Assets Ann.</t>
  </si>
  <si>
    <t>Current Investments Ann.</t>
  </si>
  <si>
    <t>Trade Receivables Ann.</t>
  </si>
  <si>
    <t>Cash Plus Cash Equivalents Ann.</t>
  </si>
  <si>
    <t>ST Loans Plus Advances Ann.</t>
  </si>
  <si>
    <t>Other Current Assets Ann.</t>
  </si>
  <si>
    <t>Total Assets Ann.</t>
  </si>
  <si>
    <t>Contingent Liabilities plus Commitments Ann.</t>
  </si>
  <si>
    <t>Bonus Equity Share Capital Ann.</t>
  </si>
  <si>
    <t>Non Current Investments Unquoted Book Value Ann.</t>
  </si>
  <si>
    <t>Current Investments Unquoted Book Value Ann.</t>
  </si>
  <si>
    <t>Cash from Operating Act. Ann.</t>
  </si>
  <si>
    <t>Cash from Investing Act. Ann.</t>
  </si>
  <si>
    <t>Cash from Financing Act. Ann.</t>
  </si>
  <si>
    <t>Net Cash Flow Ann.</t>
  </si>
  <si>
    <t>Cash Plus Cash Eqv. Begin Of Year Ann.</t>
  </si>
  <si>
    <t>Cash Plus Cash Eqv. End Of Year Ann.</t>
  </si>
  <si>
    <t>Ticker</t>
  </si>
  <si>
    <t>Implied Share Price</t>
  </si>
  <si>
    <t>Date</t>
  </si>
  <si>
    <t>Today's Share Price</t>
  </si>
  <si>
    <t>Upside (Downside)</t>
  </si>
  <si>
    <t>Assumptions</t>
  </si>
  <si>
    <t>Valuation Assumptions</t>
  </si>
  <si>
    <t>WACC</t>
  </si>
  <si>
    <t>TGR</t>
  </si>
  <si>
    <t>Income Statement</t>
  </si>
  <si>
    <t>Revenue</t>
  </si>
  <si>
    <t>% growth</t>
  </si>
  <si>
    <t>EBIT</t>
  </si>
  <si>
    <t>% of sales</t>
  </si>
  <si>
    <t>Taxes</t>
  </si>
  <si>
    <t>% of EBIT</t>
  </si>
  <si>
    <t>Cash Flow Items</t>
  </si>
  <si>
    <t>D&amp;A</t>
  </si>
  <si>
    <t>CapEx</t>
  </si>
  <si>
    <t>Change in NWC</t>
  </si>
  <si>
    <t>DCF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</si>
  <si>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</si>
  <si>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</si>
  <si>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</si>
  <si>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</si>
  <si>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</si>
  <si>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</si>
  <si>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</si>
  <si>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</si>
  <si>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</si>
  <si>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</si>
  <si>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</si>
  <si>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</si>
  <si>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WACC =  (% Equity x Cost of Equity) + (% Debt x Cost of Debt x (1 -Tax rate))</t>
  </si>
  <si>
    <t>Cost of Equity = Risk Free Rate + (Beta x (Expected Market Return - Risk Free Rate))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</si>
  <si>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</si>
  <si>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</si>
  <si>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</si>
  <si>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</si>
  <si>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</si>
  <si>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</si>
  <si>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</si>
  <si>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</si>
  <si>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</si>
  <si>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</si>
  <si>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TATAMOTORS</t>
  </si>
  <si>
    <t>NWC</t>
  </si>
  <si>
    <t>TOTAL CURRENT LIABILLITIES</t>
  </si>
  <si>
    <t>TOTAL CRUUENT ASSETS</t>
  </si>
  <si>
    <t>Tata Motors DCF</t>
  </si>
  <si>
    <t xml:space="preserve">Revenue Forecast from Linear Regression Method </t>
  </si>
  <si>
    <t>A (index)</t>
  </si>
  <si>
    <t>B( revenue)</t>
  </si>
  <si>
    <t>Slope</t>
  </si>
  <si>
    <t>Intercept</t>
  </si>
  <si>
    <t>Mar '23</t>
  </si>
  <si>
    <t>Balance Sheet</t>
  </si>
  <si>
    <t>Cash Flow Statement</t>
  </si>
  <si>
    <t>NWC Forecast</t>
  </si>
  <si>
    <t>Change In NWC</t>
  </si>
  <si>
    <t>CapEx Forecast</t>
  </si>
  <si>
    <t xml:space="preserve">Income Statement </t>
  </si>
  <si>
    <t>WACC ↓ \ TGR →</t>
  </si>
  <si>
    <t>Sensitivity Table &amp;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</si>
</sst>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[$$-409]* #,##0.00_);_([$$-409]* \(#,##0.00\);_([$$-409]* &quot;-&quot;??_);_(@_)"/>
    <numFmt numFmtId="165" formatCode="0.0%;\(0.0%\)"/>
    <numFmt numFmtId="166" formatCode="0.0%"/>
    <numFmt numFmtId="167" formatCode="[$₹-439]#,##0"/>
    <numFmt numFmtId="168" formatCode="[$₹-446]\ #,##0.00"/>
    <numFmt numFmtId="169" formatCode="[$₹-439]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9" borderId="11" applyNumberFormat="0" applyAlignment="0" applyProtection="0"/>
    <xf numFmtId="0" fontId="12" fillId="6" borderId="12" applyNumberFormat="0" applyAlignment="0" applyProtection="0"/>
    <xf numFmtId="0" fontId="1" fillId="7" borderId="13" applyNumberFormat="0" applyFont="0" applyAlignment="0" applyProtection="0"/>
    <xf numFmtId="0" fontId="2" fillId="8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164" fontId="0" fillId="0" borderId="0" xfId="0" applyNumberFormat="1"/>
    <xf numFmtId="14" fontId="0" fillId="3" borderId="3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6" fontId="7" fillId="4" borderId="0" xfId="1" applyNumberFormat="1" applyFont="1" applyFill="1"/>
    <xf numFmtId="166" fontId="7" fillId="4" borderId="0" xfId="1" applyNumberFormat="1" applyFont="1" applyFill="1" applyBorder="1"/>
    <xf numFmtId="0" fontId="8" fillId="4" borderId="0" xfId="0" applyFont="1" applyFill="1"/>
    <xf numFmtId="0" fontId="5" fillId="4" borderId="5" xfId="0" applyFont="1" applyFill="1" applyBorder="1"/>
    <xf numFmtId="3" fontId="9" fillId="4" borderId="0" xfId="0" applyNumberFormat="1" applyFont="1" applyFill="1"/>
    <xf numFmtId="3" fontId="5" fillId="4" borderId="0" xfId="0" applyNumberFormat="1" applyFont="1" applyFill="1"/>
    <xf numFmtId="3" fontId="5" fillId="4" borderId="5" xfId="0" applyNumberFormat="1" applyFont="1" applyFill="1" applyBorder="1"/>
    <xf numFmtId="37" fontId="6" fillId="4" borderId="0" xfId="0" applyNumberFormat="1" applyFont="1" applyFill="1"/>
    <xf numFmtId="165" fontId="10" fillId="0" borderId="0" xfId="1" applyNumberFormat="1" applyFont="1"/>
    <xf numFmtId="0" fontId="0" fillId="0" borderId="5" xfId="0" applyBorder="1"/>
    <xf numFmtId="3" fontId="11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7" xfId="0" applyNumberFormat="1" applyFont="1" applyBorder="1"/>
    <xf numFmtId="3" fontId="0" fillId="0" borderId="0" xfId="0" applyNumberFormat="1"/>
    <xf numFmtId="166" fontId="10" fillId="0" borderId="0" xfId="1" applyNumberFormat="1" applyFont="1" applyFill="1" applyBorder="1"/>
    <xf numFmtId="37" fontId="11" fillId="0" borderId="0" xfId="0" applyNumberFormat="1" applyFont="1"/>
    <xf numFmtId="37" fontId="5" fillId="0" borderId="0" xfId="0" applyNumberFormat="1" applyFont="1"/>
    <xf numFmtId="165" fontId="10" fillId="0" borderId="0" xfId="1" applyNumberFormat="1" applyFont="1" applyBorder="1"/>
    <xf numFmtId="0" fontId="0" fillId="0" borderId="9" xfId="0" applyBorder="1"/>
    <xf numFmtId="37" fontId="2" fillId="0" borderId="7" xfId="0" applyNumberFormat="1" applyFont="1" applyBorder="1"/>
    <xf numFmtId="14" fontId="0" fillId="0" borderId="0" xfId="0" applyNumberFormat="1"/>
    <xf numFmtId="37" fontId="5" fillId="0" borderId="2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2" xfId="0" quotePrefix="1" applyBorder="1"/>
    <xf numFmtId="3" fontId="0" fillId="0" borderId="10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0" xfId="1" applyFont="1"/>
    <xf numFmtId="0" fontId="0" fillId="5" borderId="7" xfId="0" applyFill="1" applyBorder="1"/>
    <xf numFmtId="10" fontId="2" fillId="5" borderId="8" xfId="0" applyNumberFormat="1" applyFont="1" applyFill="1" applyBorder="1"/>
    <xf numFmtId="3" fontId="5" fillId="4" borderId="0" xfId="0" applyNumberFormat="1" applyFont="1" applyFill="1" applyAlignment="1">
      <alignment vertical="center"/>
    </xf>
    <xf numFmtId="167" fontId="0" fillId="0" borderId="4" xfId="0" applyNumberFormat="1" applyBorder="1" applyAlignment="1">
      <alignment horizontal="right"/>
    </xf>
    <xf numFmtId="168" fontId="2" fillId="0" borderId="0" xfId="0" applyNumberFormat="1" applyFont="1"/>
    <xf numFmtId="16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9" borderId="11" xfId="2"/>
    <xf numFmtId="2" fontId="13" fillId="6" borderId="12" xfId="3" applyNumberFormat="1" applyFont="1" applyAlignment="1">
      <alignment horizontal="center"/>
    </xf>
    <xf numFmtId="0" fontId="2" fillId="9" borderId="11" xfId="2" applyFont="1"/>
    <xf numFmtId="9" fontId="2" fillId="9" borderId="11" xfId="2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6" borderId="12" xfId="3" applyAlignment="1">
      <alignment horizontal="center"/>
    </xf>
    <xf numFmtId="0" fontId="2" fillId="8" borderId="0" xfId="5"/>
    <xf numFmtId="0" fontId="2" fillId="8" borderId="11" xfId="5" applyBorder="1" applyAlignment="1">
      <alignment horizontal="center"/>
    </xf>
    <xf numFmtId="0" fontId="2" fillId="8" borderId="6" xfId="5" applyBorder="1"/>
    <xf numFmtId="166" fontId="1" fillId="9" borderId="11" xfId="2" applyNumberFormat="1" applyAlignment="1">
      <alignment horizontal="right"/>
    </xf>
    <xf numFmtId="0" fontId="1" fillId="9" borderId="11" xfId="2" applyAlignment="1">
      <alignment horizontal="right"/>
    </xf>
    <xf numFmtId="0" fontId="2" fillId="8" borderId="0" xfId="5" applyAlignment="1">
      <alignment horizontal="center"/>
    </xf>
    <xf numFmtId="0" fontId="12" fillId="6" borderId="12" xfId="3"/>
    <xf numFmtId="3" fontId="12" fillId="6" borderId="12" xfId="3" applyNumberFormat="1"/>
    <xf numFmtId="0" fontId="0" fillId="7" borderId="13" xfId="4" applyFont="1" applyAlignment="1">
      <alignment horizontal="center"/>
    </xf>
    <xf numFmtId="0" fontId="1" fillId="7" borderId="13" xfId="4" applyAlignment="1">
      <alignment horizontal="center"/>
    </xf>
    <xf numFmtId="0" fontId="2" fillId="8" borderId="5" xfId="5" applyBorder="1"/>
  </cellXfs>
  <cellStyles count="6">
    <cellStyle name="Accent5" xfId="5" builtinId="45" customBuiltin="1"/>
    <cellStyle name="Input" xfId="2" builtinId="20" customBuiltin="1"/>
    <cellStyle name="Normal" xfId="0" builtinId="0"/>
    <cellStyle name="Note" xfId="4" builtinId="10"/>
    <cellStyle name="Output" xfId="3" builtinId="21"/>
    <cellStyle name="Percent" xfId="1" builtinId="5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3F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Unlevered FCF vs Present Value of FCF (₹ 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DCF!$B$53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DCF!$C$32:$N$32</c15:sqref>
                  </c15:fullRef>
                </c:ext>
              </c:extLst>
              <c:f>DCF!$J$32:$N$32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DCF!$C$53:$N$53</c15:sqref>
                  </c15:fullRef>
                </c:ext>
              </c:extLst>
              <c:f>DCF!$J$53:$N$53</c:f>
              <c:numCache>
                <c:formatCode>General</c:formatCode>
                <c:ptCount val="5"/>
                <c:pt idx="0" formatCode="#,##0_);\(#,##0\)">
                  <c:v>11650.557972951685</c:v>
                </c:pt>
                <c:pt idx="1" formatCode="#,##0_);\(#,##0\)">
                  <c:v>13235.876900000003</c:v>
                </c:pt>
                <c:pt idx="2" formatCode="#,##0_);\(#,##0\)">
                  <c:v>14763.981112500005</c:v>
                </c:pt>
                <c:pt idx="3" formatCode="#,##0_);\(#,##0\)">
                  <c:v>16292.085325000002</c:v>
                </c:pt>
                <c:pt idx="4" formatCode="#,##0_);\(#,##0\)">
                  <c:v>17820.189537500006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823200"/>
        <c:axId val="690823560"/>
      </c:barChart>
      <c:lineChart>
        <c:grouping val="standard"/>
        <c:varyColors val="0"/>
        <c:ser>
          <c:idx val="1"/>
          <c:order val="1"/>
          <c:tx>
            <c:strRef>
              <c:f>DCF!$B$54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2025</c:v>
              </c:pt>
              <c:pt idx="1">
                <c:v>2026</c:v>
              </c:pt>
              <c:pt idx="2">
                <c:v>2027</c:v>
              </c:pt>
              <c:pt idx="3">
                <c:v>2028</c:v>
              </c:pt>
              <c:pt idx="4">
                <c:v>2029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DCF!$C$54:$N$54</c15:sqref>
                  </c15:fullRef>
                </c:ext>
              </c:extLst>
              <c:f>DCF!$J$54:$N$54</c:f>
              <c:numCache>
                <c:formatCode>General</c:formatCode>
                <c:ptCount val="5"/>
                <c:pt idx="0" formatCode="#,##0_);\(#,##0\)">
                  <c:v>10219.787695571653</c:v>
                </c:pt>
                <c:pt idx="1" formatCode="#,##0_);\(#,##0\)">
                  <c:v>10184.577485380118</c:v>
                </c:pt>
                <c:pt idx="2" formatCode="#,##0_);\(#,##0\)">
                  <c:v>9965.2667166820574</c:v>
                </c:pt>
                <c:pt idx="3" formatCode="#,##0_);\(#,##0\)">
                  <c:v>9646.222398164793</c:v>
                </c:pt>
                <c:pt idx="4" formatCode="#,##0_);\(#,##0\)">
                  <c:v>9255.2480387301312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3200"/>
        <c:axId val="690823560"/>
      </c:lineChart>
      <c:catAx>
        <c:axId val="6908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560"/>
        <c:auto val="1"/>
        <c:lblAlgn val="ctr"/>
        <c:lblOffset val="100"/>
        <c:noMultiLvlLbl val="0"/>
      </c:catAx>
      <c:valAx>
        <c:axId val="69082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200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DCF!$C$59:$N$59</c15:sqref>
                  </c15:fullRef>
                </c:ext>
              </c:extLst>
              <c:f>DCF!$N$59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9-4445-B65C-4C5BA94AE9EE}"/>
            </c:ext>
          </c:extLst>
        </c:ser>
        <c:ser>
          <c:idx val="1"/>
          <c:order val="1"/>
          <c:tx>
            <c:strRef>
              <c:f>DCF!$B$60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DCF!$C$60:$N$60</c15:sqref>
                  </c15:fullRef>
                </c:ext>
              </c:extLst>
              <c:f>DCF!$N$60</c:f>
              <c:numCache>
                <c:formatCode>General</c:formatCode>
                <c:ptCount val="1"/>
                <c:pt idx="0" formatCode="[$₹-439]#,##0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9-4445-B65C-4C5BA94AE9EE}"/>
            </c:ext>
          </c:extLst>
        </c:ser>
        <c:ser>
          <c:idx val="2"/>
          <c:order val="2"/>
          <c:tx>
            <c:strRef>
              <c:f>DCF!$B$61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DCF!$C$61:$N$61</c15:sqref>
                  </c15:fullRef>
                </c:ext>
              </c:extLst>
              <c:f>DCF!$N$61</c:f>
              <c:numCache>
                <c:formatCode>General</c:formatCode>
                <c:ptCount val="1"/>
                <c:pt idx="0" formatCode="#,##0_);\(#,##0\)">
                  <c:v>128055.6961197136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9-4445-B65C-4C5BA94A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689328"/>
        <c:axId val="586686448"/>
      </c:barChart>
      <c:catAx>
        <c:axId val="586689328"/>
        <c:scaling>
          <c:orientation val="minMax"/>
        </c:scaling>
        <c:delete val="1"/>
        <c:axPos val="b"/>
        <c:majorTickMark val="out"/>
        <c:minorTickMark val="none"/>
        <c:tickLblPos val="nextTo"/>
        <c:crossAx val="586686448"/>
        <c:crosses val="autoZero"/>
        <c:auto val="1"/>
        <c:lblAlgn val="ctr"/>
        <c:lblOffset val="100"/>
        <c:noMultiLvlLbl val="0"/>
      </c:catAx>
      <c:valAx>
        <c:axId val="5866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Enterprise Value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DCF!$C$54:$N$54</c15:sqref>
                  </c15:fullRef>
                </c:ext>
              </c:extLst>
              <c:f>DCF!$N$54</c:f>
              <c:numCache>
                <c:formatCode>General</c:formatCode>
                <c:ptCount val="1"/>
                <c:pt idx="0" formatCode="#,##0_);\(#,##0\)">
                  <c:v>9255.2480387301312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8-44D8-92DF-9D561F34816B}"/>
            </c:ext>
          </c:extLst>
        </c:ser>
        <c:ser>
          <c:idx val="2"/>
          <c:order val="2"/>
          <c:tx>
            <c:strRef>
              <c:f>DCF!$B$56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DCF!$C$56:$N$56</c15:sqref>
                  </c15:fullRef>
                </c:ext>
              </c:extLst>
              <c:f>DCF!$N$56</c:f>
              <c:numCache>
                <c:formatCode>General</c:formatCode>
                <c:ptCount val="1"/>
                <c:pt idx="0" formatCode="#,##0_);\(#,##0\)">
                  <c:v>207902.21127083339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8-44D8-92DF-9D561F34816B}"/>
            </c:ext>
          </c:extLst>
        </c:ser>
        <c:ser>
          <c:idx val="4"/>
          <c:order val="4"/>
          <c:tx>
            <c:strRef>
              <c:f>DCF!$B$58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DCF!$C$58:$N$58</c15:sqref>
                  </c15:fullRef>
                </c:ext>
              </c:extLst>
              <c:f>DCF!$N$58</c:f>
              <c:numCache>
                <c:formatCode>General</c:formatCode>
                <c:ptCount val="1"/>
                <c:pt idx="0" formatCode="#,##0_);\(#,##0\)">
                  <c:v>157248.99611971361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8-44D8-92DF-9D561F3481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91571216"/>
        <c:axId val="691572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DCF!$C$55:$N$55</c15:sqref>
                        </c15:fullRef>
                        <c15:formulaRef>
                          <c15:sqref>DCF!$N$55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A8-44D8-92DF-9D561F34816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DCF!$B$57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DCF!$C$57:$N$57</c15:sqref>
                        </c15:fullRef>
                        <c15:formulaRef>
                          <c15:sqref>DCF!$N$57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107977.89378518486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7A8-44D8-92DF-9D561F34816B}"/>
                  </c:ext>
                </c:extLst>
              </c15:ser>
            </c15:filteredBarSeries>
          </c:ext>
        </c:extLst>
      </c:barChart>
      <c:catAx>
        <c:axId val="691571216"/>
        <c:scaling>
          <c:orientation val="minMax"/>
        </c:scaling>
        <c:delete val="1"/>
        <c:axPos val="l"/>
        <c:majorTickMark val="out"/>
        <c:minorTickMark val="none"/>
        <c:tickLblPos val="nextTo"/>
        <c:crossAx val="691572296"/>
        <c:crosses val="autoZero"/>
        <c:auto val="1"/>
        <c:lblAlgn val="ctr"/>
        <c:lblOffset val="100"/>
        <c:noMultiLvlLbl val="0"/>
      </c:catAx>
      <c:valAx>
        <c:axId val="69157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11</xdr:row>
      <xdr:rowOff>0</xdr:rowOff>
    </xdr:from>
    <xdr:to>
      <xdr:col>23</xdr:col>
      <xdr:colOff>19050</xdr:colOff>
      <xdr:row>31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A03096-BDE4-FAAC-3E9A-D6DF9286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542925</xdr:colOff>
      <xdr:row>17</xdr:row>
      <xdr:rowOff>90486</xdr:rowOff>
    </xdr:from>
    <xdr:to>
      <xdr:col>31</xdr:col>
      <xdr:colOff>600075</xdr:colOff>
      <xdr:row>33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7D6B9A-8B17-0CE0-60B8-055A1D78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533400</xdr:colOff>
      <xdr:row>2</xdr:row>
      <xdr:rowOff>176212</xdr:rowOff>
    </xdr:from>
    <xdr:to>
      <xdr:col>31</xdr:col>
      <xdr:colOff>600075</xdr:colOff>
      <xdr:row>17</xdr:row>
      <xdr:rowOff>61912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289BF7-3145-6183-A25B-D19A821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2024.09.13-Advanced-DCF-Part-2.xlsx" TargetMode="External"/><Relationship Id="rId1" Type="http://schemas.openxmlformats.org/officeDocument/2006/relationships/externalLinkPath" Target="file:///C:\Users\Pratyush%20singh\Downloads\2024.09.13-Advanced-DCF-Part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perating Model"/>
      <sheetName val="DCF&gt;&gt;&gt;"/>
      <sheetName val="Consolidated"/>
      <sheetName val="North America"/>
      <sheetName val="International"/>
      <sheetName val="AWS"/>
      <sheetName val="WACC"/>
      <sheetName val="Shares"/>
      <sheetName val="FS&gt;&gt;&gt;"/>
      <sheetName val="Segments"/>
      <sheetName val="IS"/>
      <sheetName val="CFS"/>
      <sheetName val="CapEx"/>
    </sheetNames>
    <sheetDataSet>
      <sheetData sheetId="0"/>
      <sheetData sheetId="1">
        <row r="10">
          <cell r="L10">
            <v>8.4389860337395248E-2</v>
          </cell>
        </row>
        <row r="11">
          <cell r="L11">
            <v>2.5000000000000001E-2</v>
          </cell>
        </row>
      </sheetData>
      <sheetData sheetId="2"/>
      <sheetData sheetId="3"/>
      <sheetData sheetId="4"/>
      <sheetData sheetId="5"/>
      <sheetData sheetId="6"/>
      <sheetData sheetId="7">
        <row r="22">
          <cell r="F22">
            <v>8.4389860337395248E-2</v>
          </cell>
        </row>
      </sheetData>
      <sheetData sheetId="8">
        <row r="14">
          <cell r="E14">
            <v>10876.066881000001</v>
          </cell>
        </row>
      </sheetData>
      <sheetData sheetId="9"/>
      <sheetData sheetId="10">
        <row r="6">
          <cell r="C6">
            <v>63708</v>
          </cell>
        </row>
      </sheetData>
      <sheetData sheetId="11">
        <row r="30">
          <cell r="C30">
            <v>1568</v>
          </cell>
        </row>
      </sheetData>
      <sheetData sheetId="12">
        <row r="12">
          <cell r="C12">
            <v>5646</v>
          </cell>
        </row>
      </sheetData>
      <sheetData sheetId="1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6FE5F-5CCD-4ECB-A997-7E3D8F8F1F7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1" tableColumnId="2"/>
      <queryTableField id="3" name="Mar '20" tableColumnId="3"/>
      <queryTableField id="4" name="Mar '19" tableColumnId="4"/>
      <queryTableField id="5" name="Mar '18" tableColumnId="5"/>
      <queryTableField id="6" name="Mar '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5D593-BD4B-4D21-9E1F-624B8C4CC199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dataBound="0" tableColumnId="3"/>
      <queryTableField id="4" name="Mar '20" tableColumnId="4"/>
      <queryTableField id="5" name="Mar '19" tableColumnId="5"/>
      <queryTableField id="6" name="Mar '18" tableColumnId="6"/>
    </queryTableFields>
    <queryTableDeletedFields count="1">
      <deletedField name="Mar '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6C1BFB-1A7F-4A8D-8367-BBD047BDE5B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name="Mar '21" tableColumnId="3"/>
      <queryTableField id="4" name="Mar '20" tableColumnId="4"/>
      <queryTableField id="5" name="Mar '19" tableColumnId="5"/>
      <queryTableField id="6" name="Mar '1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C4EEC6-B65F-4505-9E68-298AB3E4B245}" name="Sheet15" displayName="Sheet15" ref="A1:F17" tableType="queryTable" totalsRowShown="0" headerRowDxfId="1" dataDxfId="0">
  <autoFilter ref="A1:F17" xr:uid="{63C4EEC6-B65F-4505-9E68-298AB3E4B245}"/>
  <tableColumns count="6">
    <tableColumn id="7" xr3:uid="{8469B4C2-5FD0-4EB2-9043-61C9AFBFDA41}" uniqueName="7" name="Income Statement " queryTableFieldId="1" dataDxfId="7"/>
    <tableColumn id="2" xr3:uid="{07807E87-6766-4BF9-8E5D-89F3AACD2C5C}" uniqueName="2" name="Mar '20" queryTableFieldId="2" dataDxfId="6"/>
    <tableColumn id="3" xr3:uid="{179D3503-B32C-4848-9647-DB59B6FA61CB}" uniqueName="3" name="Mar '21" queryTableFieldId="3" dataDxfId="5"/>
    <tableColumn id="4" xr3:uid="{41674935-8792-49E6-81E5-18F37ED85B28}" uniqueName="4" name="Mar '22" queryTableFieldId="4" dataDxfId="4"/>
    <tableColumn id="5" xr3:uid="{BC3A66AB-1B2D-41E2-9E9F-7A14D8AC0781}" uniqueName="5" name="Mar '23" queryTableFieldId="5" dataDxfId="3"/>
    <tableColumn id="6" xr3:uid="{47D4B7C5-F26B-40D8-860C-67A5FE8C09F2}" uniqueName="6" name="Mar '24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0823-AB18-4CA0-8BF0-9E31EB783D39}" name="Table2_2" displayName="Table2_2" ref="A1:F36" tableType="queryTable" totalsRowShown="0">
  <autoFilter ref="A1:F36" xr:uid="{8D1B0823-AB18-4CA0-8BF0-9E31EB783D39}"/>
  <tableColumns count="6">
    <tableColumn id="7" xr3:uid="{1E65E4EE-BB16-479D-B0BF-FC7E3D79DA3D}" uniqueName="7" name="Balance Sheet" queryTableFieldId="1" dataDxfId="21"/>
    <tableColumn id="2" xr3:uid="{A7BD020B-B678-4932-940D-B932D51A2E62}" uniqueName="2" name="Mar '20" queryTableFieldId="2" dataDxfId="20"/>
    <tableColumn id="3" xr3:uid="{4FB8B420-935F-4950-B5EF-644D22E61CB0}" uniqueName="3" name="Mar '21" queryTableFieldId="3" dataDxfId="19"/>
    <tableColumn id="4" xr3:uid="{0EA29550-B2A3-4CE0-B412-D8966709322C}" uniqueName="4" name="Mar '22" queryTableFieldId="4" dataDxfId="18"/>
    <tableColumn id="5" xr3:uid="{111A4E66-CC25-4BDD-A4D5-B425BD9AAB9F}" uniqueName="5" name="Mar '23" queryTableFieldId="5" dataDxfId="17"/>
    <tableColumn id="6" xr3:uid="{D6BC5D78-9187-4F3F-99B6-694C3BB49C3A}" uniqueName="6" name="Mar '24" queryTableFieldId="6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BBEE1-F664-4032-8E2A-6E0A3F64CF7B}" name="Table3_2" displayName="Table3_2" ref="A1:F10" tableType="queryTable" totalsRowShown="0" headerRowDxfId="15" dataDxfId="14">
  <autoFilter ref="A1:F10" xr:uid="{D09BBEE1-F664-4032-8E2A-6E0A3F64CF7B}"/>
  <tableColumns count="6">
    <tableColumn id="7" xr3:uid="{B7FE9437-30F6-44FE-9186-9E6A5684986B}" uniqueName="7" name="Cash Flow Statement" queryTableFieldId="1" dataDxfId="13"/>
    <tableColumn id="2" xr3:uid="{D256EE56-5237-4A7B-A2A4-7BDDE71E4D01}" uniqueName="2" name="Mar '20" queryTableFieldId="2" dataDxfId="12"/>
    <tableColumn id="3" xr3:uid="{2A7C15BD-6D42-48E3-8864-E0ECA4460E7C}" uniqueName="3" name="Mar '21" queryTableFieldId="3" dataDxfId="11"/>
    <tableColumn id="4" xr3:uid="{DC572B1C-113F-4A19-872C-D146444C0C8C}" uniqueName="4" name="Mar '22" queryTableFieldId="4" dataDxfId="10"/>
    <tableColumn id="5" xr3:uid="{A80E6F7A-7CC8-40A6-897C-B23750AC4FDA}" uniqueName="5" name="Mar '23" queryTableFieldId="5" dataDxfId="9"/>
    <tableColumn id="6" xr3:uid="{75CB87BC-EA07-4402-B9DC-48124E4F174C}" uniqueName="6" name="Mar '24" queryTableFieldId="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B809-01F9-423A-86DE-B06CCBE092C8}">
  <dimension ref="B2:AF63"/>
  <sheetViews>
    <sheetView tabSelected="1" topLeftCell="O1" workbookViewId="0">
      <selection activeCell="AG15" sqref="AG15"/>
    </sheetView>
  </sheetViews>
  <sheetFormatPr defaultRowHeight="15" x14ac:dyDescent="0.25"/>
  <cols>
    <col min="3" max="3" width="13.42578125" bestFit="1" customWidth="1"/>
    <col min="14" max="14" width="11.140625" bestFit="1" customWidth="1"/>
    <col min="17" max="17" width="16.42578125" bestFit="1" customWidth="1"/>
    <col min="18" max="23" width="11" customWidth="1"/>
  </cols>
  <sheetData>
    <row r="2" spans="2:32" ht="21" x14ac:dyDescent="0.35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60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 x14ac:dyDescent="0.25">
      <c r="B4" t="s">
        <v>59</v>
      </c>
      <c r="C4" s="4" t="s">
        <v>104</v>
      </c>
      <c r="E4" t="s">
        <v>60</v>
      </c>
      <c r="G4" s="50">
        <f>N63</f>
        <v>334.13097487205113</v>
      </c>
      <c r="M4" s="5"/>
      <c r="Q4" s="58" t="s">
        <v>121</v>
      </c>
      <c r="R4" s="59">
        <v>0.02</v>
      </c>
      <c r="S4" s="59">
        <v>0.03</v>
      </c>
      <c r="T4" s="59">
        <v>0.04</v>
      </c>
      <c r="U4" s="59">
        <v>0.05</v>
      </c>
      <c r="V4" s="59">
        <v>0.06</v>
      </c>
      <c r="W4" s="59">
        <v>7.0000000000000007E-2</v>
      </c>
    </row>
    <row r="5" spans="2:32" x14ac:dyDescent="0.25">
      <c r="B5" t="s">
        <v>61</v>
      </c>
      <c r="C5" s="6">
        <v>45650</v>
      </c>
      <c r="E5" t="s">
        <v>62</v>
      </c>
      <c r="G5" s="50">
        <v>735.42</v>
      </c>
      <c r="I5" t="s">
        <v>63</v>
      </c>
      <c r="K5" s="7">
        <f>G4/G5-1</f>
        <v>-0.54565965724069088</v>
      </c>
      <c r="M5" s="5"/>
      <c r="Q5" s="59">
        <v>0.12</v>
      </c>
      <c r="R5" s="57">
        <f t="dataTable" ref="R5:W9" dt2D="1" dtr="1" r1="D10" r2="D9"/>
        <v>328.43756019271558</v>
      </c>
      <c r="S5" s="57">
        <v>361.27093733754964</v>
      </c>
      <c r="T5" s="57">
        <v>402.31265876859226</v>
      </c>
      <c r="U5" s="57">
        <v>455.08058632278983</v>
      </c>
      <c r="V5" s="57">
        <v>525.43782306171977</v>
      </c>
      <c r="W5" s="57">
        <v>623.93795449622212</v>
      </c>
    </row>
    <row r="6" spans="2:32" x14ac:dyDescent="0.25">
      <c r="Q6" s="59">
        <v>0.13</v>
      </c>
      <c r="R6" s="57">
        <v>289.79953715101431</v>
      </c>
      <c r="S6" s="57">
        <v>315.72483152128024</v>
      </c>
      <c r="T6" s="57">
        <v>347.41130241827187</v>
      </c>
      <c r="U6" s="57">
        <v>387.01939103951156</v>
      </c>
      <c r="V6" s="57">
        <v>437.9440764096766</v>
      </c>
      <c r="W6" s="57">
        <v>505.84365690323017</v>
      </c>
    </row>
    <row r="7" spans="2:32" x14ac:dyDescent="0.25">
      <c r="B7" s="62" t="s">
        <v>64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Q7" s="59">
        <v>0.14000000000000001</v>
      </c>
      <c r="R7" s="57">
        <v>257.65795346049538</v>
      </c>
      <c r="S7" s="57">
        <v>278.51423202728336</v>
      </c>
      <c r="T7" s="57">
        <v>303.54176630742899</v>
      </c>
      <c r="U7" s="57">
        <v>334.13097487205113</v>
      </c>
      <c r="V7" s="57">
        <v>372.36748557782914</v>
      </c>
      <c r="W7" s="57">
        <v>421.52871362811493</v>
      </c>
    </row>
    <row r="8" spans="2:32" x14ac:dyDescent="0.25">
      <c r="B8" s="1" t="s">
        <v>65</v>
      </c>
      <c r="Q8" s="59">
        <v>0.15</v>
      </c>
      <c r="R8" s="57">
        <v>230.51132066469441</v>
      </c>
      <c r="S8" s="57">
        <v>247.55307088656318</v>
      </c>
      <c r="T8" s="57">
        <v>267.69332114877164</v>
      </c>
      <c r="U8" s="57">
        <v>291.86162146342195</v>
      </c>
      <c r="V8" s="57">
        <v>321.40065518132758</v>
      </c>
      <c r="W8" s="57">
        <v>358.32444732870988</v>
      </c>
    </row>
    <row r="9" spans="2:32" x14ac:dyDescent="0.25">
      <c r="B9" t="s">
        <v>66</v>
      </c>
      <c r="D9" s="8">
        <f>WACC!D23</f>
        <v>0.14000000000000001</v>
      </c>
      <c r="Q9" s="59">
        <v>0.16</v>
      </c>
      <c r="R9" s="57">
        <v>207.28726215575361</v>
      </c>
      <c r="S9" s="57">
        <v>221.39725555246059</v>
      </c>
      <c r="T9" s="57">
        <v>237.85891451528531</v>
      </c>
      <c r="U9" s="57">
        <v>257.31360238044181</v>
      </c>
      <c r="V9" s="57">
        <v>280.65922781862957</v>
      </c>
      <c r="W9" s="57">
        <v>309.1927700208592</v>
      </c>
    </row>
    <row r="10" spans="2:32" x14ac:dyDescent="0.25">
      <c r="B10" t="s">
        <v>67</v>
      </c>
      <c r="D10" s="8">
        <v>0.05</v>
      </c>
    </row>
    <row r="11" spans="2:32" x14ac:dyDescent="0.25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 x14ac:dyDescent="0.25">
      <c r="B12" s="62" t="s">
        <v>68</v>
      </c>
      <c r="C12" s="62"/>
      <c r="D12" s="62"/>
      <c r="E12" s="62">
        <v>2020</v>
      </c>
      <c r="F12" s="62">
        <f>E12+1</f>
        <v>2021</v>
      </c>
      <c r="G12" s="62">
        <f t="shared" ref="G12:K12" si="1">F12+1</f>
        <v>2022</v>
      </c>
      <c r="H12" s="62">
        <f t="shared" si="1"/>
        <v>2023</v>
      </c>
      <c r="I12" s="62">
        <f t="shared" si="1"/>
        <v>2024</v>
      </c>
      <c r="J12" s="62">
        <f t="shared" si="1"/>
        <v>2025</v>
      </c>
      <c r="K12" s="62">
        <f t="shared" si="1"/>
        <v>2026</v>
      </c>
      <c r="L12" s="62">
        <f t="shared" si="0"/>
        <v>2027</v>
      </c>
      <c r="M12" s="62">
        <f t="shared" si="0"/>
        <v>2028</v>
      </c>
      <c r="N12" s="62">
        <f t="shared" si="0"/>
        <v>2029</v>
      </c>
    </row>
    <row r="13" spans="2:32" x14ac:dyDescent="0.25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443877.7</v>
      </c>
      <c r="J13" s="10">
        <f>'Linear regression'!H5</f>
        <v>492958.85</v>
      </c>
      <c r="K13" s="10">
        <f>'Linear regression'!I5</f>
        <v>557300.07999999996</v>
      </c>
      <c r="L13" s="10">
        <f>'Linear regression'!J5</f>
        <v>621641.30999999994</v>
      </c>
      <c r="M13" s="10">
        <f>'Linear regression'!K5</f>
        <v>685982.54</v>
      </c>
      <c r="N13" s="10">
        <f>'Linear regression'!L5</f>
        <v>750323.77</v>
      </c>
    </row>
    <row r="14" spans="2:32" x14ac:dyDescent="0.25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I14" si="2">G13/F13-1</f>
        <v>0.11515465783862089</v>
      </c>
      <c r="H14" s="12">
        <f t="shared" si="2"/>
        <v>0.24543910584201556</v>
      </c>
      <c r="I14" s="12">
        <f t="shared" si="2"/>
        <v>0.2660509035648011</v>
      </c>
      <c r="J14" s="12">
        <f t="shared" ref="J14" si="3">J13/I13-1</f>
        <v>0.11057358817530138</v>
      </c>
      <c r="K14" s="12">
        <f t="shared" ref="K14" si="4">K13/J13-1</f>
        <v>0.13052048867770605</v>
      </c>
      <c r="L14" s="12">
        <f t="shared" ref="L14" si="5">L13/K13-1</f>
        <v>0.11545167910257614</v>
      </c>
      <c r="M14" s="12">
        <f t="shared" ref="M14" si="6">M13/L13-1</f>
        <v>0.10350217877251455</v>
      </c>
      <c r="N14" s="12">
        <f t="shared" ref="N14" si="7">N13/M13-1</f>
        <v>9.3794267708329659E-2</v>
      </c>
    </row>
    <row r="15" spans="2:32" x14ac:dyDescent="0.25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 x14ac:dyDescent="0.25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J13*8.5%</f>
        <v>41901.502249999998</v>
      </c>
      <c r="K16" s="10">
        <f t="shared" ref="K16:N16" si="8">K13*8.5%</f>
        <v>47370.506800000003</v>
      </c>
      <c r="L16" s="10">
        <f t="shared" si="8"/>
        <v>52839.511350000001</v>
      </c>
      <c r="M16" s="10">
        <f t="shared" si="8"/>
        <v>58308.515900000006</v>
      </c>
      <c r="N16" s="10">
        <f t="shared" si="8"/>
        <v>63777.520450000004</v>
      </c>
    </row>
    <row r="17" spans="2:14" x14ac:dyDescent="0.25">
      <c r="B17" s="11" t="s">
        <v>72</v>
      </c>
      <c r="C17" s="9"/>
      <c r="D17" s="9"/>
      <c r="E17" s="12">
        <f>E16/E13</f>
        <v>6.81223491342825E-2</v>
      </c>
      <c r="F17" s="12">
        <f t="shared" ref="F17:N17" si="9">F16/F13</f>
        <v>0.12790234746842691</v>
      </c>
      <c r="G17" s="12">
        <f t="shared" si="9"/>
        <v>8.7813353330446486E-2</v>
      </c>
      <c r="H17" s="12">
        <f t="shared" si="9"/>
        <v>9.1043017088980549E-2</v>
      </c>
      <c r="I17" s="12">
        <f t="shared" si="9"/>
        <v>0.13413221704987657</v>
      </c>
      <c r="J17" s="12">
        <f t="shared" si="9"/>
        <v>8.5000000000000006E-2</v>
      </c>
      <c r="K17" s="12">
        <f t="shared" si="9"/>
        <v>8.5000000000000006E-2</v>
      </c>
      <c r="L17" s="12">
        <f t="shared" si="9"/>
        <v>8.5000000000000006E-2</v>
      </c>
      <c r="M17" s="12">
        <f t="shared" si="9"/>
        <v>8.5000000000000006E-2</v>
      </c>
      <c r="N17" s="12">
        <f t="shared" si="9"/>
        <v>8.5000000000000006E-2</v>
      </c>
    </row>
    <row r="18" spans="2:14" x14ac:dyDescent="0.25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 x14ac:dyDescent="0.25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10475.375562499999</v>
      </c>
      <c r="K19" s="10">
        <f t="shared" ref="K19:N19" si="10">K16*25%</f>
        <v>11842.626700000001</v>
      </c>
      <c r="L19" s="10">
        <f t="shared" si="10"/>
        <v>13209.8778375</v>
      </c>
      <c r="M19" s="10">
        <f t="shared" si="10"/>
        <v>14577.128975000001</v>
      </c>
      <c r="N19" s="10">
        <f t="shared" si="10"/>
        <v>15944.380112500001</v>
      </c>
    </row>
    <row r="20" spans="2:14" x14ac:dyDescent="0.25">
      <c r="B20" s="11" t="s">
        <v>74</v>
      </c>
      <c r="C20" s="9"/>
      <c r="D20" s="9"/>
      <c r="E20" s="12">
        <f>E19/E13</f>
        <v>1.4971154111992416E-3</v>
      </c>
      <c r="F20" s="12">
        <f t="shared" ref="F20:N20" si="11">F19/F13</f>
        <v>1.006940716905029E-2</v>
      </c>
      <c r="G20" s="12">
        <f t="shared" si="11"/>
        <v>1.503087131310627E-2</v>
      </c>
      <c r="H20" s="12">
        <f t="shared" si="11"/>
        <v>2.0082703888931039E-3</v>
      </c>
      <c r="I20" s="12">
        <f t="shared" si="11"/>
        <v>-8.6771649037561474E-3</v>
      </c>
      <c r="J20" s="12">
        <f t="shared" si="11"/>
        <v>2.1250000000000002E-2</v>
      </c>
      <c r="K20" s="12">
        <f t="shared" si="11"/>
        <v>2.1250000000000002E-2</v>
      </c>
      <c r="L20" s="12">
        <f t="shared" si="11"/>
        <v>2.1250000000000002E-2</v>
      </c>
      <c r="M20" s="12">
        <f t="shared" si="11"/>
        <v>2.1250000000000002E-2</v>
      </c>
      <c r="N20" s="12">
        <f t="shared" si="11"/>
        <v>2.1250000000000002E-2</v>
      </c>
    </row>
    <row r="21" spans="2:14" x14ac:dyDescent="0.25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 x14ac:dyDescent="0.25">
      <c r="B22" s="62" t="s">
        <v>75</v>
      </c>
      <c r="C22" s="62"/>
      <c r="D22" s="62"/>
      <c r="E22" s="62">
        <f>E12</f>
        <v>2020</v>
      </c>
      <c r="F22" s="62">
        <f t="shared" ref="F22:N22" si="12">F12</f>
        <v>2021</v>
      </c>
      <c r="G22" s="62">
        <f t="shared" si="12"/>
        <v>2022</v>
      </c>
      <c r="H22" s="62">
        <f t="shared" si="12"/>
        <v>2023</v>
      </c>
      <c r="I22" s="62">
        <f t="shared" si="12"/>
        <v>2024</v>
      </c>
      <c r="J22" s="62">
        <f t="shared" si="12"/>
        <v>2025</v>
      </c>
      <c r="K22" s="62">
        <f t="shared" si="12"/>
        <v>2026</v>
      </c>
      <c r="L22" s="62">
        <f t="shared" si="12"/>
        <v>2027</v>
      </c>
      <c r="M22" s="62">
        <f t="shared" si="12"/>
        <v>2028</v>
      </c>
      <c r="N22" s="62">
        <f t="shared" si="12"/>
        <v>2029</v>
      </c>
    </row>
    <row r="23" spans="2:14" x14ac:dyDescent="0.25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 x14ac:dyDescent="0.25">
      <c r="B24" s="11" t="s">
        <v>72</v>
      </c>
      <c r="C24" s="9"/>
      <c r="D24" s="9"/>
      <c r="E24" s="12">
        <f>E23/$E$13</f>
        <v>8.1144185507483507E-2</v>
      </c>
      <c r="F24" s="12">
        <f t="shared" ref="F24:H24" si="13">F23/$E$13</f>
        <v>8.917816203613757E-2</v>
      </c>
      <c r="G24" s="12">
        <f t="shared" si="13"/>
        <v>9.4059977783761711E-2</v>
      </c>
      <c r="H24" s="12">
        <f t="shared" si="13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 x14ac:dyDescent="0.25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 x14ac:dyDescent="0.25">
      <c r="B26" s="9" t="s">
        <v>77</v>
      </c>
      <c r="C26" s="9"/>
      <c r="D26" s="9"/>
      <c r="E26" s="10">
        <v>0</v>
      </c>
      <c r="F26" s="10">
        <f>' CapEx &amp; NWC Forecast'!D6</f>
        <v>3084.6000000000058</v>
      </c>
      <c r="G26" s="10">
        <f>' CapEx &amp; NWC Forecast'!E6</f>
        <v>10568.399999999994</v>
      </c>
      <c r="H26" s="10">
        <f>' CapEx &amp; NWC Forecast'!F6</f>
        <v>2785.6999999999825</v>
      </c>
      <c r="I26" s="10">
        <f>' CapEx &amp; NWC Forecast'!G6</f>
        <v>-10609.899999999994</v>
      </c>
      <c r="J26" s="16"/>
      <c r="K26" s="16"/>
      <c r="L26" s="16"/>
      <c r="M26" s="16"/>
      <c r="N26" s="16"/>
    </row>
    <row r="27" spans="2:14" x14ac:dyDescent="0.25">
      <c r="B27" s="11" t="s">
        <v>72</v>
      </c>
      <c r="C27" s="9"/>
      <c r="D27" s="9"/>
      <c r="E27" s="12">
        <f>E26/$E$13</f>
        <v>0</v>
      </c>
      <c r="F27" s="12">
        <f t="shared" ref="F27:H27" si="14">F26/$E$13</f>
        <v>1.1682272191715632E-2</v>
      </c>
      <c r="G27" s="12">
        <f t="shared" si="14"/>
        <v>4.0025586925671777E-2</v>
      </c>
      <c r="H27" s="12">
        <f t="shared" si="14"/>
        <v>1.0550251457064763E-2</v>
      </c>
      <c r="I27" s="12">
        <f>I26/$E$13</f>
        <v>-4.0182759426468061E-2</v>
      </c>
      <c r="J27" s="13"/>
      <c r="K27" s="12"/>
      <c r="L27" s="12"/>
      <c r="M27" s="12"/>
      <c r="N27" s="12"/>
    </row>
    <row r="28" spans="2:14" x14ac:dyDescent="0.25">
      <c r="B28" s="9"/>
      <c r="C28" s="9"/>
      <c r="D28" s="9"/>
      <c r="E28" s="17"/>
      <c r="F28" s="17"/>
      <c r="G28" s="17"/>
      <c r="H28" s="17"/>
      <c r="I28" s="18"/>
      <c r="J28" s="17"/>
      <c r="K28" s="47"/>
      <c r="L28" s="17"/>
      <c r="M28" s="17"/>
      <c r="N28" s="17"/>
    </row>
    <row r="29" spans="2:14" x14ac:dyDescent="0.25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 x14ac:dyDescent="0.25">
      <c r="B30" s="11" t="s">
        <v>72</v>
      </c>
      <c r="C30" s="9"/>
      <c r="D30" s="9"/>
      <c r="E30" s="20">
        <f>E29/$E$13</f>
        <v>0</v>
      </c>
      <c r="F30" s="20">
        <f t="shared" ref="F30:H30" si="15">F29/$E$13</f>
        <v>3.7892585661853391E-2</v>
      </c>
      <c r="G30" s="20">
        <f t="shared" si="15"/>
        <v>2.7102977528877203E-2</v>
      </c>
      <c r="H30" s="20">
        <f t="shared" si="15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 x14ac:dyDescent="0.25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 x14ac:dyDescent="0.25">
      <c r="B32" s="62" t="s">
        <v>79</v>
      </c>
      <c r="C32" s="62"/>
      <c r="D32" s="62"/>
      <c r="E32" s="62">
        <f t="shared" ref="E32:N32" si="16">E22</f>
        <v>2020</v>
      </c>
      <c r="F32" s="62">
        <f t="shared" si="16"/>
        <v>2021</v>
      </c>
      <c r="G32" s="62">
        <f t="shared" si="16"/>
        <v>2022</v>
      </c>
      <c r="H32" s="62">
        <f t="shared" si="16"/>
        <v>2023</v>
      </c>
      <c r="I32" s="72">
        <f t="shared" si="16"/>
        <v>2024</v>
      </c>
      <c r="J32" s="62">
        <f t="shared" si="16"/>
        <v>2025</v>
      </c>
      <c r="K32" s="62">
        <f t="shared" si="16"/>
        <v>2026</v>
      </c>
      <c r="L32" s="62">
        <f t="shared" si="16"/>
        <v>2027</v>
      </c>
      <c r="M32" s="62">
        <f t="shared" si="16"/>
        <v>2028</v>
      </c>
      <c r="N32" s="62">
        <f t="shared" si="16"/>
        <v>2029</v>
      </c>
    </row>
    <row r="33" spans="2:14" x14ac:dyDescent="0.25">
      <c r="B33" t="s">
        <v>69</v>
      </c>
      <c r="E33" s="22">
        <f>E13</f>
        <v>264041.09999999998</v>
      </c>
      <c r="F33" s="22">
        <f t="shared" ref="F33:N33" si="17">F13</f>
        <v>252437.9</v>
      </c>
      <c r="G33" s="22">
        <f t="shared" si="17"/>
        <v>281507.3</v>
      </c>
      <c r="H33" s="22">
        <f t="shared" si="17"/>
        <v>350600.2</v>
      </c>
      <c r="I33" s="22">
        <f t="shared" si="17"/>
        <v>443877.7</v>
      </c>
      <c r="J33" s="22">
        <f t="shared" si="17"/>
        <v>492958.85</v>
      </c>
      <c r="K33" s="22">
        <f t="shared" si="17"/>
        <v>557300.07999999996</v>
      </c>
      <c r="L33" s="22">
        <f t="shared" si="17"/>
        <v>621641.30999999994</v>
      </c>
      <c r="M33" s="22">
        <f t="shared" si="17"/>
        <v>685982.54</v>
      </c>
      <c r="N33" s="22">
        <f t="shared" si="17"/>
        <v>750323.77</v>
      </c>
    </row>
    <row r="34" spans="2:14" x14ac:dyDescent="0.25">
      <c r="B34" s="23" t="s">
        <v>70</v>
      </c>
      <c r="E34" s="24">
        <f>E14</f>
        <v>0</v>
      </c>
      <c r="F34" s="24">
        <f t="shared" ref="F34:N34" si="18">F14</f>
        <v>-4.3944673764803932E-2</v>
      </c>
      <c r="G34" s="24">
        <f t="shared" si="18"/>
        <v>0.11515465783862089</v>
      </c>
      <c r="H34" s="24">
        <f t="shared" si="18"/>
        <v>0.24543910584201556</v>
      </c>
      <c r="I34" s="24">
        <f t="shared" si="18"/>
        <v>0.2660509035648011</v>
      </c>
      <c r="J34" s="24">
        <f t="shared" si="18"/>
        <v>0.11057358817530138</v>
      </c>
      <c r="K34" s="24">
        <f t="shared" si="18"/>
        <v>0.13052048867770605</v>
      </c>
      <c r="L34" s="24">
        <f t="shared" si="18"/>
        <v>0.11545167910257614</v>
      </c>
      <c r="M34" s="24">
        <f t="shared" si="18"/>
        <v>0.10350217877251455</v>
      </c>
      <c r="N34" s="24">
        <f t="shared" si="18"/>
        <v>9.3794267708329659E-2</v>
      </c>
    </row>
    <row r="35" spans="2:14" x14ac:dyDescent="0.25">
      <c r="I35" s="21"/>
    </row>
    <row r="36" spans="2:14" x14ac:dyDescent="0.25">
      <c r="B36" t="s">
        <v>71</v>
      </c>
      <c r="E36" s="22">
        <f>E16</f>
        <v>17987.099999999999</v>
      </c>
      <c r="F36" s="22">
        <f t="shared" ref="F36:N36" si="19">F16</f>
        <v>32287.4</v>
      </c>
      <c r="G36" s="22">
        <f t="shared" si="19"/>
        <v>24720.1</v>
      </c>
      <c r="H36" s="22">
        <f t="shared" si="19"/>
        <v>31919.7</v>
      </c>
      <c r="I36" s="22">
        <f t="shared" si="19"/>
        <v>59538.3</v>
      </c>
      <c r="J36" s="22">
        <f t="shared" si="19"/>
        <v>41901.502249999998</v>
      </c>
      <c r="K36" s="22">
        <f t="shared" si="19"/>
        <v>47370.506800000003</v>
      </c>
      <c r="L36" s="22">
        <f t="shared" si="19"/>
        <v>52839.511350000001</v>
      </c>
      <c r="M36" s="22">
        <f t="shared" si="19"/>
        <v>58308.515900000006</v>
      </c>
      <c r="N36" s="22">
        <f t="shared" si="19"/>
        <v>63777.520450000004</v>
      </c>
    </row>
    <row r="37" spans="2:14" x14ac:dyDescent="0.25">
      <c r="B37" s="23" t="s">
        <v>80</v>
      </c>
      <c r="E37" s="24">
        <f>E17</f>
        <v>6.81223491342825E-2</v>
      </c>
      <c r="F37" s="24">
        <f t="shared" ref="F37:N37" si="20">F17</f>
        <v>0.12790234746842691</v>
      </c>
      <c r="G37" s="24">
        <f t="shared" si="20"/>
        <v>8.7813353330446486E-2</v>
      </c>
      <c r="H37" s="24">
        <f t="shared" si="20"/>
        <v>9.1043017088980549E-2</v>
      </c>
      <c r="I37" s="24">
        <f t="shared" si="20"/>
        <v>0.13413221704987657</v>
      </c>
      <c r="J37" s="24">
        <f t="shared" si="20"/>
        <v>8.5000000000000006E-2</v>
      </c>
      <c r="K37" s="24">
        <f t="shared" si="20"/>
        <v>8.5000000000000006E-2</v>
      </c>
      <c r="L37" s="24">
        <f t="shared" si="20"/>
        <v>8.5000000000000006E-2</v>
      </c>
      <c r="M37" s="24">
        <f t="shared" si="20"/>
        <v>8.5000000000000006E-2</v>
      </c>
      <c r="N37" s="24">
        <f t="shared" si="20"/>
        <v>8.5000000000000006E-2</v>
      </c>
    </row>
    <row r="38" spans="2:14" x14ac:dyDescent="0.25">
      <c r="I38" s="21"/>
      <c r="K38" s="25"/>
      <c r="L38" s="25"/>
    </row>
    <row r="39" spans="2:14" x14ac:dyDescent="0.25">
      <c r="B39" t="s">
        <v>73</v>
      </c>
      <c r="E39" s="22">
        <f>E19</f>
        <v>395.3</v>
      </c>
      <c r="F39" s="22">
        <f t="shared" ref="F39:N39" si="21">F19</f>
        <v>2541.9</v>
      </c>
      <c r="G39" s="22">
        <f t="shared" si="21"/>
        <v>4231.3</v>
      </c>
      <c r="H39" s="22">
        <f t="shared" si="21"/>
        <v>704.1</v>
      </c>
      <c r="I39" s="22">
        <f t="shared" si="21"/>
        <v>-3851.6</v>
      </c>
      <c r="J39" s="22">
        <f t="shared" si="21"/>
        <v>10475.375562499999</v>
      </c>
      <c r="K39" s="22">
        <f t="shared" si="21"/>
        <v>11842.626700000001</v>
      </c>
      <c r="L39" s="22">
        <f t="shared" si="21"/>
        <v>13209.8778375</v>
      </c>
      <c r="M39" s="22">
        <f t="shared" si="21"/>
        <v>14577.128975000001</v>
      </c>
      <c r="N39" s="22">
        <f t="shared" si="21"/>
        <v>15944.380112500001</v>
      </c>
    </row>
    <row r="40" spans="2:14" x14ac:dyDescent="0.25">
      <c r="B40" s="23" t="s">
        <v>74</v>
      </c>
      <c r="E40" s="24">
        <f>E20</f>
        <v>1.4971154111992416E-3</v>
      </c>
      <c r="F40" s="24">
        <f t="shared" ref="F40:N40" si="22">F20</f>
        <v>1.006940716905029E-2</v>
      </c>
      <c r="G40" s="24">
        <f t="shared" si="22"/>
        <v>1.503087131310627E-2</v>
      </c>
      <c r="H40" s="24">
        <f t="shared" si="22"/>
        <v>2.0082703888931039E-3</v>
      </c>
      <c r="I40" s="24">
        <f t="shared" si="22"/>
        <v>-8.6771649037561474E-3</v>
      </c>
      <c r="J40" s="24">
        <f t="shared" si="22"/>
        <v>2.1250000000000002E-2</v>
      </c>
      <c r="K40" s="24">
        <f t="shared" si="22"/>
        <v>2.1250000000000002E-2</v>
      </c>
      <c r="L40" s="24">
        <f t="shared" si="22"/>
        <v>2.1250000000000002E-2</v>
      </c>
      <c r="M40" s="24">
        <f t="shared" si="22"/>
        <v>2.1250000000000002E-2</v>
      </c>
      <c r="N40" s="24">
        <f t="shared" si="22"/>
        <v>2.1250000000000002E-2</v>
      </c>
    </row>
    <row r="41" spans="2:14" x14ac:dyDescent="0.25">
      <c r="I41" s="21"/>
    </row>
    <row r="42" spans="2:14" x14ac:dyDescent="0.25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31426.1266875</v>
      </c>
      <c r="K42" s="29">
        <f t="shared" ref="K42:N42" si="23">K36-K39</f>
        <v>35527.880100000002</v>
      </c>
      <c r="L42" s="29">
        <f t="shared" si="23"/>
        <v>39629.633512500004</v>
      </c>
      <c r="M42" s="29">
        <f t="shared" si="23"/>
        <v>43731.386925000006</v>
      </c>
      <c r="N42" s="29">
        <f t="shared" si="23"/>
        <v>47833.140337500001</v>
      </c>
    </row>
    <row r="43" spans="2:14" x14ac:dyDescent="0.25">
      <c r="I43" s="21"/>
      <c r="K43" s="30"/>
    </row>
    <row r="44" spans="2:14" x14ac:dyDescent="0.25">
      <c r="B44" t="s">
        <v>76</v>
      </c>
      <c r="E44" s="22">
        <f>E23</f>
        <v>21425.4</v>
      </c>
      <c r="F44" s="22">
        <f t="shared" ref="F44:I44" si="24">F23</f>
        <v>23546.7</v>
      </c>
      <c r="G44" s="22">
        <f t="shared" si="24"/>
        <v>24835.7</v>
      </c>
      <c r="H44" s="22">
        <f t="shared" si="24"/>
        <v>24860.400000000001</v>
      </c>
      <c r="I44" s="22">
        <f t="shared" si="24"/>
        <v>27270.1</v>
      </c>
      <c r="J44" s="22">
        <f>J13*5%</f>
        <v>24647.942500000001</v>
      </c>
      <c r="K44" s="22">
        <f t="shared" ref="K44:N44" si="25">K13*5%</f>
        <v>27865.004000000001</v>
      </c>
      <c r="L44" s="22">
        <f t="shared" si="25"/>
        <v>31082.065499999997</v>
      </c>
      <c r="M44" s="22">
        <f t="shared" si="25"/>
        <v>34299.127</v>
      </c>
      <c r="N44" s="22">
        <f t="shared" si="25"/>
        <v>37516.188500000004</v>
      </c>
    </row>
    <row r="45" spans="2:14" x14ac:dyDescent="0.25">
      <c r="B45" s="23" t="s">
        <v>72</v>
      </c>
      <c r="E45" s="24">
        <f>E24</f>
        <v>8.1144185507483507E-2</v>
      </c>
      <c r="F45" s="24">
        <f t="shared" ref="F45:I45" si="26">F24</f>
        <v>8.917816203613757E-2</v>
      </c>
      <c r="G45" s="24">
        <f t="shared" si="26"/>
        <v>9.4059977783761711E-2</v>
      </c>
      <c r="H45" s="24">
        <f t="shared" si="26"/>
        <v>9.4153523826404309E-2</v>
      </c>
      <c r="I45" s="24">
        <f t="shared" si="26"/>
        <v>0.10327975455336309</v>
      </c>
      <c r="J45" s="31">
        <f>J44/$E$13</f>
        <v>9.3348885836333828E-2</v>
      </c>
      <c r="K45" s="31">
        <f t="shared" ref="K45:N45" si="27">K44/$E$13</f>
        <v>0.10553282803321151</v>
      </c>
      <c r="L45" s="31">
        <f t="shared" si="27"/>
        <v>0.11771677023008918</v>
      </c>
      <c r="M45" s="31">
        <f t="shared" si="27"/>
        <v>0.12990071242696688</v>
      </c>
      <c r="N45" s="31">
        <f t="shared" si="27"/>
        <v>0.14208465462384456</v>
      </c>
    </row>
    <row r="46" spans="2:14" x14ac:dyDescent="0.25">
      <c r="I46" s="21"/>
    </row>
    <row r="47" spans="2:14" x14ac:dyDescent="0.25">
      <c r="B47" t="s">
        <v>77</v>
      </c>
      <c r="E47" s="22">
        <f>E26</f>
        <v>0</v>
      </c>
      <c r="F47" s="22">
        <f t="shared" ref="F47:I47" si="28">F26</f>
        <v>3084.6000000000058</v>
      </c>
      <c r="G47" s="22">
        <f t="shared" si="28"/>
        <v>10568.399999999994</v>
      </c>
      <c r="H47" s="22">
        <f t="shared" si="28"/>
        <v>2785.6999999999825</v>
      </c>
      <c r="I47" s="22">
        <f t="shared" si="28"/>
        <v>-10609.899999999994</v>
      </c>
      <c r="J47" s="22">
        <f>J13*8.3%</f>
        <v>40915.58455</v>
      </c>
      <c r="K47" s="22">
        <f t="shared" ref="K47:N47" si="29">K13*8.3%</f>
        <v>46255.906640000001</v>
      </c>
      <c r="L47" s="22">
        <f t="shared" si="29"/>
        <v>51596.228729999995</v>
      </c>
      <c r="M47" s="22">
        <f t="shared" si="29"/>
        <v>56936.550820000004</v>
      </c>
      <c r="N47" s="22">
        <f t="shared" si="29"/>
        <v>62276.872910000006</v>
      </c>
    </row>
    <row r="48" spans="2:14" x14ac:dyDescent="0.25">
      <c r="B48" s="23" t="s">
        <v>72</v>
      </c>
      <c r="E48" s="24">
        <f>E27</f>
        <v>0</v>
      </c>
      <c r="F48" s="24">
        <f t="shared" ref="F48:I48" si="30">F27</f>
        <v>1.1682272191715632E-2</v>
      </c>
      <c r="G48" s="24">
        <f t="shared" si="30"/>
        <v>4.0025586925671777E-2</v>
      </c>
      <c r="H48" s="24">
        <f t="shared" si="30"/>
        <v>1.0550251457064763E-2</v>
      </c>
      <c r="I48" s="24">
        <f t="shared" si="30"/>
        <v>-4.0182759426468061E-2</v>
      </c>
      <c r="J48" s="31">
        <f>J47/$E$13</f>
        <v>0.15495915048831413</v>
      </c>
      <c r="K48" s="31">
        <f t="shared" ref="K48:N48" si="31">K47/$E$13</f>
        <v>0.1751844945351311</v>
      </c>
      <c r="L48" s="31">
        <f t="shared" si="31"/>
        <v>0.19540983858194805</v>
      </c>
      <c r="M48" s="31">
        <f t="shared" si="31"/>
        <v>0.21563518262876502</v>
      </c>
      <c r="N48" s="31">
        <f t="shared" si="31"/>
        <v>0.23586052667558199</v>
      </c>
    </row>
    <row r="49" spans="2:15" x14ac:dyDescent="0.25">
      <c r="I49" s="21"/>
    </row>
    <row r="50" spans="2:15" x14ac:dyDescent="0.25">
      <c r="B50" t="s">
        <v>78</v>
      </c>
      <c r="E50" s="32">
        <f>E29</f>
        <v>0</v>
      </c>
      <c r="F50" s="32">
        <f t="shared" ref="F50:I50" si="32">F29</f>
        <v>10005.199999999997</v>
      </c>
      <c r="G50" s="32">
        <f t="shared" si="32"/>
        <v>7156.3000000000175</v>
      </c>
      <c r="H50" s="32">
        <f t="shared" si="32"/>
        <v>206.5</v>
      </c>
      <c r="I50" s="32">
        <f t="shared" si="32"/>
        <v>-1726</v>
      </c>
      <c r="J50" s="33">
        <f>J51*J33</f>
        <v>3507.9266645483203</v>
      </c>
      <c r="K50" s="33">
        <f>K51*K33</f>
        <v>3901.1005599999999</v>
      </c>
      <c r="L50" s="33">
        <f t="shared" ref="L50:N50" si="33">L51*L33</f>
        <v>4351.4891699999998</v>
      </c>
      <c r="M50" s="33">
        <f t="shared" si="33"/>
        <v>4801.8777800000007</v>
      </c>
      <c r="N50" s="33">
        <f t="shared" si="33"/>
        <v>5252.2663900000007</v>
      </c>
    </row>
    <row r="51" spans="2:15" x14ac:dyDescent="0.25">
      <c r="B51" s="23" t="s">
        <v>72</v>
      </c>
      <c r="E51" s="34">
        <f>E30</f>
        <v>0</v>
      </c>
      <c r="F51" s="34">
        <f t="shared" ref="F51:H51" si="34">F30</f>
        <v>3.7892585661853391E-2</v>
      </c>
      <c r="G51" s="34">
        <f t="shared" si="34"/>
        <v>2.7102977528877203E-2</v>
      </c>
      <c r="H51" s="34">
        <f t="shared" si="34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  <c r="O51" s="34"/>
    </row>
    <row r="52" spans="2:15" x14ac:dyDescent="0.25">
      <c r="I52" s="35"/>
    </row>
    <row r="53" spans="2:15" x14ac:dyDescent="0.25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11650.557972951685</v>
      </c>
      <c r="K53" s="36">
        <f t="shared" ref="K53:N53" si="35">K42+K44-K47-K50</f>
        <v>13235.876900000003</v>
      </c>
      <c r="L53" s="36">
        <f t="shared" si="35"/>
        <v>14763.981112500005</v>
      </c>
      <c r="M53" s="36">
        <f t="shared" si="35"/>
        <v>16292.085325000002</v>
      </c>
      <c r="N53" s="36">
        <f t="shared" si="35"/>
        <v>17820.189537500006</v>
      </c>
    </row>
    <row r="54" spans="2:15" x14ac:dyDescent="0.25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10219.787695571653</v>
      </c>
      <c r="K54" s="36">
        <f t="shared" ref="K54:N54" si="36">K53/(1+$D$9)^K31</f>
        <v>10184.577485380118</v>
      </c>
      <c r="L54" s="36">
        <f t="shared" si="36"/>
        <v>9965.2667166820574</v>
      </c>
      <c r="M54" s="36">
        <f t="shared" si="36"/>
        <v>9646.222398164793</v>
      </c>
      <c r="N54" s="36">
        <f t="shared" si="36"/>
        <v>9255.2480387301312</v>
      </c>
    </row>
    <row r="55" spans="2:15" x14ac:dyDescent="0.25">
      <c r="J55" s="37"/>
    </row>
    <row r="56" spans="2:15" x14ac:dyDescent="0.25">
      <c r="B56" t="s">
        <v>84</v>
      </c>
      <c r="J56" s="37"/>
      <c r="N56" s="33">
        <f>(N53*(1+D10))/(D9-D10)</f>
        <v>207902.21127083339</v>
      </c>
    </row>
    <row r="57" spans="2:15" x14ac:dyDescent="0.25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107977.89378518486</v>
      </c>
    </row>
    <row r="58" spans="2:15" x14ac:dyDescent="0.25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157248.99611971361</v>
      </c>
    </row>
    <row r="59" spans="2:15" x14ac:dyDescent="0.25">
      <c r="B59" s="40" t="s">
        <v>87</v>
      </c>
      <c r="N59" s="48">
        <f>BS!F28</f>
        <v>45806.7</v>
      </c>
    </row>
    <row r="60" spans="2:15" x14ac:dyDescent="0.25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8">
        <f>WACC!D9</f>
        <v>75000</v>
      </c>
    </row>
    <row r="61" spans="2:15" x14ac:dyDescent="0.25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128055.6961197136</v>
      </c>
    </row>
    <row r="62" spans="2:15" x14ac:dyDescent="0.25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5" x14ac:dyDescent="0.25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9">
        <f>N61/N62</f>
        <v>334.13097487205113</v>
      </c>
    </row>
  </sheetData>
  <conditionalFormatting sqref="Q4:W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573-67BB-43F0-86B9-BE72205EE17D}">
  <dimension ref="B2:L9"/>
  <sheetViews>
    <sheetView workbookViewId="0">
      <selection activeCell="H16" sqref="H16"/>
    </sheetView>
  </sheetViews>
  <sheetFormatPr defaultRowHeight="15" x14ac:dyDescent="0.25"/>
  <cols>
    <col min="1" max="2" width="11.42578125" bestFit="1" customWidth="1"/>
    <col min="5" max="5" width="11.28515625" customWidth="1"/>
  </cols>
  <sheetData>
    <row r="2" spans="2:12" x14ac:dyDescent="0.25">
      <c r="E2" s="62" t="s">
        <v>109</v>
      </c>
      <c r="F2" s="62"/>
      <c r="G2" s="62"/>
      <c r="H2" s="62"/>
      <c r="I2" s="62"/>
    </row>
    <row r="4" spans="2:12" x14ac:dyDescent="0.25">
      <c r="B4" s="56" t="s">
        <v>110</v>
      </c>
      <c r="C4" s="56">
        <v>1</v>
      </c>
      <c r="D4" s="56">
        <v>2</v>
      </c>
      <c r="E4" s="56">
        <v>3</v>
      </c>
      <c r="F4" s="56">
        <v>4</v>
      </c>
      <c r="G4" s="56">
        <v>5</v>
      </c>
      <c r="H4" s="56">
        <v>6</v>
      </c>
      <c r="I4" s="56">
        <v>7</v>
      </c>
      <c r="J4" s="56">
        <v>8</v>
      </c>
      <c r="K4" s="56">
        <v>9</v>
      </c>
      <c r="L4" s="56">
        <v>10</v>
      </c>
    </row>
    <row r="5" spans="2:12" x14ac:dyDescent="0.25">
      <c r="B5" s="56" t="s">
        <v>111</v>
      </c>
      <c r="C5" s="68"/>
      <c r="D5" s="69">
        <f>DCF!F13</f>
        <v>252437.9</v>
      </c>
      <c r="E5" s="69">
        <f>DCF!G13</f>
        <v>281507.3</v>
      </c>
      <c r="F5" s="69">
        <f>DCF!H13</f>
        <v>350600.2</v>
      </c>
      <c r="G5" s="69">
        <f>DCF!I13</f>
        <v>443877.7</v>
      </c>
      <c r="H5" s="69">
        <f>$D$9*H4+$E$9</f>
        <v>492958.85</v>
      </c>
      <c r="I5" s="69">
        <f>$D$9*I4+$E$9</f>
        <v>557300.07999999996</v>
      </c>
      <c r="J5" s="69">
        <f>$D$9*J4+$E$9</f>
        <v>621641.30999999994</v>
      </c>
      <c r="K5" s="69">
        <f>$D$9*K4+$E$9</f>
        <v>685982.54</v>
      </c>
      <c r="L5" s="69">
        <f>$D$9*L4+$E$9</f>
        <v>750323.77</v>
      </c>
    </row>
    <row r="8" spans="2:12" x14ac:dyDescent="0.25">
      <c r="D8" s="67" t="s">
        <v>112</v>
      </c>
      <c r="E8" s="67" t="s">
        <v>113</v>
      </c>
    </row>
    <row r="9" spans="2:12" x14ac:dyDescent="0.25">
      <c r="D9" s="70">
        <f>SLOPE(D5:G5,D4:G4)</f>
        <v>64341.23</v>
      </c>
      <c r="E9" s="71">
        <f>INTERCEPT(D5:G5,D4:G4)</f>
        <v>106911.46999999994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8AB-D2BB-42B5-801C-4C106506A3EE}">
  <dimension ref="B2:O8"/>
  <sheetViews>
    <sheetView workbookViewId="0">
      <selection activeCell="J5" sqref="J5:J8"/>
    </sheetView>
  </sheetViews>
  <sheetFormatPr defaultRowHeight="15" x14ac:dyDescent="0.25"/>
  <cols>
    <col min="2" max="2" width="16.7109375" bestFit="1" customWidth="1"/>
    <col min="4" max="8" width="9" bestFit="1" customWidth="1"/>
    <col min="10" max="10" width="26.5703125" bestFit="1" customWidth="1"/>
    <col min="13" max="17" width="9" bestFit="1" customWidth="1"/>
  </cols>
  <sheetData>
    <row r="2" spans="2:15" x14ac:dyDescent="0.25">
      <c r="C2" s="62"/>
      <c r="D2" s="62" t="s">
        <v>119</v>
      </c>
      <c r="E2" s="62"/>
      <c r="F2" s="62"/>
      <c r="K2" s="62"/>
      <c r="L2" s="62" t="s">
        <v>117</v>
      </c>
      <c r="M2" s="62"/>
      <c r="N2" s="62"/>
    </row>
    <row r="4" spans="2:15" x14ac:dyDescent="0.25">
      <c r="B4" s="51"/>
      <c r="C4" s="63">
        <v>1</v>
      </c>
      <c r="D4" s="63">
        <v>2</v>
      </c>
      <c r="E4" s="63">
        <v>3</v>
      </c>
      <c r="F4" s="63">
        <v>4</v>
      </c>
      <c r="G4" s="63">
        <v>5</v>
      </c>
      <c r="J4" s="51"/>
      <c r="K4" s="63">
        <v>1</v>
      </c>
      <c r="L4" s="63">
        <v>2</v>
      </c>
      <c r="M4" s="63">
        <v>3</v>
      </c>
      <c r="N4" s="63">
        <v>4</v>
      </c>
      <c r="O4" s="63">
        <v>5</v>
      </c>
    </row>
    <row r="5" spans="2:15" x14ac:dyDescent="0.25">
      <c r="B5" s="63" t="s">
        <v>33</v>
      </c>
      <c r="C5" s="61">
        <f>BS!B16</f>
        <v>161952.4</v>
      </c>
      <c r="D5" s="61">
        <f>BS!C16</f>
        <v>158867.79999999999</v>
      </c>
      <c r="E5" s="61">
        <f>BS!D16</f>
        <v>148299.4</v>
      </c>
      <c r="F5" s="61">
        <f>BS!E16</f>
        <v>145513.70000000001</v>
      </c>
      <c r="G5" s="61">
        <f>BS!F16</f>
        <v>156123.6</v>
      </c>
      <c r="J5" s="63" t="s">
        <v>107</v>
      </c>
      <c r="K5" s="61">
        <f>BS!B25</f>
        <v>119587.3</v>
      </c>
      <c r="L5" s="61">
        <f>BS!C25</f>
        <v>146887.6</v>
      </c>
      <c r="M5" s="61">
        <f>BS!D25</f>
        <v>146977.5</v>
      </c>
      <c r="N5" s="61">
        <f>BS!E25</f>
        <v>151528.5</v>
      </c>
      <c r="O5" s="61">
        <f>BS!F25</f>
        <v>168392.2</v>
      </c>
    </row>
    <row r="6" spans="2:15" x14ac:dyDescent="0.25">
      <c r="B6" s="63" t="s">
        <v>77</v>
      </c>
      <c r="C6" s="61"/>
      <c r="D6" s="61">
        <f>C5-D5</f>
        <v>3084.6000000000058</v>
      </c>
      <c r="E6" s="61">
        <f t="shared" ref="E6:G6" si="0">D5-E5</f>
        <v>10568.399999999994</v>
      </c>
      <c r="F6" s="61">
        <f t="shared" si="0"/>
        <v>2785.6999999999825</v>
      </c>
      <c r="G6" s="61">
        <f t="shared" si="0"/>
        <v>-10609.899999999994</v>
      </c>
      <c r="J6" s="63" t="s">
        <v>106</v>
      </c>
      <c r="K6" s="61">
        <f>BS!B11</f>
        <v>140454.1</v>
      </c>
      <c r="L6" s="61">
        <f>BS!C11</f>
        <v>157749.20000000001</v>
      </c>
      <c r="M6" s="61">
        <f>BS!D11</f>
        <v>150682.79999999999</v>
      </c>
      <c r="N6" s="61">
        <f>BS!E11</f>
        <v>155027.29999999999</v>
      </c>
      <c r="O6" s="61">
        <f>BS!F11</f>
        <v>173617</v>
      </c>
    </row>
    <row r="7" spans="2:15" x14ac:dyDescent="0.25">
      <c r="J7" s="63" t="s">
        <v>105</v>
      </c>
      <c r="K7" s="61">
        <f>K5-K6</f>
        <v>-20866.800000000003</v>
      </c>
      <c r="L7" s="61">
        <f>L5-L6</f>
        <v>-10861.600000000006</v>
      </c>
      <c r="M7" s="61">
        <f>M5-M6</f>
        <v>-3705.2999999999884</v>
      </c>
      <c r="N7" s="61">
        <f>N5-N6</f>
        <v>-3498.7999999999884</v>
      </c>
      <c r="O7" s="61">
        <f>O5-O6</f>
        <v>-5224.7999999999884</v>
      </c>
    </row>
    <row r="8" spans="2:15" x14ac:dyDescent="0.25">
      <c r="J8" s="63" t="s">
        <v>118</v>
      </c>
      <c r="K8" s="61"/>
      <c r="L8" s="61">
        <f>L7-K7</f>
        <v>10005.199999999997</v>
      </c>
      <c r="M8" s="61">
        <f t="shared" ref="M8:O8" si="1">M7-L7</f>
        <v>7156.3000000000175</v>
      </c>
      <c r="N8" s="61">
        <f t="shared" si="1"/>
        <v>206.5</v>
      </c>
      <c r="O8" s="61">
        <f t="shared" si="1"/>
        <v>-1726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200-4129-4F1F-989A-E70DF0B1D6E7}">
  <dimension ref="B2:I23"/>
  <sheetViews>
    <sheetView topLeftCell="A4" workbookViewId="0">
      <selection activeCell="B6" sqref="B6"/>
    </sheetView>
  </sheetViews>
  <sheetFormatPr defaultRowHeight="15" x14ac:dyDescent="0.25"/>
  <sheetData>
    <row r="2" spans="2:9" ht="21" x14ac:dyDescent="0.35">
      <c r="B2" s="2" t="s">
        <v>66</v>
      </c>
      <c r="C2" s="3"/>
      <c r="D2" s="3"/>
      <c r="E2" s="3"/>
      <c r="F2" s="3"/>
      <c r="G2" s="3"/>
      <c r="H2" s="3"/>
      <c r="I2" s="3"/>
    </row>
    <row r="4" spans="2:9" x14ac:dyDescent="0.25">
      <c r="B4" s="62" t="s">
        <v>66</v>
      </c>
      <c r="C4" s="62"/>
      <c r="D4" s="62"/>
      <c r="E4" s="62"/>
      <c r="F4" s="62"/>
      <c r="G4" s="62"/>
      <c r="H4" s="62"/>
      <c r="I4" s="62"/>
    </row>
    <row r="6" spans="2:9" x14ac:dyDescent="0.25">
      <c r="B6" s="1" t="s">
        <v>92</v>
      </c>
    </row>
    <row r="7" spans="2:9" x14ac:dyDescent="0.25">
      <c r="B7" s="1" t="s">
        <v>93</v>
      </c>
    </row>
    <row r="9" spans="2:9" x14ac:dyDescent="0.25">
      <c r="B9" s="1" t="s">
        <v>94</v>
      </c>
      <c r="C9" s="1"/>
      <c r="D9" s="30">
        <v>75000</v>
      </c>
    </row>
    <row r="10" spans="2:9" x14ac:dyDescent="0.25">
      <c r="B10" s="1" t="s">
        <v>95</v>
      </c>
      <c r="C10" s="1"/>
      <c r="D10" s="43">
        <v>0.2</v>
      </c>
    </row>
    <row r="11" spans="2:9" x14ac:dyDescent="0.25">
      <c r="B11" s="1" t="s">
        <v>96</v>
      </c>
      <c r="C11" s="1"/>
      <c r="D11" s="65">
        <v>0.08</v>
      </c>
    </row>
    <row r="12" spans="2:9" x14ac:dyDescent="0.25">
      <c r="B12" s="1" t="s">
        <v>97</v>
      </c>
      <c r="C12" s="1"/>
      <c r="D12" s="65">
        <v>0.25</v>
      </c>
    </row>
    <row r="13" spans="2:9" x14ac:dyDescent="0.25">
      <c r="B13" s="1"/>
      <c r="C13" s="1"/>
    </row>
    <row r="14" spans="2:9" x14ac:dyDescent="0.25">
      <c r="B14" s="1" t="s">
        <v>89</v>
      </c>
      <c r="C14" s="1"/>
      <c r="D14" s="30">
        <v>400000</v>
      </c>
    </row>
    <row r="15" spans="2:9" x14ac:dyDescent="0.25">
      <c r="B15" s="1" t="s">
        <v>98</v>
      </c>
      <c r="C15" s="1"/>
      <c r="D15" s="44">
        <v>0.8</v>
      </c>
    </row>
    <row r="16" spans="2:9" x14ac:dyDescent="0.25">
      <c r="B16" s="1" t="s">
        <v>99</v>
      </c>
      <c r="C16" s="1"/>
      <c r="D16" s="25">
        <v>0.16</v>
      </c>
    </row>
    <row r="17" spans="2:4" x14ac:dyDescent="0.25">
      <c r="B17" s="1" t="s">
        <v>100</v>
      </c>
      <c r="C17" s="1"/>
      <c r="D17" s="65">
        <v>7.0000000000000007E-2</v>
      </c>
    </row>
    <row r="18" spans="2:4" x14ac:dyDescent="0.25">
      <c r="B18" s="1" t="s">
        <v>101</v>
      </c>
      <c r="C18" s="1"/>
      <c r="D18" s="66">
        <v>1.5</v>
      </c>
    </row>
    <row r="19" spans="2:4" x14ac:dyDescent="0.25">
      <c r="B19" s="1" t="s">
        <v>102</v>
      </c>
      <c r="C19" s="1"/>
      <c r="D19" s="65">
        <v>0.06</v>
      </c>
    </row>
    <row r="20" spans="2:4" x14ac:dyDescent="0.25">
      <c r="B20" s="1"/>
      <c r="C20" s="1"/>
    </row>
    <row r="21" spans="2:4" x14ac:dyDescent="0.25">
      <c r="B21" s="1" t="s">
        <v>103</v>
      </c>
      <c r="C21" s="1"/>
      <c r="D21" s="30">
        <f>D9+D14</f>
        <v>475000</v>
      </c>
    </row>
    <row r="23" spans="2:4" x14ac:dyDescent="0.25">
      <c r="B23" s="64" t="s">
        <v>66</v>
      </c>
      <c r="C23" s="45"/>
      <c r="D23" s="46">
        <f>(D10*D11*(1-D12))+(D15*D16)</f>
        <v>0.14000000000000001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F5E-CCF9-494D-A2B0-1F59AD726EE4}">
  <dimension ref="A1:F17"/>
  <sheetViews>
    <sheetView workbookViewId="0">
      <selection activeCell="H9" sqref="H9"/>
    </sheetView>
  </sheetViews>
  <sheetFormatPr defaultRowHeight="15" x14ac:dyDescent="0.25"/>
  <cols>
    <col min="1" max="1" width="34.28515625" bestFit="1" customWidth="1"/>
    <col min="2" max="6" width="12.140625" bestFit="1" customWidth="1"/>
  </cols>
  <sheetData>
    <row r="1" spans="1:6" x14ac:dyDescent="0.25">
      <c r="A1" s="55" t="s">
        <v>120</v>
      </c>
      <c r="B1" s="55" t="s">
        <v>3</v>
      </c>
      <c r="C1" s="55" t="s">
        <v>2</v>
      </c>
      <c r="D1" s="55" t="s">
        <v>1</v>
      </c>
      <c r="E1" s="55" t="s">
        <v>114</v>
      </c>
      <c r="F1" s="55" t="s">
        <v>0</v>
      </c>
    </row>
    <row r="2" spans="1:6" x14ac:dyDescent="0.25">
      <c r="A2" s="55" t="s">
        <v>4</v>
      </c>
      <c r="B2" s="51">
        <v>264041.09999999998</v>
      </c>
      <c r="C2" s="51">
        <v>252437.9</v>
      </c>
      <c r="D2" s="51">
        <v>281507.3</v>
      </c>
      <c r="E2" s="52">
        <v>350600.2</v>
      </c>
      <c r="F2" s="51">
        <v>443877.7</v>
      </c>
    </row>
    <row r="3" spans="1:6" x14ac:dyDescent="0.25">
      <c r="A3" s="55" t="s">
        <v>5</v>
      </c>
      <c r="B3" s="51">
        <v>243080.9</v>
      </c>
      <c r="C3" s="51">
        <v>217507.3</v>
      </c>
      <c r="D3" s="51">
        <v>253733.5</v>
      </c>
      <c r="E3" s="53">
        <v>314047.3</v>
      </c>
      <c r="F3" s="51">
        <v>378389.4</v>
      </c>
    </row>
    <row r="4" spans="1:6" x14ac:dyDescent="0.25">
      <c r="A4" s="55" t="s">
        <v>6</v>
      </c>
      <c r="B4" s="51">
        <v>17987.099999999999</v>
      </c>
      <c r="C4" s="51">
        <v>32287.4</v>
      </c>
      <c r="D4" s="51">
        <v>24720.1</v>
      </c>
      <c r="E4" s="52">
        <v>31919.7</v>
      </c>
      <c r="F4" s="51">
        <v>59538.3</v>
      </c>
    </row>
    <row r="5" spans="1:6" x14ac:dyDescent="0.25">
      <c r="A5" s="55" t="s">
        <v>7</v>
      </c>
      <c r="B5" s="51">
        <v>6.8099999999999994E-2</v>
      </c>
      <c r="C5" s="51">
        <v>0.12790000000000001</v>
      </c>
      <c r="D5" s="51">
        <v>8.7800000000000003E-2</v>
      </c>
      <c r="E5" s="53">
        <v>9.0999999999999998E-2</v>
      </c>
      <c r="F5" s="51">
        <v>0.1341</v>
      </c>
    </row>
    <row r="6" spans="1:6" x14ac:dyDescent="0.25">
      <c r="A6" s="55" t="s">
        <v>8</v>
      </c>
      <c r="B6" s="51">
        <v>271749.7</v>
      </c>
      <c r="C6" s="51">
        <v>249151.2</v>
      </c>
      <c r="D6" s="51">
        <v>287881.09999999998</v>
      </c>
      <c r="E6" s="52">
        <v>349133.1</v>
      </c>
      <c r="F6" s="51">
        <v>415645.3</v>
      </c>
    </row>
    <row r="7" spans="1:6" x14ac:dyDescent="0.25">
      <c r="A7" s="55" t="s">
        <v>9</v>
      </c>
      <c r="B7" s="51">
        <v>20960.2</v>
      </c>
      <c r="C7" s="51">
        <v>34930.6</v>
      </c>
      <c r="D7" s="51">
        <v>27773.7</v>
      </c>
      <c r="E7" s="53">
        <v>36552.9</v>
      </c>
      <c r="F7" s="51">
        <v>65488.3</v>
      </c>
    </row>
    <row r="8" spans="1:6" x14ac:dyDescent="0.25">
      <c r="A8" s="55" t="s">
        <v>10</v>
      </c>
      <c r="B8" s="51">
        <v>7.9399999999999998E-2</v>
      </c>
      <c r="C8" s="51">
        <v>0.1384</v>
      </c>
      <c r="D8" s="51">
        <v>9.8699999999999996E-2</v>
      </c>
      <c r="E8" s="52">
        <v>0.1043</v>
      </c>
      <c r="F8" s="51">
        <v>0.14749999999999999</v>
      </c>
    </row>
    <row r="9" spans="1:6" x14ac:dyDescent="0.25">
      <c r="A9" s="55" t="s">
        <v>11</v>
      </c>
      <c r="B9" s="51">
        <v>7243.3</v>
      </c>
      <c r="C9" s="51">
        <v>8097.2</v>
      </c>
      <c r="D9" s="51">
        <v>9311.9</v>
      </c>
      <c r="E9" s="53">
        <v>10225.5</v>
      </c>
      <c r="F9" s="51">
        <v>9985.7999999999993</v>
      </c>
    </row>
    <row r="10" spans="1:6" x14ac:dyDescent="0.25">
      <c r="A10" s="55" t="s">
        <v>12</v>
      </c>
      <c r="B10" s="51">
        <v>21425.4</v>
      </c>
      <c r="C10" s="51">
        <v>23546.7</v>
      </c>
      <c r="D10" s="51">
        <v>24835.7</v>
      </c>
      <c r="E10" s="52">
        <v>24860.400000000001</v>
      </c>
      <c r="F10" s="51">
        <v>27270.1</v>
      </c>
    </row>
    <row r="11" spans="1:6" x14ac:dyDescent="0.25">
      <c r="A11" s="55" t="s">
        <v>13</v>
      </c>
      <c r="B11" s="51">
        <v>-10580</v>
      </c>
      <c r="C11" s="51">
        <v>-10474.299999999999</v>
      </c>
      <c r="D11" s="51">
        <v>-7003.4</v>
      </c>
      <c r="E11" s="53">
        <v>3057.6</v>
      </c>
      <c r="F11" s="51">
        <v>27255.3</v>
      </c>
    </row>
    <row r="12" spans="1:6" x14ac:dyDescent="0.25">
      <c r="A12" s="55" t="s">
        <v>14</v>
      </c>
      <c r="B12" s="51">
        <v>395.3</v>
      </c>
      <c r="C12" s="51">
        <v>2541.9</v>
      </c>
      <c r="D12" s="51">
        <v>4231.3</v>
      </c>
      <c r="E12" s="52">
        <v>704.1</v>
      </c>
      <c r="F12" s="51">
        <v>-3851.6</v>
      </c>
    </row>
    <row r="13" spans="1:6" x14ac:dyDescent="0.25">
      <c r="A13" s="55" t="s">
        <v>15</v>
      </c>
      <c r="B13" s="51">
        <v>-10975.2</v>
      </c>
      <c r="C13" s="51">
        <v>-13016.1</v>
      </c>
      <c r="D13" s="51">
        <v>-11234.7</v>
      </c>
      <c r="E13" s="53">
        <v>2353.5</v>
      </c>
      <c r="F13" s="51">
        <v>31107</v>
      </c>
    </row>
    <row r="14" spans="1:6" x14ac:dyDescent="0.25">
      <c r="A14" s="55" t="s">
        <v>16</v>
      </c>
      <c r="B14" s="51">
        <v>-12070.9</v>
      </c>
      <c r="C14" s="51">
        <v>-13451.4</v>
      </c>
      <c r="D14" s="51">
        <v>-11441.5</v>
      </c>
      <c r="E14" s="52">
        <v>2414.3000000000002</v>
      </c>
      <c r="F14" s="51">
        <v>31399.1</v>
      </c>
    </row>
    <row r="15" spans="1:6" x14ac:dyDescent="0.25">
      <c r="A15" s="55" t="s">
        <v>17</v>
      </c>
      <c r="B15" s="51">
        <v>-4.2000000000000003E-2</v>
      </c>
      <c r="C15" s="51">
        <v>-5.21E-2</v>
      </c>
      <c r="D15" s="51">
        <v>-4.0300000000000002E-2</v>
      </c>
      <c r="E15" s="53">
        <v>6.7999999999999996E-3</v>
      </c>
      <c r="F15" s="51">
        <v>7.0999999999999994E-2</v>
      </c>
    </row>
    <row r="16" spans="1:6" x14ac:dyDescent="0.25">
      <c r="A16" s="55" t="s">
        <v>18</v>
      </c>
      <c r="B16" s="51">
        <v>-32.799999999999997</v>
      </c>
      <c r="C16" s="51">
        <v>-36.5</v>
      </c>
      <c r="D16" s="51">
        <v>-31.1</v>
      </c>
      <c r="E16" s="52">
        <v>6.6</v>
      </c>
      <c r="F16" s="51">
        <v>85.3</v>
      </c>
    </row>
    <row r="17" spans="1:6" x14ac:dyDescent="0.25">
      <c r="A17" s="55"/>
      <c r="B17" s="55"/>
      <c r="C17" s="55"/>
      <c r="D17" s="55"/>
      <c r="E17" s="55"/>
      <c r="F17" s="5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012-EAB6-4BAE-ADDB-868EC0379BB3}">
  <dimension ref="A1:F35"/>
  <sheetViews>
    <sheetView workbookViewId="0">
      <selection activeCell="I9" sqref="I9"/>
    </sheetView>
  </sheetViews>
  <sheetFormatPr defaultRowHeight="15" x14ac:dyDescent="0.25"/>
  <cols>
    <col min="1" max="1" width="48.85546875" bestFit="1" customWidth="1"/>
    <col min="2" max="6" width="9.85546875" bestFit="1" customWidth="1"/>
    <col min="11" max="11" width="9.85546875" bestFit="1" customWidth="1"/>
  </cols>
  <sheetData>
    <row r="1" spans="1:6" x14ac:dyDescent="0.25">
      <c r="A1" s="54" t="s">
        <v>115</v>
      </c>
      <c r="B1" s="54" t="s">
        <v>3</v>
      </c>
      <c r="C1" s="54" t="s">
        <v>2</v>
      </c>
      <c r="D1" s="54" t="s">
        <v>1</v>
      </c>
      <c r="E1" s="54" t="s">
        <v>114</v>
      </c>
      <c r="F1" s="54" t="s">
        <v>0</v>
      </c>
    </row>
    <row r="2" spans="1:6" x14ac:dyDescent="0.25">
      <c r="A2" s="54" t="s">
        <v>19</v>
      </c>
      <c r="B2" s="51">
        <v>63078.5</v>
      </c>
      <c r="C2" s="51">
        <v>55246.7</v>
      </c>
      <c r="D2" s="51">
        <v>44554.9</v>
      </c>
      <c r="E2" s="51">
        <v>47819.3</v>
      </c>
      <c r="F2" s="52">
        <v>87464.2</v>
      </c>
    </row>
    <row r="3" spans="1:6" x14ac:dyDescent="0.25">
      <c r="A3" s="54" t="s">
        <v>20</v>
      </c>
      <c r="B3" s="51">
        <v>719.5</v>
      </c>
      <c r="C3" s="51">
        <v>765.8</v>
      </c>
      <c r="D3" s="51">
        <v>765.9</v>
      </c>
      <c r="E3" s="51">
        <v>766</v>
      </c>
      <c r="F3" s="53">
        <v>766.5</v>
      </c>
    </row>
    <row r="4" spans="1:6" x14ac:dyDescent="0.25">
      <c r="A4" s="54" t="s">
        <v>21</v>
      </c>
      <c r="B4" s="51">
        <v>719.5</v>
      </c>
      <c r="C4" s="51">
        <v>765.8</v>
      </c>
      <c r="D4" s="51">
        <v>765.9</v>
      </c>
      <c r="E4" s="51">
        <v>3266</v>
      </c>
      <c r="F4" s="52">
        <v>3314.4</v>
      </c>
    </row>
    <row r="5" spans="1:6" x14ac:dyDescent="0.25">
      <c r="A5" s="54" t="s">
        <v>22</v>
      </c>
      <c r="B5" s="51">
        <v>61491.5</v>
      </c>
      <c r="C5" s="51">
        <v>54480.9</v>
      </c>
      <c r="D5" s="51">
        <v>43789</v>
      </c>
      <c r="E5" s="51">
        <v>44553.3</v>
      </c>
      <c r="F5" s="53">
        <v>84149.8</v>
      </c>
    </row>
    <row r="6" spans="1:6" x14ac:dyDescent="0.25">
      <c r="A6" s="54" t="s">
        <v>23</v>
      </c>
      <c r="B6" s="51">
        <v>61491.5</v>
      </c>
      <c r="C6" s="51">
        <v>54480.9</v>
      </c>
      <c r="D6" s="51">
        <v>43789</v>
      </c>
      <c r="E6" s="51">
        <v>44553.3</v>
      </c>
      <c r="F6" s="52">
        <v>84149.8</v>
      </c>
    </row>
    <row r="7" spans="1:6" x14ac:dyDescent="0.25">
      <c r="A7" s="54" t="s">
        <v>24</v>
      </c>
      <c r="B7" s="51">
        <v>813.6</v>
      </c>
      <c r="C7" s="51">
        <v>1573.5</v>
      </c>
      <c r="D7" s="51">
        <v>4271.1000000000004</v>
      </c>
      <c r="E7" s="51">
        <v>7277.7</v>
      </c>
      <c r="F7" s="53">
        <v>8175.9</v>
      </c>
    </row>
    <row r="8" spans="1:6" x14ac:dyDescent="0.25">
      <c r="A8" s="54" t="s">
        <v>25</v>
      </c>
      <c r="B8" s="51">
        <v>117775.1</v>
      </c>
      <c r="C8" s="51">
        <v>128556.4</v>
      </c>
      <c r="D8" s="51">
        <v>131104.79999999999</v>
      </c>
      <c r="E8" s="51">
        <v>125954.5</v>
      </c>
      <c r="F8" s="52">
        <v>101405.1</v>
      </c>
    </row>
    <row r="9" spans="1:6" x14ac:dyDescent="0.25">
      <c r="A9" s="54" t="s">
        <v>26</v>
      </c>
      <c r="B9" s="51">
        <v>1941.9</v>
      </c>
      <c r="C9" s="51">
        <v>1555.9</v>
      </c>
      <c r="D9" s="51">
        <v>1558.4</v>
      </c>
      <c r="E9" s="51">
        <v>1407</v>
      </c>
      <c r="F9" s="53">
        <v>1143.4000000000001</v>
      </c>
    </row>
    <row r="10" spans="1:6" x14ac:dyDescent="0.25">
      <c r="A10" s="54" t="s">
        <v>27</v>
      </c>
      <c r="B10" s="51">
        <v>17780.900000000001</v>
      </c>
      <c r="C10" s="51">
        <v>20281</v>
      </c>
      <c r="D10" s="51">
        <v>18831.3</v>
      </c>
      <c r="E10" s="51">
        <v>22655.3</v>
      </c>
      <c r="F10" s="52">
        <v>21576.6</v>
      </c>
    </row>
    <row r="11" spans="1:6" x14ac:dyDescent="0.25">
      <c r="A11" s="54" t="s">
        <v>28</v>
      </c>
      <c r="B11" s="51">
        <v>140454.1</v>
      </c>
      <c r="C11" s="51">
        <v>157749.20000000001</v>
      </c>
      <c r="D11" s="51">
        <v>150682.79999999999</v>
      </c>
      <c r="E11" s="51">
        <v>155027.29999999999</v>
      </c>
      <c r="F11" s="53">
        <v>173617</v>
      </c>
    </row>
    <row r="12" spans="1:6" x14ac:dyDescent="0.25">
      <c r="A12" s="54" t="s">
        <v>29</v>
      </c>
      <c r="B12" s="51">
        <v>63626.9</v>
      </c>
      <c r="C12" s="51">
        <v>68179.8</v>
      </c>
      <c r="D12" s="51">
        <v>59970.400000000001</v>
      </c>
      <c r="E12" s="51">
        <v>72055.8</v>
      </c>
      <c r="F12" s="52">
        <v>88043</v>
      </c>
    </row>
    <row r="13" spans="1:6" x14ac:dyDescent="0.25">
      <c r="A13" s="54" t="s">
        <v>30</v>
      </c>
      <c r="B13" s="51">
        <v>50135.6</v>
      </c>
      <c r="C13" s="51">
        <v>55058.5</v>
      </c>
      <c r="D13" s="51">
        <v>38028.300000000003</v>
      </c>
      <c r="E13" s="51">
        <v>34196.199999999997</v>
      </c>
      <c r="F13" s="53">
        <v>36931</v>
      </c>
    </row>
    <row r="14" spans="1:6" x14ac:dyDescent="0.25">
      <c r="A14" s="54" t="s">
        <v>31</v>
      </c>
      <c r="B14" s="51">
        <v>10329</v>
      </c>
      <c r="C14" s="51">
        <v>12848</v>
      </c>
      <c r="D14" s="51">
        <v>10766.3</v>
      </c>
      <c r="E14" s="51">
        <v>11810.7</v>
      </c>
      <c r="F14" s="52">
        <v>12291.5</v>
      </c>
    </row>
    <row r="15" spans="1:6" x14ac:dyDescent="0.25">
      <c r="A15" s="54" t="s">
        <v>32</v>
      </c>
      <c r="B15" s="51">
        <v>322121.3</v>
      </c>
      <c r="C15" s="51">
        <v>343125.8</v>
      </c>
      <c r="D15" s="51">
        <v>330619.90000000002</v>
      </c>
      <c r="E15" s="51">
        <v>336081.4</v>
      </c>
      <c r="F15" s="53">
        <v>370664</v>
      </c>
    </row>
    <row r="16" spans="1:6" x14ac:dyDescent="0.25">
      <c r="A16" s="54" t="s">
        <v>33</v>
      </c>
      <c r="B16" s="51">
        <v>161952.4</v>
      </c>
      <c r="C16" s="51">
        <v>158867.79999999999</v>
      </c>
      <c r="D16" s="51">
        <v>148299.4</v>
      </c>
      <c r="E16" s="51">
        <v>145513.70000000001</v>
      </c>
      <c r="F16" s="52">
        <v>156123.6</v>
      </c>
    </row>
    <row r="17" spans="1:6" x14ac:dyDescent="0.25">
      <c r="A17" s="54" t="s">
        <v>34</v>
      </c>
      <c r="B17" s="51">
        <v>84158.2</v>
      </c>
      <c r="C17" s="51">
        <v>86130.7</v>
      </c>
      <c r="D17" s="51">
        <v>87586.2</v>
      </c>
      <c r="E17" s="51">
        <v>84442.5</v>
      </c>
      <c r="F17" s="53">
        <v>81184.2</v>
      </c>
    </row>
    <row r="18" spans="1:6" x14ac:dyDescent="0.25">
      <c r="A18" s="54" t="s">
        <v>35</v>
      </c>
      <c r="B18" s="51">
        <v>42171.9</v>
      </c>
      <c r="C18" s="51">
        <v>51773.2</v>
      </c>
      <c r="D18" s="51">
        <v>50462.1</v>
      </c>
      <c r="E18" s="51">
        <v>46796.7</v>
      </c>
      <c r="F18" s="52">
        <v>39241.1</v>
      </c>
    </row>
    <row r="19" spans="1:6" x14ac:dyDescent="0.25">
      <c r="A19" s="54" t="s">
        <v>36</v>
      </c>
      <c r="B19" s="51">
        <v>8599.6</v>
      </c>
      <c r="C19" s="51">
        <v>8377.1</v>
      </c>
      <c r="D19" s="51">
        <v>3529</v>
      </c>
      <c r="E19" s="51">
        <v>5219.8999999999996</v>
      </c>
      <c r="F19" s="53">
        <v>10937.3</v>
      </c>
    </row>
    <row r="20" spans="1:6" x14ac:dyDescent="0.25">
      <c r="A20" s="54" t="s">
        <v>37</v>
      </c>
      <c r="B20" s="51">
        <v>202534</v>
      </c>
      <c r="C20" s="51">
        <v>196238.2</v>
      </c>
      <c r="D20" s="51">
        <v>183642.4</v>
      </c>
      <c r="E20" s="51">
        <v>184552.9</v>
      </c>
      <c r="F20" s="52">
        <v>202271.8</v>
      </c>
    </row>
    <row r="21" spans="1:6" x14ac:dyDescent="0.25">
      <c r="A21" s="54" t="s">
        <v>38</v>
      </c>
      <c r="B21" s="51">
        <v>5446.9</v>
      </c>
      <c r="C21" s="51">
        <v>5569.1</v>
      </c>
      <c r="D21" s="51">
        <v>6670.3</v>
      </c>
      <c r="E21" s="51">
        <v>7540.9</v>
      </c>
      <c r="F21" s="53">
        <v>8717.7999999999993</v>
      </c>
    </row>
    <row r="22" spans="1:6" x14ac:dyDescent="0.25">
      <c r="A22" s="54" t="s">
        <v>39</v>
      </c>
      <c r="B22" s="51">
        <v>5457.9</v>
      </c>
      <c r="C22" s="51">
        <v>4520.3999999999996</v>
      </c>
      <c r="D22" s="51">
        <v>3870.9</v>
      </c>
      <c r="E22" s="51">
        <v>5184.7</v>
      </c>
      <c r="F22" s="52">
        <v>13099</v>
      </c>
    </row>
    <row r="23" spans="1:6" x14ac:dyDescent="0.25">
      <c r="A23" s="54" t="s">
        <v>40</v>
      </c>
      <c r="B23" s="51">
        <v>782.8</v>
      </c>
      <c r="C23" s="51">
        <v>1204.5999999999999</v>
      </c>
      <c r="D23" s="51">
        <v>843.4</v>
      </c>
      <c r="E23" s="51">
        <v>870.7</v>
      </c>
      <c r="F23" s="53">
        <v>441.6</v>
      </c>
    </row>
    <row r="24" spans="1:6" x14ac:dyDescent="0.25">
      <c r="A24" s="54" t="s">
        <v>41</v>
      </c>
      <c r="B24" s="51">
        <v>28117</v>
      </c>
      <c r="C24" s="51">
        <v>25272.6</v>
      </c>
      <c r="D24" s="51">
        <v>23151.3</v>
      </c>
      <c r="E24" s="51">
        <v>24602.5</v>
      </c>
      <c r="F24" s="52">
        <v>23029.5</v>
      </c>
    </row>
    <row r="25" spans="1:6" x14ac:dyDescent="0.25">
      <c r="A25" s="54" t="s">
        <v>42</v>
      </c>
      <c r="B25" s="51">
        <v>119587.3</v>
      </c>
      <c r="C25" s="51">
        <v>146887.6</v>
      </c>
      <c r="D25" s="51">
        <v>146977.5</v>
      </c>
      <c r="E25" s="51">
        <v>151528.5</v>
      </c>
      <c r="F25" s="53">
        <v>168392.2</v>
      </c>
    </row>
    <row r="26" spans="1:6" x14ac:dyDescent="0.25">
      <c r="A26" s="54" t="s">
        <v>43</v>
      </c>
      <c r="B26" s="51">
        <v>10861.5</v>
      </c>
      <c r="C26" s="51">
        <v>19051.2</v>
      </c>
      <c r="D26" s="51">
        <v>22709.200000000001</v>
      </c>
      <c r="E26" s="51">
        <v>18838.3</v>
      </c>
      <c r="F26" s="52">
        <v>14253.2</v>
      </c>
    </row>
    <row r="27" spans="1:6" x14ac:dyDescent="0.25">
      <c r="A27" s="54" t="s">
        <v>44</v>
      </c>
      <c r="B27" s="51">
        <v>11172.7</v>
      </c>
      <c r="C27" s="51">
        <v>12679.1</v>
      </c>
      <c r="D27" s="51">
        <v>12442.1</v>
      </c>
      <c r="E27" s="51">
        <v>15738</v>
      </c>
      <c r="F27" s="53">
        <v>16951.8</v>
      </c>
    </row>
    <row r="28" spans="1:6" x14ac:dyDescent="0.25">
      <c r="A28" s="54" t="s">
        <v>45</v>
      </c>
      <c r="B28" s="51">
        <v>33727</v>
      </c>
      <c r="C28" s="51">
        <v>46792.5</v>
      </c>
      <c r="D28" s="51">
        <v>40669.199999999997</v>
      </c>
      <c r="E28" s="51">
        <v>37015.599999999999</v>
      </c>
      <c r="F28" s="52">
        <v>45806.7</v>
      </c>
    </row>
    <row r="29" spans="1:6" x14ac:dyDescent="0.25">
      <c r="A29" s="54" t="s">
        <v>46</v>
      </c>
      <c r="B29" s="51">
        <v>935.3</v>
      </c>
      <c r="C29" s="51">
        <v>1749.4</v>
      </c>
      <c r="D29" s="51">
        <v>1671.9</v>
      </c>
      <c r="E29" s="51">
        <v>2302.8000000000002</v>
      </c>
      <c r="F29" s="53">
        <v>196.7</v>
      </c>
    </row>
    <row r="30" spans="1:6" x14ac:dyDescent="0.25">
      <c r="A30" s="54" t="s">
        <v>47</v>
      </c>
      <c r="B30" s="51">
        <v>25433.9</v>
      </c>
      <c r="C30" s="51">
        <v>30526.9</v>
      </c>
      <c r="D30" s="51">
        <v>34244.699999999997</v>
      </c>
      <c r="E30" s="51">
        <v>36878.400000000001</v>
      </c>
      <c r="F30" s="52">
        <v>43395.4</v>
      </c>
    </row>
    <row r="31" spans="1:6" x14ac:dyDescent="0.25">
      <c r="A31" s="54" t="s">
        <v>48</v>
      </c>
      <c r="B31" s="51">
        <v>322121.3</v>
      </c>
      <c r="C31" s="51">
        <v>343125.8</v>
      </c>
      <c r="D31" s="51">
        <v>330619.90000000002</v>
      </c>
      <c r="E31" s="51">
        <v>336081.4</v>
      </c>
      <c r="F31" s="53">
        <v>370664</v>
      </c>
    </row>
    <row r="32" spans="1:6" x14ac:dyDescent="0.25">
      <c r="A32" s="54" t="s">
        <v>49</v>
      </c>
      <c r="B32" s="51">
        <v>15590.8</v>
      </c>
      <c r="C32" s="51">
        <v>17773.8</v>
      </c>
      <c r="D32" s="51">
        <v>18470.5</v>
      </c>
      <c r="E32" s="51">
        <v>39477.300000000003</v>
      </c>
      <c r="F32" s="52">
        <v>43055.3</v>
      </c>
    </row>
    <row r="33" spans="1:6" x14ac:dyDescent="0.25">
      <c r="A33" s="54" t="s">
        <v>50</v>
      </c>
      <c r="B33" s="51">
        <v>111.3</v>
      </c>
      <c r="C33" s="51">
        <v>111.3</v>
      </c>
      <c r="D33" s="51">
        <v>111.3</v>
      </c>
      <c r="E33" s="51">
        <v>111.3</v>
      </c>
      <c r="F33" s="53">
        <v>111.3</v>
      </c>
    </row>
    <row r="34" spans="1:6" x14ac:dyDescent="0.25">
      <c r="A34" s="54" t="s">
        <v>51</v>
      </c>
      <c r="B34" s="51">
        <v>711.6</v>
      </c>
      <c r="C34" s="51">
        <v>868.9</v>
      </c>
      <c r="D34" s="51">
        <v>975.4</v>
      </c>
      <c r="E34" s="51">
        <v>1131.5</v>
      </c>
      <c r="F34" s="52">
        <v>1342.2</v>
      </c>
    </row>
    <row r="35" spans="1:6" x14ac:dyDescent="0.25">
      <c r="A35" s="54" t="s">
        <v>52</v>
      </c>
      <c r="B35" s="51">
        <v>10861.5</v>
      </c>
      <c r="C35" s="51">
        <v>19051.2</v>
      </c>
      <c r="D35" s="51">
        <v>22023.599999999999</v>
      </c>
      <c r="E35" s="51">
        <v>18703.900000000001</v>
      </c>
      <c r="F35" s="53">
        <v>13988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BE4-35A9-455D-A30C-070237CB5545}">
  <dimension ref="A1:F10"/>
  <sheetViews>
    <sheetView workbookViewId="0">
      <selection activeCell="H6" sqref="H6"/>
    </sheetView>
  </sheetViews>
  <sheetFormatPr defaultRowHeight="15" x14ac:dyDescent="0.25"/>
  <cols>
    <col min="1" max="1" width="35.7109375" bestFit="1" customWidth="1"/>
    <col min="2" max="6" width="9.85546875" bestFit="1" customWidth="1"/>
  </cols>
  <sheetData>
    <row r="1" spans="1:6" x14ac:dyDescent="0.25">
      <c r="A1" s="54" t="s">
        <v>116</v>
      </c>
      <c r="B1" s="51" t="s">
        <v>3</v>
      </c>
      <c r="C1" s="51" t="s">
        <v>2</v>
      </c>
      <c r="D1" s="51" t="s">
        <v>1</v>
      </c>
      <c r="E1" s="51" t="s">
        <v>114</v>
      </c>
      <c r="F1" s="51" t="s">
        <v>0</v>
      </c>
    </row>
    <row r="2" spans="1:6" x14ac:dyDescent="0.25">
      <c r="A2" s="54" t="s">
        <v>53</v>
      </c>
      <c r="B2" s="51">
        <v>26632.9</v>
      </c>
      <c r="C2" s="51">
        <v>29000.5</v>
      </c>
      <c r="D2" s="51">
        <v>14282.8</v>
      </c>
      <c r="E2" s="52">
        <v>35388</v>
      </c>
      <c r="F2" s="51">
        <v>67915.399999999994</v>
      </c>
    </row>
    <row r="3" spans="1:6" x14ac:dyDescent="0.25">
      <c r="A3" s="54" t="s">
        <v>13</v>
      </c>
      <c r="B3" s="51">
        <v>-10580</v>
      </c>
      <c r="C3" s="51">
        <v>-10474.299999999999</v>
      </c>
      <c r="D3" s="51">
        <v>-7003.4</v>
      </c>
      <c r="E3" s="53">
        <v>3057.6</v>
      </c>
      <c r="F3" s="51">
        <v>27255.3</v>
      </c>
    </row>
    <row r="4" spans="1:6" x14ac:dyDescent="0.25">
      <c r="A4" s="54" t="s">
        <v>11</v>
      </c>
      <c r="B4" s="51">
        <v>7243.3</v>
      </c>
      <c r="C4" s="51">
        <v>8097.2</v>
      </c>
      <c r="D4" s="51">
        <v>9311.9</v>
      </c>
      <c r="E4" s="52">
        <v>10225.5</v>
      </c>
      <c r="F4" s="51">
        <v>9985.7999999999993</v>
      </c>
    </row>
    <row r="5" spans="1:6" x14ac:dyDescent="0.25">
      <c r="A5" s="54" t="s">
        <v>14</v>
      </c>
      <c r="B5" s="51">
        <v>395.3</v>
      </c>
      <c r="C5" s="51">
        <v>2541.9</v>
      </c>
      <c r="D5" s="51">
        <v>4231.3</v>
      </c>
      <c r="E5" s="53">
        <v>704.1</v>
      </c>
      <c r="F5" s="51">
        <v>-3851.6</v>
      </c>
    </row>
    <row r="6" spans="1:6" x14ac:dyDescent="0.25">
      <c r="A6" s="54" t="s">
        <v>54</v>
      </c>
      <c r="B6" s="51">
        <v>-34170.199999999997</v>
      </c>
      <c r="C6" s="51">
        <v>-26126.3</v>
      </c>
      <c r="D6" s="51">
        <v>-4775.1000000000004</v>
      </c>
      <c r="E6" s="52">
        <v>-16804.2</v>
      </c>
      <c r="F6" s="51">
        <v>-22828.1</v>
      </c>
    </row>
    <row r="7" spans="1:6" x14ac:dyDescent="0.25">
      <c r="A7" s="54" t="s">
        <v>55</v>
      </c>
      <c r="B7" s="51">
        <v>3389.6</v>
      </c>
      <c r="C7" s="51">
        <v>9904.2000000000007</v>
      </c>
      <c r="D7" s="51">
        <v>-3380.2</v>
      </c>
      <c r="E7" s="53">
        <v>-26242.9</v>
      </c>
      <c r="F7" s="51">
        <v>-37006</v>
      </c>
    </row>
    <row r="8" spans="1:6" x14ac:dyDescent="0.25">
      <c r="A8" s="54" t="s">
        <v>56</v>
      </c>
      <c r="B8" s="51">
        <v>-4147.7</v>
      </c>
      <c r="C8" s="51">
        <v>12778.5</v>
      </c>
      <c r="D8" s="51">
        <v>6127.5</v>
      </c>
      <c r="E8" s="52">
        <v>-7659.1</v>
      </c>
      <c r="F8" s="51">
        <v>8081.3</v>
      </c>
    </row>
    <row r="9" spans="1:6" x14ac:dyDescent="0.25">
      <c r="A9" s="54" t="s">
        <v>57</v>
      </c>
      <c r="B9" s="51">
        <v>21559.8</v>
      </c>
      <c r="C9" s="51">
        <v>18467.8</v>
      </c>
      <c r="D9" s="51">
        <v>31700</v>
      </c>
      <c r="E9" s="53">
        <v>38159</v>
      </c>
      <c r="F9" s="51">
        <v>31887</v>
      </c>
    </row>
    <row r="10" spans="1:6" x14ac:dyDescent="0.25">
      <c r="A10" s="54" t="s">
        <v>58</v>
      </c>
      <c r="B10" s="51">
        <v>18467.8</v>
      </c>
      <c r="C10" s="51">
        <v>31700</v>
      </c>
      <c r="D10" s="51">
        <v>38159</v>
      </c>
      <c r="E10" s="52">
        <v>31887</v>
      </c>
      <c r="F10" s="51">
        <v>40014.800000000003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A84EA-BB4C-4534-A976-46E2EE10C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DCF</vt:lpstr>
      <vt:lpstr>Linear regression</vt:lpstr>
      <vt:lpstr> CapEx &amp; NWC Forecast</vt:lpstr>
      <vt:lpstr>WACC</vt:lpstr>
      <vt:lpstr>IS</vt:lpstr>
      <vt:lpstr>BS</vt:lpstr>
      <vt:lpstr>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2025-02-15T18:58:13Z</dcterms:created>
  <dcterms:modified xsi:type="dcterms:W3CDTF">2025-06-22T20:43:22Z</dcterms:modified>
</cp:coreProperties>
</file>