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ate1904="1"/>
  <mc:AlternateContent xmlns:mc="http://schemas.openxmlformats.org/markup-compatibility/2006">
    <mc:Choice Requires="x15">
      <x15ac:absPath xmlns:x15ac="http://schemas.microsoft.com/office/spreadsheetml/2010/11/ac" url="/Users/evelyn/Desktop/EMT project/"/>
    </mc:Choice>
  </mc:AlternateContent>
  <xr:revisionPtr revIDLastSave="0" documentId="13_ncr:1_{E639C2CF-3E2B-6543-A2F0-9B1A19E17F9D}" xr6:coauthVersionLast="40" xr6:coauthVersionMax="40" xr10:uidLastSave="{00000000-0000-0000-0000-000000000000}"/>
  <bookViews>
    <workbookView xWindow="4300" yWindow="1220" windowWidth="24760" windowHeight="16520" tabRatio="831" activeTab="4" xr2:uid="{00000000-000D-0000-FFFF-FFFF00000000}"/>
  </bookViews>
  <sheets>
    <sheet name="Read me first" sheetId="10" r:id="rId1"/>
    <sheet name="Master Inputs Start here" sheetId="7" r:id="rId2"/>
    <sheet name="Earnings Normalizer" sheetId="8" r:id="rId3"/>
    <sheet name="Cost of capital worksheet" sheetId="4" r:id="rId4"/>
    <sheet name="Valuation Model" sheetId="1" r:id="rId5"/>
    <sheet name="R&amp;D converter" sheetId="6" r:id="rId6"/>
    <sheet name="Operating lease converter" sheetId="5" r:id="rId7"/>
    <sheet name="Option Value" sheetId="9" r:id="rId8"/>
    <sheet name="Ratings estimator" sheetId="3" r:id="rId9"/>
    <sheet name="Industry averages" sheetId="2" r:id="rId10"/>
    <sheet name="Country ERP" sheetId="14" r:id="rId11"/>
    <sheet name="Answers" sheetId="12" r:id="rId12"/>
    <sheet name="12 month training" sheetId="16" r:id="rId13"/>
    <sheet name="revenue analysis by sector" sheetId="18" r:id="rId14"/>
    <sheet name="financial analysis" sheetId="19" r:id="rId15"/>
  </sheets>
  <definedNames>
    <definedName name="_xlnm._FilterDatabase" localSheetId="9" hidden="1">'Industry averages'!$A$1:$A$99</definedName>
  </definedNames>
  <calcPr calcId="191029" iterate="1" concurrentCalc="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67" i="7" l="1"/>
  <c r="D23" i="1"/>
  <c r="B68" i="7"/>
  <c r="D24" i="1"/>
  <c r="D15" i="1"/>
  <c r="D38" i="1"/>
  <c r="D41" i="1"/>
  <c r="D43" i="1"/>
  <c r="D40" i="1"/>
  <c r="D39" i="1"/>
  <c r="D45" i="1"/>
  <c r="D44" i="1"/>
  <c r="D46" i="1"/>
  <c r="D49" i="1"/>
  <c r="E38" i="1"/>
  <c r="E41" i="1"/>
  <c r="E43" i="1"/>
  <c r="E40" i="1"/>
  <c r="E39" i="1"/>
  <c r="E45" i="1"/>
  <c r="E44" i="1"/>
  <c r="E46" i="1"/>
  <c r="E49" i="1"/>
  <c r="F38" i="1"/>
  <c r="F41" i="1"/>
  <c r="F43" i="1"/>
  <c r="F40" i="1"/>
  <c r="F39" i="1"/>
  <c r="F45" i="1"/>
  <c r="F44" i="1"/>
  <c r="F46" i="1"/>
  <c r="F49" i="1"/>
  <c r="G38" i="1"/>
  <c r="G41" i="1"/>
  <c r="G43" i="1"/>
  <c r="G40" i="1"/>
  <c r="G39" i="1"/>
  <c r="G45" i="1"/>
  <c r="G44" i="1"/>
  <c r="G46" i="1"/>
  <c r="G49" i="1"/>
  <c r="H38" i="1"/>
  <c r="H41" i="1"/>
  <c r="H43" i="1"/>
  <c r="H40" i="1"/>
  <c r="H39" i="1"/>
  <c r="H45" i="1"/>
  <c r="H44" i="1"/>
  <c r="H46" i="1"/>
  <c r="H49" i="1"/>
  <c r="I49" i="1"/>
  <c r="J49" i="1"/>
  <c r="K49" i="1"/>
  <c r="L49" i="1"/>
  <c r="M49" i="1"/>
  <c r="N49" i="1"/>
  <c r="O49" i="1"/>
  <c r="P49" i="1"/>
  <c r="Q49" i="1"/>
  <c r="R49" i="1"/>
  <c r="F61" i="1"/>
  <c r="I43" i="1"/>
  <c r="J43" i="1"/>
  <c r="K43" i="1"/>
  <c r="L43" i="1"/>
  <c r="M43" i="1"/>
  <c r="N43" i="1"/>
  <c r="O43" i="1"/>
  <c r="P43" i="1"/>
  <c r="Q43" i="1"/>
  <c r="R43" i="1"/>
  <c r="S43" i="1"/>
  <c r="E24" i="1"/>
  <c r="D34" i="1"/>
  <c r="S45" i="1"/>
  <c r="S44" i="1"/>
  <c r="S46" i="1"/>
  <c r="D53" i="1"/>
  <c r="D59" i="1"/>
  <c r="F62" i="1"/>
  <c r="F63" i="1"/>
  <c r="F65" i="1"/>
  <c r="F68" i="1"/>
  <c r="F70" i="1"/>
  <c r="I28" i="16"/>
  <c r="I29" i="16"/>
  <c r="I31" i="16"/>
  <c r="J28" i="16"/>
  <c r="J29" i="16"/>
  <c r="J31" i="16"/>
  <c r="K28" i="16"/>
  <c r="K29" i="16"/>
  <c r="K31" i="16"/>
  <c r="L31" i="16"/>
  <c r="C28" i="16"/>
  <c r="C29" i="16"/>
  <c r="C31" i="16"/>
  <c r="D28" i="16"/>
  <c r="D29" i="16"/>
  <c r="D31" i="16"/>
  <c r="E28" i="16"/>
  <c r="E29" i="16"/>
  <c r="E31" i="16"/>
  <c r="F31" i="16"/>
  <c r="L29" i="16"/>
  <c r="F29" i="16"/>
  <c r="L28" i="16"/>
  <c r="F28" i="16"/>
  <c r="I18" i="16"/>
  <c r="I25" i="16"/>
  <c r="J18" i="16"/>
  <c r="J25" i="16"/>
  <c r="K18" i="16"/>
  <c r="K25" i="16"/>
  <c r="L25" i="16"/>
  <c r="C18" i="16"/>
  <c r="C25" i="16"/>
  <c r="D18" i="16"/>
  <c r="D25" i="16"/>
  <c r="E18" i="16"/>
  <c r="E25" i="16"/>
  <c r="F25" i="16"/>
  <c r="L19" i="16"/>
  <c r="F19" i="16"/>
  <c r="L18" i="16"/>
  <c r="F18" i="16"/>
  <c r="L15" i="16"/>
  <c r="F15" i="16"/>
  <c r="L14" i="16"/>
  <c r="F14" i="16"/>
  <c r="L13" i="16"/>
  <c r="F13" i="16"/>
  <c r="L12" i="16"/>
  <c r="F12" i="16"/>
  <c r="L11" i="16"/>
  <c r="F11" i="16"/>
  <c r="I8" i="16"/>
  <c r="J8" i="16"/>
  <c r="K8" i="16"/>
  <c r="L8" i="16"/>
  <c r="D8" i="16"/>
  <c r="E8" i="16"/>
  <c r="F8" i="16"/>
  <c r="I7" i="16"/>
  <c r="J7" i="16"/>
  <c r="K7" i="16"/>
  <c r="L7" i="16"/>
  <c r="C7" i="16"/>
  <c r="D7" i="16"/>
  <c r="F7" i="16"/>
  <c r="L6" i="16"/>
  <c r="C6" i="16"/>
  <c r="F6" i="16"/>
  <c r="L5" i="16"/>
  <c r="F5" i="16"/>
  <c r="L4" i="16"/>
  <c r="C4" i="16"/>
  <c r="F4" i="16"/>
  <c r="L3" i="16"/>
  <c r="F3" i="16"/>
  <c r="B14" i="7"/>
  <c r="L13" i="4"/>
  <c r="E15" i="1"/>
  <c r="D18" i="1"/>
  <c r="E18" i="1"/>
  <c r="F15" i="1"/>
  <c r="E22" i="1"/>
  <c r="F22" i="1"/>
  <c r="B9" i="4"/>
  <c r="D17" i="5"/>
  <c r="G54" i="19"/>
  <c r="F54" i="19"/>
  <c r="E54" i="19"/>
  <c r="D54" i="19"/>
  <c r="C54" i="19"/>
  <c r="G51" i="19"/>
  <c r="F51" i="19"/>
  <c r="E51" i="19"/>
  <c r="D51" i="19"/>
  <c r="C51" i="19"/>
  <c r="G50" i="19"/>
  <c r="F50" i="19"/>
  <c r="E50" i="19"/>
  <c r="D50" i="19"/>
  <c r="C50" i="19"/>
  <c r="G48" i="19"/>
  <c r="F48" i="19"/>
  <c r="E48" i="19"/>
  <c r="D48" i="19"/>
  <c r="C48" i="19"/>
  <c r="G46" i="19"/>
  <c r="F46" i="19"/>
  <c r="E46" i="19"/>
  <c r="D46" i="19"/>
  <c r="C46" i="19"/>
  <c r="G42" i="19"/>
  <c r="F42" i="19"/>
  <c r="E42" i="19"/>
  <c r="D42" i="19"/>
  <c r="C42" i="19"/>
  <c r="G32" i="19"/>
  <c r="G38" i="19"/>
  <c r="F32" i="19"/>
  <c r="F38" i="19"/>
  <c r="E32" i="19"/>
  <c r="E38" i="19"/>
  <c r="D32" i="19"/>
  <c r="D38" i="19"/>
  <c r="C32" i="19"/>
  <c r="C38" i="19"/>
  <c r="G36" i="19"/>
  <c r="G37" i="19"/>
  <c r="F36" i="19"/>
  <c r="F37" i="19"/>
  <c r="E36" i="19"/>
  <c r="E37" i="19"/>
  <c r="D36" i="19"/>
  <c r="D37" i="19"/>
  <c r="C36" i="19"/>
  <c r="C37" i="19"/>
  <c r="G34" i="19"/>
  <c r="F34" i="19"/>
  <c r="E34" i="19"/>
  <c r="D34" i="19"/>
  <c r="C34" i="19"/>
  <c r="G30" i="19"/>
  <c r="F30" i="19"/>
  <c r="E30" i="19"/>
  <c r="D30" i="19"/>
  <c r="C30" i="19"/>
  <c r="G29" i="19"/>
  <c r="F29" i="19"/>
  <c r="E29" i="19"/>
  <c r="D29" i="19"/>
  <c r="C29" i="19"/>
  <c r="G24" i="19"/>
  <c r="F24" i="19"/>
  <c r="E24" i="19"/>
  <c r="D24" i="19"/>
  <c r="C24" i="19"/>
  <c r="G20" i="19"/>
  <c r="F20" i="19"/>
  <c r="E20" i="19"/>
  <c r="D20" i="19"/>
  <c r="C20" i="19"/>
  <c r="G5" i="19"/>
  <c r="F5" i="19"/>
  <c r="E5" i="19"/>
  <c r="D5" i="19"/>
  <c r="C5" i="19"/>
  <c r="L20" i="18"/>
  <c r="L17" i="18"/>
  <c r="L16" i="18"/>
  <c r="L15" i="18"/>
  <c r="K12" i="18"/>
  <c r="G12" i="18"/>
  <c r="L12" i="18"/>
  <c r="J12" i="18"/>
  <c r="I12" i="18"/>
  <c r="H12" i="18"/>
  <c r="L11" i="18"/>
  <c r="L10" i="18"/>
  <c r="L7" i="18"/>
  <c r="L6" i="18"/>
  <c r="L5" i="18"/>
  <c r="L4" i="18"/>
  <c r="L3" i="18"/>
  <c r="F5" i="3"/>
  <c r="D10" i="3"/>
  <c r="D20" i="1"/>
  <c r="C14" i="5"/>
  <c r="B24" i="5"/>
  <c r="A24" i="5"/>
  <c r="C24" i="5"/>
  <c r="B25" i="5"/>
  <c r="A25" i="5"/>
  <c r="C25" i="5"/>
  <c r="B26" i="5"/>
  <c r="A26" i="5"/>
  <c r="C26" i="5"/>
  <c r="B27" i="5"/>
  <c r="A27" i="5"/>
  <c r="C27" i="5"/>
  <c r="B28" i="5"/>
  <c r="A28" i="5"/>
  <c r="C28" i="5"/>
  <c r="D20" i="5"/>
  <c r="B29" i="5"/>
  <c r="C29" i="5"/>
  <c r="C30" i="5"/>
  <c r="F4" i="3"/>
  <c r="F3" i="3"/>
  <c r="D7" i="3"/>
  <c r="J16" i="4"/>
  <c r="I26" i="4"/>
  <c r="K16" i="4"/>
  <c r="L16" i="4"/>
  <c r="J17" i="4"/>
  <c r="K17" i="4"/>
  <c r="L17" i="4"/>
  <c r="J18" i="4"/>
  <c r="K18" i="4"/>
  <c r="L18" i="4"/>
  <c r="J19" i="4"/>
  <c r="K19" i="4"/>
  <c r="L19" i="4"/>
  <c r="J20" i="4"/>
  <c r="K20" i="4"/>
  <c r="L20" i="4"/>
  <c r="J21" i="4"/>
  <c r="K21" i="4"/>
  <c r="L21" i="4"/>
  <c r="J22" i="4"/>
  <c r="K22" i="4"/>
  <c r="L22" i="4"/>
  <c r="J23" i="4"/>
  <c r="K23" i="4"/>
  <c r="L23" i="4"/>
  <c r="J24" i="4"/>
  <c r="K24" i="4"/>
  <c r="L24" i="4"/>
  <c r="J25" i="4"/>
  <c r="K25" i="4"/>
  <c r="L25" i="4"/>
  <c r="L26" i="4"/>
  <c r="H25" i="4"/>
  <c r="H24" i="4"/>
  <c r="H23" i="4"/>
  <c r="H22" i="4"/>
  <c r="H21" i="4"/>
  <c r="H20" i="4"/>
  <c r="H19" i="4"/>
  <c r="H18" i="4"/>
  <c r="H17" i="4"/>
  <c r="H16" i="4"/>
  <c r="J12" i="4"/>
  <c r="J11" i="4"/>
  <c r="J10" i="4"/>
  <c r="J9" i="4"/>
  <c r="J8" i="4"/>
  <c r="J7" i="4"/>
  <c r="J6" i="4"/>
  <c r="J5" i="4"/>
  <c r="J4" i="4"/>
  <c r="J3" i="4"/>
  <c r="A25" i="6"/>
  <c r="B25" i="6"/>
  <c r="E25" i="6"/>
  <c r="A12" i="6"/>
  <c r="A26" i="6"/>
  <c r="B26" i="6"/>
  <c r="E26" i="6"/>
  <c r="A13" i="6"/>
  <c r="A27" i="6"/>
  <c r="B27" i="6"/>
  <c r="E27" i="6"/>
  <c r="A14" i="6"/>
  <c r="A28" i="6"/>
  <c r="B28" i="6"/>
  <c r="E28" i="6"/>
  <c r="A15" i="6"/>
  <c r="A29" i="6"/>
  <c r="B29" i="6"/>
  <c r="E29" i="6"/>
  <c r="A16" i="6"/>
  <c r="A30" i="6"/>
  <c r="E30" i="6"/>
  <c r="A17" i="6"/>
  <c r="A31" i="6"/>
  <c r="E31" i="6"/>
  <c r="A18" i="6"/>
  <c r="A32" i="6"/>
  <c r="E32" i="6"/>
  <c r="A19" i="6"/>
  <c r="A33" i="6"/>
  <c r="E33" i="6"/>
  <c r="A20" i="6"/>
  <c r="A34" i="6"/>
  <c r="E34" i="6"/>
  <c r="E35" i="6"/>
  <c r="D37" i="6"/>
  <c r="F33" i="5"/>
  <c r="D6" i="1"/>
  <c r="D2" i="1"/>
  <c r="D39" i="6"/>
  <c r="F34" i="5"/>
  <c r="D3" i="1"/>
  <c r="D40" i="6"/>
  <c r="C41" i="1"/>
  <c r="C42" i="1"/>
  <c r="C43" i="1"/>
  <c r="D10" i="1"/>
  <c r="D5" i="1"/>
  <c r="D14" i="1"/>
  <c r="R37" i="1"/>
  <c r="R42" i="1"/>
  <c r="Q37" i="1"/>
  <c r="Q42" i="1"/>
  <c r="P37" i="1"/>
  <c r="P42" i="1"/>
  <c r="O37" i="1"/>
  <c r="O42" i="1"/>
  <c r="N37" i="1"/>
  <c r="N42" i="1"/>
  <c r="M37" i="1"/>
  <c r="S42" i="1"/>
  <c r="M42" i="1"/>
  <c r="L37" i="1"/>
  <c r="L42" i="1"/>
  <c r="K37" i="1"/>
  <c r="K42" i="1"/>
  <c r="J37" i="1"/>
  <c r="J42" i="1"/>
  <c r="I37" i="1"/>
  <c r="I42" i="1"/>
  <c r="H37" i="1"/>
  <c r="H42" i="1"/>
  <c r="G37" i="1"/>
  <c r="G42" i="1"/>
  <c r="F37" i="1"/>
  <c r="F42" i="1"/>
  <c r="E37" i="1"/>
  <c r="E42" i="1"/>
  <c r="D37" i="1"/>
  <c r="D42" i="1"/>
  <c r="E21" i="1"/>
  <c r="D21" i="1"/>
  <c r="F35" i="5"/>
  <c r="D11" i="1"/>
  <c r="B24" i="6"/>
  <c r="C24" i="6"/>
  <c r="D24" i="6"/>
  <c r="C25" i="6"/>
  <c r="D25" i="6"/>
  <c r="C26" i="6"/>
  <c r="D26" i="6"/>
  <c r="C27" i="6"/>
  <c r="D27" i="6"/>
  <c r="C28" i="6"/>
  <c r="D28" i="6"/>
  <c r="C29" i="6"/>
  <c r="D29" i="6"/>
  <c r="B30" i="6"/>
  <c r="C30" i="6"/>
  <c r="D30" i="6"/>
  <c r="B31" i="6"/>
  <c r="C31" i="6"/>
  <c r="D31" i="6"/>
  <c r="B32" i="6"/>
  <c r="C32" i="6"/>
  <c r="D32" i="6"/>
  <c r="B33" i="6"/>
  <c r="C33" i="6"/>
  <c r="D33" i="6"/>
  <c r="B34" i="6"/>
  <c r="C34" i="6"/>
  <c r="D34" i="6"/>
  <c r="D35" i="6"/>
  <c r="D12" i="1"/>
  <c r="D7" i="1"/>
  <c r="D51" i="1"/>
  <c r="I38" i="1"/>
  <c r="I41" i="1"/>
  <c r="J38" i="1"/>
  <c r="J41" i="1"/>
  <c r="K38" i="1"/>
  <c r="K41" i="1"/>
  <c r="L38" i="1"/>
  <c r="L41" i="1"/>
  <c r="M38" i="1"/>
  <c r="M41" i="1"/>
  <c r="R41" i="1"/>
  <c r="Q41" i="1"/>
  <c r="P41" i="1"/>
  <c r="O41" i="1"/>
  <c r="N41" i="1"/>
  <c r="I13" i="4"/>
  <c r="K3" i="4"/>
  <c r="L3" i="4"/>
  <c r="K4" i="4"/>
  <c r="L4" i="4"/>
  <c r="K5" i="4"/>
  <c r="L5" i="4"/>
  <c r="K6" i="4"/>
  <c r="L6" i="4"/>
  <c r="K7" i="4"/>
  <c r="L7" i="4"/>
  <c r="K8" i="4"/>
  <c r="L8" i="4"/>
  <c r="K9" i="4"/>
  <c r="L9" i="4"/>
  <c r="K10" i="4"/>
  <c r="L10" i="4"/>
  <c r="K11" i="4"/>
  <c r="L11" i="4"/>
  <c r="K12" i="4"/>
  <c r="L12" i="4"/>
  <c r="J41" i="4"/>
  <c r="L41" i="4"/>
  <c r="J40" i="4"/>
  <c r="L40" i="4"/>
  <c r="J39" i="4"/>
  <c r="L39" i="4"/>
  <c r="J38" i="4"/>
  <c r="L38" i="4"/>
  <c r="J37" i="4"/>
  <c r="L37" i="4"/>
  <c r="J36" i="4"/>
  <c r="L36" i="4"/>
  <c r="J35" i="4"/>
  <c r="L35" i="4"/>
  <c r="J34" i="4"/>
  <c r="L34" i="4"/>
  <c r="J33" i="4"/>
  <c r="L33" i="4"/>
  <c r="J32" i="4"/>
  <c r="L32" i="4"/>
  <c r="J31" i="4"/>
  <c r="L31" i="4"/>
  <c r="L30" i="4"/>
  <c r="J30" i="4"/>
  <c r="B16" i="4"/>
  <c r="B13" i="4"/>
  <c r="B12" i="4"/>
  <c r="B8" i="4"/>
  <c r="B5" i="4"/>
  <c r="B4" i="4"/>
  <c r="K30" i="4"/>
  <c r="K31" i="4"/>
  <c r="K32" i="4"/>
  <c r="K33" i="4"/>
  <c r="K34" i="4"/>
  <c r="K35" i="4"/>
  <c r="K36" i="4"/>
  <c r="K37" i="4"/>
  <c r="K38" i="4"/>
  <c r="K39" i="4"/>
  <c r="K40" i="4"/>
  <c r="K41" i="4"/>
  <c r="K42" i="4"/>
  <c r="L42" i="4"/>
  <c r="I42" i="4"/>
  <c r="B38" i="4"/>
  <c r="C31" i="4"/>
  <c r="C32" i="4"/>
  <c r="D38" i="4"/>
  <c r="B7" i="4"/>
  <c r="C40" i="4"/>
  <c r="D40" i="4"/>
  <c r="C34" i="4"/>
  <c r="K26" i="4"/>
  <c r="K13" i="4"/>
  <c r="F67" i="1"/>
  <c r="F17" i="9"/>
  <c r="D4" i="9"/>
  <c r="C17" i="9"/>
  <c r="D9" i="9"/>
  <c r="F14" i="9"/>
  <c r="B62" i="7"/>
  <c r="C2" i="3"/>
  <c r="G20" i="8"/>
  <c r="G19" i="8"/>
  <c r="G21" i="8"/>
  <c r="D11" i="8"/>
  <c r="D14" i="8"/>
  <c r="B21" i="8"/>
  <c r="C21" i="8"/>
  <c r="D21" i="8"/>
  <c r="E21" i="8"/>
  <c r="F21" i="8"/>
  <c r="D18" i="5"/>
  <c r="A29" i="5"/>
  <c r="D8" i="1"/>
  <c r="D9" i="1"/>
  <c r="F14" i="1"/>
  <c r="D17" i="1"/>
  <c r="E17" i="1"/>
  <c r="F17" i="1"/>
  <c r="D19" i="1"/>
  <c r="E19" i="1"/>
  <c r="E20" i="1"/>
  <c r="F20" i="1"/>
  <c r="D22" i="1"/>
  <c r="E23" i="1"/>
  <c r="D54" i="1"/>
  <c r="H24" i="1"/>
  <c r="D27" i="1"/>
  <c r="D35" i="1"/>
  <c r="N38" i="1"/>
  <c r="O38" i="1"/>
  <c r="P38" i="1"/>
  <c r="Q38" i="1"/>
  <c r="R38" i="1"/>
  <c r="I39" i="1"/>
  <c r="J39" i="1"/>
  <c r="K39" i="1"/>
  <c r="L39" i="1"/>
  <c r="M39" i="1"/>
  <c r="N39" i="1"/>
  <c r="O39" i="1"/>
  <c r="P39" i="1"/>
  <c r="Q39" i="1"/>
  <c r="R39" i="1"/>
  <c r="D52" i="1"/>
  <c r="I40" i="1"/>
  <c r="J40" i="1"/>
  <c r="K40" i="1"/>
  <c r="L40" i="1"/>
  <c r="M40" i="1"/>
  <c r="N40" i="1"/>
  <c r="O40" i="1"/>
  <c r="P40" i="1"/>
  <c r="Q40" i="1"/>
  <c r="R40" i="1"/>
  <c r="I45" i="1"/>
  <c r="I44" i="1"/>
  <c r="J45" i="1"/>
  <c r="J44" i="1"/>
  <c r="K45" i="1"/>
  <c r="K44" i="1"/>
  <c r="L45" i="1"/>
  <c r="L44" i="1"/>
  <c r="M45" i="1"/>
  <c r="M44" i="1"/>
  <c r="N44" i="1"/>
  <c r="O44" i="1"/>
  <c r="P44" i="1"/>
  <c r="Q44" i="1"/>
  <c r="R44" i="1"/>
  <c r="C45" i="1"/>
  <c r="N45" i="1"/>
  <c r="O45" i="1"/>
  <c r="P45" i="1"/>
  <c r="Q45" i="1"/>
  <c r="R45" i="1"/>
  <c r="I46" i="1"/>
  <c r="J46" i="1"/>
  <c r="K46" i="1"/>
  <c r="L46" i="1"/>
  <c r="M46" i="1"/>
  <c r="N46" i="1"/>
  <c r="O46" i="1"/>
  <c r="P46" i="1"/>
  <c r="Q46" i="1"/>
  <c r="R46" i="1"/>
  <c r="D16" i="1"/>
  <c r="D30" i="1"/>
  <c r="D28" i="1"/>
  <c r="D29" i="1"/>
  <c r="D31" i="1"/>
  <c r="E16" i="1"/>
  <c r="D55" i="1"/>
  <c r="D56" i="1"/>
  <c r="D57" i="1"/>
  <c r="D58" i="1"/>
  <c r="I47" i="1"/>
  <c r="J47" i="1"/>
  <c r="K47" i="1"/>
  <c r="L47" i="1"/>
  <c r="M47" i="1"/>
  <c r="N47" i="1"/>
  <c r="O47" i="1"/>
  <c r="P47" i="1"/>
  <c r="Q47" i="1"/>
  <c r="R47" i="1"/>
  <c r="D47" i="1"/>
  <c r="E47" i="1"/>
  <c r="F47" i="1"/>
  <c r="G47" i="1"/>
  <c r="H47" i="1"/>
  <c r="I48" i="1"/>
  <c r="J48" i="1"/>
  <c r="K48" i="1"/>
  <c r="L48" i="1"/>
  <c r="M48" i="1"/>
  <c r="N48" i="1"/>
  <c r="O48" i="1"/>
  <c r="P48" i="1"/>
  <c r="Q48" i="1"/>
  <c r="R48" i="1"/>
  <c r="F64" i="1"/>
  <c r="D3" i="9"/>
  <c r="D7" i="9"/>
  <c r="D8" i="9"/>
  <c r="F13" i="9"/>
  <c r="C14" i="9"/>
  <c r="F15" i="9"/>
  <c r="C16" i="9"/>
  <c r="F16" i="9"/>
  <c r="F18" i="9"/>
  <c r="D48" i="1"/>
  <c r="E48" i="1"/>
  <c r="F48" i="1"/>
  <c r="G48" i="1"/>
  <c r="H48" i="1"/>
  <c r="F66" i="1"/>
  <c r="B23" i="4"/>
  <c r="C33" i="4"/>
  <c r="C38" i="4"/>
  <c r="C35" i="4"/>
  <c r="E38" i="4"/>
  <c r="B39" i="4"/>
  <c r="C39" i="4"/>
  <c r="D39" i="4"/>
  <c r="E39" i="4"/>
  <c r="B40" i="4"/>
  <c r="E40" i="4"/>
  <c r="D4" i="1"/>
  <c r="F16" i="1"/>
  <c r="F23" i="1"/>
  <c r="C44" i="1"/>
  <c r="C46" i="1"/>
  <c r="F71" i="1"/>
  <c r="D2" i="9"/>
  <c r="C13" i="9"/>
  <c r="C15" i="9"/>
  <c r="B20" i="9"/>
  <c r="B21" i="9"/>
  <c r="B23" i="9"/>
  <c r="B24" i="9"/>
  <c r="C26" i="9"/>
  <c r="D2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Aswath Damodaran</author>
    <author>Yuxin Zhang</author>
  </authors>
  <commentList>
    <comment ref="B4" authorId="0" shapeId="0" xr:uid="{00000000-0006-0000-0100-000001000000}">
      <text>
        <r>
          <rPr>
            <b/>
            <sz val="9"/>
            <color rgb="FF000000"/>
            <rFont val="Geneva"/>
            <family val="2"/>
          </rPr>
          <t>Yuxin Zhang:</t>
        </r>
        <r>
          <rPr>
            <sz val="9"/>
            <color rgb="FF000000"/>
            <rFont val="Geneva"/>
            <family val="2"/>
          </rPr>
          <t xml:space="preserve">
</t>
        </r>
        <r>
          <rPr>
            <sz val="9"/>
            <color rgb="FF000000"/>
            <rFont val="Geneva"/>
            <family val="2"/>
          </rPr>
          <t>As a tech-dense company, R&amp;D constitues a substantial part of the operating expense, and the R &amp; D contribute to the future revenue so I capitalized it</t>
        </r>
      </text>
    </comment>
    <comment ref="B5" authorId="0" shapeId="0" xr:uid="{00000000-0006-0000-0100-000002000000}">
      <text>
        <r>
          <rPr>
            <b/>
            <sz val="9"/>
            <color rgb="FF000000"/>
            <rFont val="Geneva"/>
            <family val="2"/>
          </rPr>
          <t>Yuxin Zhang:</t>
        </r>
        <r>
          <rPr>
            <sz val="9"/>
            <color rgb="FF000000"/>
            <rFont val="Geneva"/>
            <family val="2"/>
          </rPr>
          <t xml:space="preserve">
</t>
        </r>
        <r>
          <rPr>
            <sz val="9"/>
            <color rgb="FF000000"/>
            <rFont val="Geneva"/>
            <family val="2"/>
          </rPr>
          <t>There is operating lease in Intel's 10-k statement.</t>
        </r>
      </text>
    </comment>
    <comment ref="B6" authorId="0" shapeId="0" xr:uid="{00000000-0006-0000-0100-000003000000}">
      <text>
        <r>
          <rPr>
            <b/>
            <sz val="9"/>
            <color rgb="FF000000"/>
            <rFont val="Geneva"/>
            <family val="2"/>
          </rPr>
          <t>Yuxin Zhang:</t>
        </r>
        <r>
          <rPr>
            <sz val="9"/>
            <color rgb="FF000000"/>
            <rFont val="Geneva"/>
            <family val="2"/>
          </rPr>
          <t xml:space="preserve">
</t>
        </r>
        <r>
          <rPr>
            <sz val="9"/>
            <color rgb="FF000000"/>
            <rFont val="Geneva"/>
            <family val="2"/>
          </rPr>
          <t>Operating income for Intel doesn't follow the cyclical of economy to a large extent.It's stable and has signs of growth. So there's no need to normalize.</t>
        </r>
      </text>
    </comment>
    <comment ref="B10" authorId="0" shapeId="0" xr:uid="{00000000-0006-0000-0100-000004000000}">
      <text>
        <r>
          <rPr>
            <b/>
            <sz val="9"/>
            <color rgb="FF000000"/>
            <rFont val="Geneva"/>
            <family val="2"/>
          </rPr>
          <t>Yuxin Zhang:</t>
        </r>
        <r>
          <rPr>
            <sz val="9"/>
            <color rgb="FF000000"/>
            <rFont val="Geneva"/>
            <family val="2"/>
          </rPr>
          <t xml:space="preserve">
</t>
        </r>
        <r>
          <rPr>
            <sz val="9"/>
            <color rgb="FF000000"/>
            <rFont val="Geneva"/>
            <family val="2"/>
          </rPr>
          <t>From the twelve month Training [10-k2017 - 3Q2017 + 3Q2018]</t>
        </r>
      </text>
    </comment>
    <comment ref="B11" authorId="0" shapeId="0" xr:uid="{00000000-0006-0000-0100-000005000000}">
      <text>
        <r>
          <rPr>
            <b/>
            <sz val="9"/>
            <color rgb="FF000000"/>
            <rFont val="Geneva"/>
            <family val="34"/>
          </rPr>
          <t>Yuxin Zhang:</t>
        </r>
        <r>
          <rPr>
            <sz val="9"/>
            <color rgb="FF000000"/>
            <rFont val="Geneva"/>
            <family val="34"/>
          </rPr>
          <t xml:space="preserve">
</t>
        </r>
        <r>
          <rPr>
            <sz val="9"/>
            <color rgb="FF000000"/>
            <rFont val="Geneva"/>
            <family val="34"/>
          </rPr>
          <t>From the twelve month Training [10-k2017 - 3Q2017 + 3Q2018]</t>
        </r>
      </text>
    </comment>
    <comment ref="B12" authorId="0" shapeId="0" xr:uid="{00000000-0006-0000-0100-000006000000}">
      <text>
        <r>
          <rPr>
            <b/>
            <sz val="9"/>
            <color rgb="FF000000"/>
            <rFont val="Geneva"/>
            <family val="34"/>
          </rPr>
          <t>Yuxin Zhang:</t>
        </r>
        <r>
          <rPr>
            <sz val="9"/>
            <color rgb="FF000000"/>
            <rFont val="Geneva"/>
            <family val="34"/>
          </rPr>
          <t xml:space="preserve">
</t>
        </r>
        <r>
          <rPr>
            <sz val="9"/>
            <color rgb="FF000000"/>
            <rFont val="Geneva"/>
            <family val="34"/>
          </rPr>
          <t>From the twelve month Training [10-k2017 - 3Q2017 + 3Q2018]</t>
        </r>
      </text>
    </comment>
    <comment ref="B13" authorId="0" shapeId="0" xr:uid="{00000000-0006-0000-0100-000007000000}">
      <text>
        <r>
          <rPr>
            <b/>
            <sz val="9"/>
            <color rgb="FF000000"/>
            <rFont val="Geneva"/>
            <family val="34"/>
          </rPr>
          <t>Yuxin Zhang:</t>
        </r>
        <r>
          <rPr>
            <sz val="9"/>
            <color rgb="FF000000"/>
            <rFont val="Geneva"/>
            <family val="34"/>
          </rPr>
          <t xml:space="preserve">
</t>
        </r>
        <r>
          <rPr>
            <sz val="9"/>
            <color rgb="FF000000"/>
            <rFont val="Geneva"/>
            <family val="34"/>
          </rPr>
          <t>From the twelve month Training [10-k2017 -</t>
        </r>
        <r>
          <rPr>
            <sz val="18"/>
            <color rgb="FF000000"/>
            <rFont val="Geneva"/>
            <family val="2"/>
          </rPr>
          <t xml:space="preserve"> </t>
        </r>
        <r>
          <rPr>
            <sz val="9"/>
            <color rgb="FF000000"/>
            <rFont val="Geneva"/>
            <family val="34"/>
          </rPr>
          <t>3Q2017 + 3Q2018]</t>
        </r>
      </text>
    </comment>
    <comment ref="B14" authorId="1" shapeId="0" xr:uid="{DA3B19E0-6857-3147-A7B6-EAAC5CD04B88}">
      <text>
        <r>
          <rPr>
            <b/>
            <sz val="10"/>
            <color rgb="FF000000"/>
            <rFont val="Tahoma"/>
            <family val="2"/>
          </rPr>
          <t>Yuxin Zhang:</t>
        </r>
        <r>
          <rPr>
            <sz val="10"/>
            <color rgb="FF000000"/>
            <rFont val="Tahoma"/>
            <family val="2"/>
          </rPr>
          <t xml:space="preserve">
</t>
        </r>
        <r>
          <rPr>
            <sz val="10"/>
            <color rgb="FF000000"/>
            <rFont val="Tahoma"/>
            <family val="2"/>
          </rPr>
          <t>tax expense / income before tax</t>
        </r>
      </text>
    </comment>
    <comment ref="B15" authorId="0" shapeId="0" xr:uid="{00000000-0006-0000-0100-000008000000}">
      <text>
        <r>
          <rPr>
            <b/>
            <sz val="9"/>
            <color rgb="FF000000"/>
            <rFont val="Geneva"/>
            <family val="2"/>
          </rPr>
          <t>Yuxin Zhang:</t>
        </r>
        <r>
          <rPr>
            <sz val="9"/>
            <color rgb="FF000000"/>
            <rFont val="Geneva"/>
            <family val="2"/>
          </rPr>
          <t xml:space="preserve">
</t>
        </r>
        <r>
          <rPr>
            <sz val="9"/>
            <color rgb="FF000000"/>
            <rFont val="Geneva"/>
            <family val="2"/>
          </rPr>
          <t>the Marginal tax rate according to 2017 new tax code is 21%</t>
        </r>
      </text>
    </comment>
    <comment ref="B16" authorId="0" shapeId="0" xr:uid="{00000000-0006-0000-0100-000009000000}">
      <text>
        <r>
          <rPr>
            <b/>
            <sz val="9"/>
            <color rgb="FF000000"/>
            <rFont val="Geneva"/>
            <family val="2"/>
          </rPr>
          <t>Yuxin Zhang:</t>
        </r>
        <r>
          <rPr>
            <sz val="9"/>
            <color rgb="FF000000"/>
            <rFont val="Geneva"/>
            <family val="2"/>
          </rPr>
          <t xml:space="preserve">
</t>
        </r>
        <r>
          <rPr>
            <sz val="9"/>
            <color rgb="FF000000"/>
            <rFont val="Geneva"/>
            <family val="2"/>
          </rPr>
          <t>From TTM</t>
        </r>
      </text>
    </comment>
    <comment ref="B17" authorId="0" shapeId="0" xr:uid="{00000000-0006-0000-0100-00000A000000}">
      <text>
        <r>
          <rPr>
            <b/>
            <sz val="9"/>
            <color rgb="FF000000"/>
            <rFont val="Geneva"/>
            <family val="2"/>
          </rPr>
          <t>Yuxin Zhang:</t>
        </r>
        <r>
          <rPr>
            <sz val="9"/>
            <color rgb="FF000000"/>
            <rFont val="Geneva"/>
            <family val="2"/>
          </rPr>
          <t xml:space="preserve">
</t>
        </r>
        <r>
          <rPr>
            <sz val="9"/>
            <color rgb="FF000000"/>
            <rFont val="Geneva"/>
            <family val="2"/>
          </rPr>
          <t>Non-cash WC =  non-cash current assets and non-debt current liabilities. Non-cash current assets = current asset -cash &amp; cash equivalents. non-debt current liability = current liability - short-term debt. All are obtained from TTM</t>
        </r>
      </text>
    </comment>
    <comment ref="B18" authorId="0" shapeId="0" xr:uid="{00000000-0006-0000-0100-00000B000000}">
      <text>
        <r>
          <rPr>
            <b/>
            <sz val="9"/>
            <color rgb="FF000000"/>
            <rFont val="Geneva"/>
            <family val="2"/>
          </rPr>
          <t>Yuxin Zhang:</t>
        </r>
        <r>
          <rPr>
            <sz val="9"/>
            <color rgb="FF000000"/>
            <rFont val="Geneva"/>
            <family val="2"/>
          </rPr>
          <t xml:space="preserve">
</t>
        </r>
        <r>
          <rPr>
            <sz val="9"/>
            <color rgb="FF000000"/>
            <rFont val="Geneva"/>
            <family val="2"/>
          </rPr>
          <t>book value of short-term debt + book value of long-term debt</t>
        </r>
      </text>
    </comment>
    <comment ref="B19" authorId="0" shapeId="0" xr:uid="{00000000-0006-0000-0100-00000C000000}">
      <text>
        <r>
          <rPr>
            <b/>
            <sz val="9"/>
            <color rgb="FF000000"/>
            <rFont val="Geneva"/>
            <family val="2"/>
          </rPr>
          <t>Yuxin Zhang:</t>
        </r>
        <r>
          <rPr>
            <sz val="9"/>
            <color rgb="FF000000"/>
            <rFont val="Geneva"/>
            <family val="2"/>
          </rPr>
          <t xml:space="preserve">
</t>
        </r>
        <r>
          <rPr>
            <sz val="9"/>
            <color rgb="FF000000"/>
            <rFont val="Geneva"/>
            <family val="2"/>
          </rPr>
          <t>balance sheet value of share holder's equity</t>
        </r>
      </text>
    </comment>
    <comment ref="C19" authorId="0" shapeId="0" xr:uid="{00000000-0006-0000-0100-00000D000000}">
      <text>
        <r>
          <rPr>
            <b/>
            <sz val="9"/>
            <color rgb="FF000000"/>
            <rFont val="Geneva"/>
            <family val="2"/>
          </rPr>
          <t>Aswath Damodaran:</t>
        </r>
        <r>
          <rPr>
            <sz val="9"/>
            <color rgb="FF000000"/>
            <rFont val="Geneva"/>
            <family val="2"/>
          </rPr>
          <t xml:space="preserve">
</t>
        </r>
        <r>
          <rPr>
            <sz val="9"/>
            <color rgb="FF000000"/>
            <rFont val="Geneva"/>
            <family val="2"/>
          </rPr>
          <t>I use the book value of debt from the end of last year to compute return on capital.</t>
        </r>
      </text>
    </comment>
    <comment ref="B20" authorId="0" shapeId="0" xr:uid="{00000000-0006-0000-0100-00000E000000}">
      <text>
        <r>
          <rPr>
            <b/>
            <sz val="9"/>
            <color rgb="FF000000"/>
            <rFont val="Geneva"/>
            <family val="2"/>
          </rPr>
          <t>Aswath Damodaran:</t>
        </r>
        <r>
          <rPr>
            <sz val="9"/>
            <color rgb="FF000000"/>
            <rFont val="Geneva"/>
            <family val="2"/>
          </rPr>
          <t xml:space="preserve">
</t>
        </r>
        <r>
          <rPr>
            <sz val="9"/>
            <color rgb="FF000000"/>
            <rFont val="Geneva"/>
            <family val="2"/>
          </rPr>
          <t>Enter the total shareholders equity or book value of equity. If you have multiple classes of shares, include th ebook equity of all of them..</t>
        </r>
      </text>
    </comment>
    <comment ref="C20" authorId="0" shapeId="0" xr:uid="{00000000-0006-0000-0100-00000F000000}">
      <text>
        <r>
          <rPr>
            <b/>
            <sz val="9"/>
            <color rgb="FF000000"/>
            <rFont val="Geneva"/>
            <family val="2"/>
          </rPr>
          <t>Aswath Damodaran:</t>
        </r>
        <r>
          <rPr>
            <sz val="9"/>
            <color rgb="FF000000"/>
            <rFont val="Geneva"/>
            <family val="2"/>
          </rPr>
          <t xml:space="preserve">
</t>
        </r>
        <r>
          <rPr>
            <sz val="9"/>
            <color rgb="FF000000"/>
            <rFont val="Geneva"/>
            <family val="2"/>
          </rPr>
          <t>I use book value of equity from end of previous year to compute return on equity.</t>
        </r>
      </text>
    </comment>
    <comment ref="B22" authorId="0" shapeId="0" xr:uid="{00000000-0006-0000-0100-000010000000}">
      <text>
        <r>
          <rPr>
            <b/>
            <sz val="9"/>
            <color rgb="FF000000"/>
            <rFont val="Geneva"/>
            <family val="2"/>
          </rPr>
          <t>Yuxin Zhang:</t>
        </r>
        <r>
          <rPr>
            <sz val="9"/>
            <color rgb="FF000000"/>
            <rFont val="Geneva"/>
            <family val="2"/>
          </rPr>
          <t xml:space="preserve">
</t>
        </r>
        <r>
          <rPr>
            <sz val="9"/>
            <color rgb="FF000000"/>
            <rFont val="Geneva"/>
            <family val="2"/>
          </rPr>
          <t>from TTM</t>
        </r>
      </text>
    </comment>
    <comment ref="B24" authorId="0" shapeId="0" xr:uid="{00000000-0006-0000-0100-000012000000}">
      <text>
        <r>
          <rPr>
            <b/>
            <sz val="9"/>
            <color rgb="FF000000"/>
            <rFont val="Geneva"/>
            <family val="2"/>
          </rPr>
          <t>Yuxin Zhang:</t>
        </r>
        <r>
          <rPr>
            <sz val="9"/>
            <color rgb="FF000000"/>
            <rFont val="Geneva"/>
            <family val="2"/>
          </rPr>
          <t xml:space="preserve">
</t>
        </r>
        <r>
          <rPr>
            <sz val="9"/>
            <color rgb="FF000000"/>
            <rFont val="Geneva"/>
            <family val="2"/>
          </rPr>
          <t>There is no minority interests for Intel</t>
        </r>
      </text>
    </comment>
    <comment ref="B29" authorId="0" shapeId="0" xr:uid="{00000000-0006-0000-0100-000014000000}">
      <text>
        <r>
          <rPr>
            <b/>
            <sz val="9"/>
            <color rgb="FF000000"/>
            <rFont val="Geneva"/>
            <family val="2"/>
          </rPr>
          <t>Yuxin Zhang:</t>
        </r>
        <r>
          <rPr>
            <sz val="9"/>
            <color rgb="FF000000"/>
            <rFont val="Geneva"/>
            <family val="2"/>
          </rPr>
          <t xml:space="preserve">
</t>
        </r>
        <r>
          <rPr>
            <sz val="9"/>
            <color rgb="FF000000"/>
            <rFont val="Geneva"/>
            <family val="2"/>
          </rPr>
          <t xml:space="preserve">The stock price is abtained from the time of the submission. </t>
        </r>
      </text>
    </comment>
    <comment ref="B30" authorId="0" shapeId="0" xr:uid="{00000000-0006-0000-0100-000015000000}">
      <text>
        <r>
          <rPr>
            <b/>
            <sz val="9"/>
            <color rgb="FF000000"/>
            <rFont val="Geneva"/>
            <family val="2"/>
          </rPr>
          <t>Yuxin Zhang</t>
        </r>
        <r>
          <rPr>
            <sz val="9"/>
            <color rgb="FF000000"/>
            <rFont val="Geneva"/>
            <family val="2"/>
          </rPr>
          <t xml:space="preserve">
</t>
        </r>
        <r>
          <rPr>
            <sz val="9"/>
            <color rgb="FF000000"/>
            <rFont val="Geneva"/>
            <family val="2"/>
          </rPr>
          <t>number of outstanding shares for intel is the data from Sep 30, 2018</t>
        </r>
      </text>
    </comment>
    <comment ref="B31" authorId="0" shapeId="0" xr:uid="{00000000-0006-0000-0100-000016000000}">
      <text>
        <r>
          <rPr>
            <b/>
            <sz val="9"/>
            <color rgb="FF000000"/>
            <rFont val="Geneva"/>
            <family val="2"/>
          </rPr>
          <t>Yuxin Zhang:</t>
        </r>
        <r>
          <rPr>
            <sz val="9"/>
            <color rgb="FF000000"/>
            <rFont val="Geneva"/>
            <family val="2"/>
          </rPr>
          <t xml:space="preserve">
</t>
        </r>
        <r>
          <rPr>
            <sz val="9"/>
            <color rgb="FF000000"/>
            <rFont val="Geneva"/>
            <family val="2"/>
          </rPr>
          <t>book value of short-term debt + book value of long-term debt</t>
        </r>
      </text>
    </comment>
    <comment ref="B34" authorId="0" shapeId="0" xr:uid="{00000000-0006-0000-0100-000018000000}">
      <text>
        <r>
          <rPr>
            <b/>
            <sz val="9"/>
            <color rgb="FF000000"/>
            <rFont val="Geneva"/>
            <family val="2"/>
          </rPr>
          <t>Yuxin Zhang:</t>
        </r>
        <r>
          <rPr>
            <sz val="9"/>
            <color rgb="FF000000"/>
            <rFont val="Geneva"/>
            <family val="2"/>
          </rPr>
          <t xml:space="preserve">
</t>
        </r>
        <r>
          <rPr>
            <sz val="9"/>
            <color rgb="FF000000"/>
            <rFont val="Geneva"/>
            <family val="2"/>
          </rPr>
          <t>book value of debt /( book value of debt +book value of equity)</t>
        </r>
      </text>
    </comment>
    <comment ref="B37" authorId="0" shapeId="0" xr:uid="{00000000-0006-0000-0100-000019000000}">
      <text>
        <r>
          <rPr>
            <b/>
            <sz val="9"/>
            <color rgb="FF000000"/>
            <rFont val="Geneva"/>
            <family val="2"/>
          </rPr>
          <t>Yuxinb Zhang:</t>
        </r>
        <r>
          <rPr>
            <sz val="9"/>
            <color rgb="FF000000"/>
            <rFont val="Geneva"/>
            <family val="2"/>
          </rPr>
          <t xml:space="preserve">
</t>
        </r>
        <r>
          <rPr>
            <sz val="9"/>
            <color rgb="FF000000"/>
            <rFont val="Geneva"/>
            <family val="2"/>
          </rPr>
          <t>Current 10-year T-bond rate</t>
        </r>
      </text>
    </comment>
    <comment ref="B38" authorId="0" shapeId="0" xr:uid="{00000000-0006-0000-0100-00001A000000}">
      <text>
        <r>
          <rPr>
            <b/>
            <sz val="9"/>
            <color rgb="FF000000"/>
            <rFont val="Geneva"/>
            <family val="2"/>
          </rPr>
          <t xml:space="preserve">Yuxin Zhang:
</t>
        </r>
        <r>
          <rPr>
            <b/>
            <sz val="9"/>
            <color rgb="FF000000"/>
            <rFont val="Geneva"/>
            <family val="2"/>
          </rPr>
          <t>This is obtained from weighted average of CRP [check the spreadsheet]</t>
        </r>
      </text>
    </comment>
    <comment ref="B42" authorId="0" shapeId="0" xr:uid="{00000000-0006-0000-0100-00001C000000}">
      <text>
        <r>
          <rPr>
            <b/>
            <sz val="9"/>
            <color rgb="FF000000"/>
            <rFont val="Geneva"/>
            <family val="2"/>
          </rPr>
          <t>Aswath Damodaran:</t>
        </r>
        <r>
          <rPr>
            <sz val="9"/>
            <color rgb="FF000000"/>
            <rFont val="Geneva"/>
            <family val="2"/>
          </rPr>
          <t xml:space="preserve">
</t>
        </r>
        <r>
          <rPr>
            <sz val="9"/>
            <color rgb="FF000000"/>
            <rFont val="Geneva"/>
            <family val="2"/>
          </rPr>
          <t xml:space="preserve">1: Large or stable firm
</t>
        </r>
        <r>
          <rPr>
            <sz val="9"/>
            <color rgb="FF000000"/>
            <rFont val="Geneva"/>
            <family val="2"/>
          </rPr>
          <t xml:space="preserve">2. Small or risky firm
</t>
        </r>
        <r>
          <rPr>
            <sz val="9"/>
            <color rgb="FF000000"/>
            <rFont val="Geneva"/>
            <family val="2"/>
          </rPr>
          <t>3: Financial Service firm</t>
        </r>
      </text>
    </comment>
    <comment ref="B43" authorId="0" shapeId="0" xr:uid="{00000000-0006-0000-0100-00001D000000}">
      <text>
        <r>
          <rPr>
            <b/>
            <sz val="9"/>
            <color rgb="FF000000"/>
            <rFont val="Geneva"/>
            <family val="2"/>
          </rPr>
          <t>Aswath Damodaran:</t>
        </r>
        <r>
          <rPr>
            <sz val="9"/>
            <color rgb="FF000000"/>
            <rFont val="Geneva"/>
            <family val="2"/>
          </rPr>
          <t xml:space="preserve">
</t>
        </r>
        <r>
          <rPr>
            <sz val="9"/>
            <color rgb="FF000000"/>
            <rFont val="Geneva"/>
            <family val="2"/>
          </rPr>
          <t>This is the current S&amp;P rating for the firm.</t>
        </r>
      </text>
    </comment>
    <comment ref="B44" authorId="0" shapeId="0" xr:uid="{00000000-0006-0000-0100-00001E000000}">
      <text>
        <r>
          <rPr>
            <b/>
            <sz val="9"/>
            <color rgb="FF000000"/>
            <rFont val="Geneva"/>
            <family val="2"/>
          </rPr>
          <t>Yuxin Zhang:</t>
        </r>
        <r>
          <rPr>
            <sz val="9"/>
            <color rgb="FF000000"/>
            <rFont val="Geneva"/>
            <family val="2"/>
          </rPr>
          <t xml:space="preserve">
</t>
        </r>
        <r>
          <rPr>
            <sz val="9"/>
            <color rgb="FF000000"/>
            <rFont val="Geneva"/>
            <family val="2"/>
          </rPr>
          <t>From the moody's</t>
        </r>
      </text>
    </comment>
    <comment ref="B47" authorId="0" shapeId="0" xr:uid="{00000000-0006-0000-0100-00001F000000}">
      <text>
        <r>
          <rPr>
            <b/>
            <sz val="9"/>
            <color rgb="FF000000"/>
            <rFont val="Geneva"/>
            <family val="2"/>
          </rPr>
          <t>Yuxin Zhang:</t>
        </r>
        <r>
          <rPr>
            <sz val="9"/>
            <color rgb="FF000000"/>
            <rFont val="Geneva"/>
            <family val="2"/>
          </rPr>
          <t xml:space="preserve">
</t>
        </r>
        <r>
          <rPr>
            <sz val="9"/>
            <color rgb="FF000000"/>
            <rFont val="Geneva"/>
            <family val="2"/>
          </rPr>
          <t>There is employee option, yet the value is subtle and the number is not revealed</t>
        </r>
      </text>
    </comment>
    <comment ref="B56" authorId="0" shapeId="0" xr:uid="{00000000-0006-0000-0100-000025000000}">
      <text>
        <r>
          <rPr>
            <b/>
            <sz val="9"/>
            <color rgb="FF000000"/>
            <rFont val="Geneva"/>
            <family val="2"/>
          </rPr>
          <t>Yuxin Zhang:</t>
        </r>
        <r>
          <rPr>
            <sz val="9"/>
            <color rgb="FF000000"/>
            <rFont val="Geneva"/>
            <family val="2"/>
          </rPr>
          <t xml:space="preserve">
</t>
        </r>
        <r>
          <rPr>
            <sz val="9"/>
            <color rgb="FF000000"/>
            <rFont val="Geneva"/>
            <family val="2"/>
          </rPr>
          <t>Intel is a 50 year old company with mature development. Yet in recent three years they restructured the business and growth potential is substantial. That's why we choose a two stage model and give it five years of high growing period</t>
        </r>
      </text>
    </comment>
    <comment ref="B57" authorId="0" shapeId="0" xr:uid="{00000000-0006-0000-0100-000026000000}">
      <text>
        <r>
          <rPr>
            <b/>
            <sz val="9"/>
            <color rgb="FF000000"/>
            <rFont val="Geneva"/>
            <family val="2"/>
          </rPr>
          <t xml:space="preserve">Yuxin Zhang:
</t>
        </r>
        <r>
          <rPr>
            <b/>
            <sz val="9"/>
            <color rgb="FF000000"/>
            <rFont val="Geneva"/>
            <family val="2"/>
          </rPr>
          <t xml:space="preserve">This is the bottom-up Beta for Intel from TTM provided by Capital IQ.
</t>
        </r>
      </text>
    </comment>
    <comment ref="B64" authorId="0" shapeId="0" xr:uid="{00000000-0006-0000-0100-000028000000}">
      <text>
        <r>
          <rPr>
            <b/>
            <sz val="9"/>
            <color rgb="FF000000"/>
            <rFont val="Geneva"/>
            <family val="2"/>
          </rPr>
          <t xml:space="preserve">Yuxin Zhang:
</t>
        </r>
        <r>
          <rPr>
            <b/>
            <sz val="9"/>
            <color rgb="FF000000"/>
            <rFont val="Geneva"/>
            <family val="2"/>
          </rPr>
          <t>Use the funamental to consistent with the calculation</t>
        </r>
      </text>
    </comment>
    <comment ref="B70" authorId="0" shapeId="0" xr:uid="{00000000-0006-0000-0100-00002C000000}">
      <text>
        <r>
          <rPr>
            <b/>
            <sz val="9"/>
            <color rgb="FF000000"/>
            <rFont val="Geneva"/>
            <family val="2"/>
          </rPr>
          <t>Aswath Damodaran:</t>
        </r>
        <r>
          <rPr>
            <sz val="9"/>
            <color rgb="FF000000"/>
            <rFont val="Geneva"/>
            <family val="2"/>
          </rPr>
          <t xml:space="preserve">
</t>
        </r>
        <r>
          <rPr>
            <sz val="9"/>
            <color rgb="FF000000"/>
            <rFont val="Geneva"/>
            <family val="2"/>
          </rPr>
          <t>If you do not believe that your firm's return on capital is good estimate of what you will make on future investments, override that number with your own estimate.</t>
        </r>
      </text>
    </comment>
    <comment ref="B71" authorId="0" shapeId="0" xr:uid="{00000000-0006-0000-0100-00002D000000}">
      <text>
        <r>
          <rPr>
            <b/>
            <sz val="9"/>
            <color rgb="FF000000"/>
            <rFont val="Geneva"/>
            <family val="2"/>
          </rPr>
          <t>Aswath Damodaran:</t>
        </r>
        <r>
          <rPr>
            <sz val="9"/>
            <color rgb="FF000000"/>
            <rFont val="Geneva"/>
            <family val="2"/>
          </rPr>
          <t xml:space="preserve">
</t>
        </r>
        <r>
          <rPr>
            <sz val="9"/>
            <color rgb="FF000000"/>
            <rFont val="Geneva"/>
            <family val="2"/>
          </rPr>
          <t>If youe computed reinvestment rate is negative or an unrealistic number, you can override it. (Look at the industry average and your own company's history)</t>
        </r>
      </text>
    </comment>
    <comment ref="B73" authorId="0" shapeId="0" xr:uid="{00000000-0006-0000-0100-00002E000000}">
      <text>
        <r>
          <rPr>
            <b/>
            <sz val="9"/>
            <color rgb="FF000000"/>
            <rFont val="Geneva"/>
            <family val="2"/>
          </rPr>
          <t>Aswath Damodaran:</t>
        </r>
        <r>
          <rPr>
            <sz val="9"/>
            <color rgb="FF000000"/>
            <rFont val="Geneva"/>
            <family val="2"/>
          </rPr>
          <t xml:space="preserve">
</t>
        </r>
        <r>
          <rPr>
            <sz val="9"/>
            <color rgb="FF000000"/>
            <rFont val="Geneva"/>
            <family val="2"/>
          </rPr>
          <t>If you answer yes, I will adjust the cost of capital and the reinvestment rate to stable growth levels gradually during the second half of your high growth phase.</t>
        </r>
      </text>
    </comment>
    <comment ref="B76" authorId="0" shapeId="0" xr:uid="{00000000-0006-0000-0100-00002F000000}">
      <text>
        <r>
          <rPr>
            <b/>
            <sz val="9"/>
            <color rgb="FF000000"/>
            <rFont val="Geneva"/>
            <family val="2"/>
          </rPr>
          <t>Yuxin Zhang:</t>
        </r>
        <r>
          <rPr>
            <sz val="9"/>
            <color rgb="FF000000"/>
            <rFont val="Geneva"/>
            <family val="2"/>
          </rPr>
          <t xml:space="preserve">
</t>
        </r>
        <r>
          <rPr>
            <sz val="9"/>
            <color rgb="FF000000"/>
            <rFont val="Geneva"/>
            <family val="2"/>
          </rPr>
          <t>I assume the stable growth rate for Intel would be the same as the economy, which is approximated by the 10-year T-bond rate.</t>
        </r>
      </text>
    </comment>
    <comment ref="B77" authorId="0" shapeId="0" xr:uid="{00000000-0006-0000-0100-000030000000}">
      <text>
        <r>
          <rPr>
            <b/>
            <sz val="9"/>
            <color rgb="FF000000"/>
            <rFont val="Geneva"/>
            <family val="2"/>
          </rPr>
          <t>Yuxin Zhang:</t>
        </r>
        <r>
          <rPr>
            <sz val="9"/>
            <color rgb="FF000000"/>
            <rFont val="Geneva"/>
            <family val="2"/>
          </rPr>
          <t xml:space="preserve">
</t>
        </r>
        <r>
          <rPr>
            <sz val="9"/>
            <color rgb="FF000000"/>
            <rFont val="Geneva"/>
            <family val="2"/>
          </rPr>
          <t>The seminconductor industry Beta is around 1.4. Yet Intel has the historical data never reached that high. To keep this risk exposure reasonable, I chose 1.05, which considers the high risk of the semiconducto firm while keep it in the reasonable range</t>
        </r>
      </text>
    </comment>
    <comment ref="B78" authorId="0" shapeId="0" xr:uid="{00000000-0006-0000-0100-000031000000}">
      <text>
        <r>
          <rPr>
            <b/>
            <sz val="9"/>
            <color rgb="FF000000"/>
            <rFont val="Geneva"/>
            <family val="2"/>
          </rPr>
          <t>Yuxin Zhang:</t>
        </r>
        <r>
          <rPr>
            <sz val="9"/>
            <color rgb="FF000000"/>
            <rFont val="Geneva"/>
            <family val="2"/>
          </rPr>
          <t xml:space="preserve">
</t>
        </r>
        <r>
          <rPr>
            <sz val="9"/>
            <color rgb="FF000000"/>
            <rFont val="Geneva"/>
            <family val="2"/>
          </rPr>
          <t>Use the weighted average of CPR from COC</t>
        </r>
      </text>
    </comment>
    <comment ref="B79" authorId="0" shapeId="0" xr:uid="{00000000-0006-0000-0100-000032000000}">
      <text>
        <r>
          <rPr>
            <b/>
            <sz val="9"/>
            <color rgb="FF000000"/>
            <rFont val="Geneva"/>
            <family val="2"/>
          </rPr>
          <t>Yuxin Zhang:</t>
        </r>
        <r>
          <rPr>
            <sz val="9"/>
            <color rgb="FF000000"/>
            <rFont val="Geneva"/>
            <family val="2"/>
          </rPr>
          <t xml:space="preserve">
</t>
        </r>
        <r>
          <rPr>
            <sz val="9"/>
            <color rgb="FF000000"/>
            <rFont val="Geneva"/>
            <family val="2"/>
          </rPr>
          <t>Assume that the acquisition caused leverging-up is temporary, the number eventually approaches the industry average</t>
        </r>
      </text>
    </comment>
    <comment ref="B80" authorId="0" shapeId="0" xr:uid="{00000000-0006-0000-0100-000033000000}">
      <text>
        <r>
          <rPr>
            <b/>
            <sz val="9"/>
            <color rgb="FF000000"/>
            <rFont val="Geneva"/>
            <family val="2"/>
          </rPr>
          <t>Yuxin Zhang:</t>
        </r>
        <r>
          <rPr>
            <sz val="9"/>
            <color rgb="FF000000"/>
            <rFont val="Geneva"/>
            <family val="2"/>
          </rPr>
          <t xml:space="preserve">
</t>
        </r>
        <r>
          <rPr>
            <sz val="9"/>
            <color rgb="FF000000"/>
            <rFont val="Geneva"/>
            <family val="2"/>
          </rPr>
          <t>Assume that it approaches the industrial average</t>
        </r>
      </text>
    </comment>
    <comment ref="B81" authorId="0" shapeId="0" xr:uid="{00000000-0006-0000-0100-000034000000}">
      <text>
        <r>
          <rPr>
            <b/>
            <sz val="9"/>
            <color rgb="FF000000"/>
            <rFont val="Geneva"/>
            <family val="2"/>
          </rPr>
          <t>Yuxin Zhang:</t>
        </r>
        <r>
          <rPr>
            <sz val="9"/>
            <color rgb="FF000000"/>
            <rFont val="Geneva"/>
            <family val="2"/>
          </rPr>
          <t xml:space="preserve">
</t>
        </r>
        <r>
          <rPr>
            <sz val="9"/>
            <color rgb="FF000000"/>
            <rFont val="Geneva"/>
            <family val="2"/>
          </rPr>
          <t xml:space="preserve">I have set it equal to your high growth input. </t>
        </r>
      </text>
    </comment>
    <comment ref="B83" authorId="0" shapeId="0" xr:uid="{00000000-0006-0000-0100-000035000000}">
      <text>
        <r>
          <rPr>
            <b/>
            <sz val="9"/>
            <color rgb="FF000000"/>
            <rFont val="Geneva"/>
            <family val="2"/>
          </rPr>
          <t>Yuxin Zhang:</t>
        </r>
        <r>
          <rPr>
            <sz val="9"/>
            <color rgb="FF000000"/>
            <rFont val="Geneva"/>
            <family val="2"/>
          </rPr>
          <t xml:space="preserve">
</t>
        </r>
        <r>
          <rPr>
            <sz val="9"/>
            <color rgb="FF000000"/>
            <rFont val="Geneva"/>
            <family val="2"/>
          </rPr>
          <t>Use the fundamental to keep everything consistent in the model</t>
        </r>
      </text>
    </comment>
    <comment ref="B84" authorId="0" shapeId="0" xr:uid="{00000000-0006-0000-0100-000036000000}">
      <text>
        <r>
          <rPr>
            <b/>
            <sz val="9"/>
            <color rgb="FF000000"/>
            <rFont val="Geneva"/>
            <family val="2"/>
          </rPr>
          <t>Yuxin Zhang:</t>
        </r>
        <r>
          <rPr>
            <sz val="9"/>
            <color rgb="FF000000"/>
            <rFont val="Geneva"/>
            <family val="2"/>
          </rPr>
          <t xml:space="preserve">
</t>
        </r>
        <r>
          <rPr>
            <sz val="9"/>
            <color rgb="FF000000"/>
            <rFont val="Geneva"/>
            <family val="2"/>
          </rPr>
          <t>Using the semiconductor indsutry average</t>
        </r>
      </text>
    </comment>
    <comment ref="B85" authorId="0" shapeId="0" xr:uid="{00000000-0006-0000-0100-000037000000}">
      <text>
        <r>
          <rPr>
            <b/>
            <sz val="9"/>
            <color rgb="FF000000"/>
            <rFont val="Geneva"/>
            <family val="2"/>
          </rPr>
          <t>Aswath Damodaran:</t>
        </r>
        <r>
          <rPr>
            <sz val="9"/>
            <color rgb="FF000000"/>
            <rFont val="Geneva"/>
            <family val="2"/>
          </rPr>
          <t xml:space="preserve">
</t>
        </r>
        <r>
          <rPr>
            <sz val="9"/>
            <color rgb="FF000000"/>
            <rFont val="Geneva"/>
            <family val="2"/>
          </rPr>
          <t>Enter the industry average cap ex/depreciation ratio. Do not set below 100%. That will make your net cap ex negative.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2" authorId="0" shapeId="0" xr:uid="{00000000-0006-0000-0200-000001000000}">
      <text>
        <r>
          <rPr>
            <b/>
            <sz val="9"/>
            <color indexed="8"/>
            <rFont val="Geneva"/>
            <family val="2"/>
          </rPr>
          <t>Aswath Damodaran:</t>
        </r>
        <r>
          <rPr>
            <sz val="9"/>
            <color indexed="8"/>
            <rFont val="Geneva"/>
            <family val="2"/>
          </rPr>
          <t xml:space="preserve">
</t>
        </r>
        <r>
          <rPr>
            <sz val="9"/>
            <color indexed="8"/>
            <rFont val="Geneva"/>
            <family val="2"/>
          </rPr>
          <t xml:space="preserve">1: Historical average earnings
</t>
        </r>
        <r>
          <rPr>
            <sz val="9"/>
            <color indexed="8"/>
            <rFont val="Geneva"/>
            <family val="2"/>
          </rPr>
          <t xml:space="preserve">2: Historical average ROC
</t>
        </r>
        <r>
          <rPr>
            <sz val="9"/>
            <color indexed="8"/>
            <rFont val="Geneva"/>
            <family val="2"/>
          </rPr>
          <t>3. Sector average margin</t>
        </r>
      </text>
    </comment>
    <comment ref="D5" authorId="0" shapeId="0" xr:uid="{00000000-0006-0000-0200-000002000000}">
      <text>
        <r>
          <rPr>
            <b/>
            <sz val="9"/>
            <color indexed="81"/>
            <rFont val="Geneva"/>
            <family val="2"/>
          </rPr>
          <t>Aswath Damodaran:</t>
        </r>
        <r>
          <rPr>
            <sz val="9"/>
            <color indexed="81"/>
            <rFont val="Geneva"/>
            <family val="2"/>
          </rPr>
          <t xml:space="preserve">
Enter the average EBIT over the historical period chosen (eg. Last 5 years)</t>
        </r>
      </text>
    </comment>
    <comment ref="D8" authorId="0" shapeId="0" xr:uid="{00000000-0006-0000-0200-000003000000}">
      <text>
        <r>
          <rPr>
            <b/>
            <sz val="9"/>
            <color indexed="81"/>
            <rFont val="Geneva"/>
            <family val="2"/>
          </rPr>
          <t>Aswath Damodaran:</t>
        </r>
        <r>
          <rPr>
            <sz val="9"/>
            <color indexed="81"/>
            <rFont val="Geneva"/>
            <family val="2"/>
          </rPr>
          <t xml:space="preserve">
Use the average pre-tax return on capital over the historical period. (EBIT/BV of Capital)</t>
        </r>
      </text>
    </comment>
    <comment ref="D11" authorId="0" shapeId="0" xr:uid="{00000000-0006-0000-0200-000004000000}">
      <text>
        <r>
          <rPr>
            <b/>
            <sz val="9"/>
            <color indexed="81"/>
            <rFont val="Geneva"/>
            <family val="2"/>
          </rPr>
          <t>Aswath Damodaran:</t>
        </r>
        <r>
          <rPr>
            <sz val="9"/>
            <color indexed="81"/>
            <rFont val="Geneva"/>
            <family val="2"/>
          </rPr>
          <t xml:space="preserve">
Look at the attached industry average worksheet.</t>
        </r>
      </text>
    </comment>
    <comment ref="D14" authorId="0" shapeId="0" xr:uid="{00000000-0006-0000-0200-000005000000}">
      <text>
        <r>
          <rPr>
            <b/>
            <sz val="9"/>
            <color indexed="81"/>
            <rFont val="Geneva"/>
            <family val="2"/>
          </rPr>
          <t>Aswath Damodaran:</t>
        </r>
        <r>
          <rPr>
            <sz val="9"/>
            <color indexed="81"/>
            <rFont val="Geneva"/>
            <family val="2"/>
          </rPr>
          <t xml:space="preserve">
DO NOT INPUT. This is being calculated based upon your inputs above.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B7" authorId="0" shapeId="0" xr:uid="{00000000-0006-0000-0700-000001000000}">
      <text>
        <r>
          <rPr>
            <b/>
            <sz val="9"/>
            <color rgb="FF000000"/>
            <rFont val="Geneva"/>
            <family val="2"/>
          </rPr>
          <t>Aswath Damodaran:</t>
        </r>
        <r>
          <rPr>
            <sz val="9"/>
            <color rgb="FF000000"/>
            <rFont val="Geneva"/>
            <family val="2"/>
          </rPr>
          <t xml:space="preserve">
</t>
        </r>
        <r>
          <rPr>
            <sz val="9"/>
            <color rgb="FF000000"/>
            <rFont val="Geneva"/>
            <family val="2"/>
          </rPr>
          <t>Use a sector average beta, if need be.</t>
        </r>
      </text>
    </comment>
    <comment ref="B9" authorId="0" shapeId="0" xr:uid="{00000000-0006-0000-0700-000002000000}">
      <text>
        <r>
          <rPr>
            <b/>
            <sz val="9"/>
            <color rgb="FF000000"/>
            <rFont val="Geneva"/>
            <family val="2"/>
          </rPr>
          <t>Aswath Damodaran:</t>
        </r>
        <r>
          <rPr>
            <sz val="9"/>
            <color rgb="FF000000"/>
            <rFont val="Geneva"/>
            <family val="2"/>
          </rPr>
          <t xml:space="preserve">
</t>
        </r>
        <r>
          <rPr>
            <sz val="9"/>
            <color rgb="FF000000"/>
            <rFont val="Geneva"/>
            <family val="2"/>
          </rPr>
          <t>If your company has risk exposure in emergiing markets, incorporate that risk premiums here. See worksheet on country risk premiums.</t>
        </r>
      </text>
    </comment>
    <comment ref="B13" authorId="0" shapeId="0" xr:uid="{00000000-0006-0000-0700-000003000000}">
      <text>
        <r>
          <rPr>
            <b/>
            <sz val="9"/>
            <color indexed="8"/>
            <rFont val="Geneva"/>
            <family val="2"/>
          </rPr>
          <t>Aswath Damodaran:</t>
        </r>
        <r>
          <rPr>
            <sz val="9"/>
            <color indexed="8"/>
            <rFont val="Geneva"/>
            <family val="2"/>
          </rPr>
          <t xml:space="preserve">
</t>
        </r>
        <r>
          <rPr>
            <sz val="9"/>
            <color indexed="8"/>
            <rFont val="Geneva"/>
            <family val="2"/>
          </rPr>
          <t>Interest expense (gross) from most recent financial statement.</t>
        </r>
      </text>
    </comment>
    <comment ref="B14" authorId="0" shapeId="0" xr:uid="{00000000-0006-0000-0700-000004000000}">
      <text>
        <r>
          <rPr>
            <b/>
            <sz val="9"/>
            <color rgb="FF000000"/>
            <rFont val="Geneva"/>
            <family val="2"/>
          </rPr>
          <t>Aswath Damodaran:</t>
        </r>
        <r>
          <rPr>
            <sz val="9"/>
            <color rgb="FF000000"/>
            <rFont val="Geneva"/>
            <family val="2"/>
          </rPr>
          <t xml:space="preserve">
</t>
        </r>
        <r>
          <rPr>
            <sz val="9"/>
            <color rgb="FF000000"/>
            <rFont val="Geneva"/>
            <family val="2"/>
          </rPr>
          <t>Generally found in footnotes to financial statements.</t>
        </r>
      </text>
    </comment>
    <comment ref="B15" authorId="0" shapeId="0" xr:uid="{00000000-0006-0000-0700-000005000000}">
      <text>
        <r>
          <rPr>
            <b/>
            <sz val="9"/>
            <color indexed="8"/>
            <rFont val="Geneva"/>
            <family val="2"/>
          </rPr>
          <t>Aswath Damodaran:</t>
        </r>
        <r>
          <rPr>
            <sz val="9"/>
            <color indexed="8"/>
            <rFont val="Geneva"/>
            <family val="2"/>
          </rPr>
          <t xml:space="preserve">
</t>
        </r>
        <r>
          <rPr>
            <sz val="9"/>
            <color indexed="8"/>
            <rFont val="Geneva"/>
            <family val="2"/>
          </rPr>
          <t>Current, long term cost of borrowing money. If you have a rating use it, if not use a synthetic rating.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Yuxin Zhang</author>
  </authors>
  <commentList>
    <comment ref="F69" authorId="0" shapeId="0" xr:uid="{D18E4FF5-AD2B-584B-B7F8-5E590C025E98}">
      <text>
        <r>
          <rPr>
            <b/>
            <sz val="12"/>
            <color rgb="FF000000"/>
            <rFont val="Tahoma"/>
            <family val="2"/>
          </rPr>
          <t>Yuxin Zhang:</t>
        </r>
        <r>
          <rPr>
            <sz val="12"/>
            <color rgb="FF000000"/>
            <rFont val="Tahoma"/>
            <family val="2"/>
          </rPr>
          <t xml:space="preserve">
</t>
        </r>
        <r>
          <rPr>
            <sz val="12"/>
            <color rgb="FF000000"/>
            <rFont val="Tahoma"/>
            <family val="2"/>
          </rPr>
          <t>intel has equity option value  stated in the 10-k 2017, yet the  maturity period and strike price are not speicified. Intel calculate its option value by Black Scholas. So I directly uses the reportedd option value, which is 1.4 Billion.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Aswath Damodaran</author>
  </authors>
  <commentList>
    <comment ref="D40" authorId="0" shapeId="0" xr:uid="{00000000-0006-0000-0300-000001000000}">
      <text>
        <r>
          <rPr>
            <b/>
            <sz val="9"/>
            <color indexed="81"/>
            <rFont val="Geneva"/>
            <family val="2"/>
          </rPr>
          <t>Aswath Damodaran:</t>
        </r>
        <r>
          <rPr>
            <sz val="9"/>
            <color indexed="81"/>
            <rFont val="Geneva"/>
            <family val="2"/>
          </rPr>
          <t xml:space="preserve">
By expensing R&amp;D rather than capitalizing it, the firm gets a tax benefit. This is the dollar value of that tax benefit.</t>
        </r>
      </text>
    </comment>
  </commentList>
</comments>
</file>

<file path=xl/sharedStrings.xml><?xml version="1.0" encoding="utf-8"?>
<sst xmlns="http://schemas.openxmlformats.org/spreadsheetml/2006/main" count="1262" uniqueCount="809">
  <si>
    <t>! Operating lease expense - Depreciation</t>
    <phoneticPr fontId="29" type="noConversion"/>
  </si>
  <si>
    <t>Electric Utility (West)</t>
  </si>
  <si>
    <t>Interest  coverage ratio =</t>
  </si>
  <si>
    <t>The questions below, especially the yes or no ones, can be confusing. Please read the comments on the input cells.</t>
    <phoneticPr fontId="29" type="noConversion"/>
  </si>
  <si>
    <t>Debt Value of leases =</t>
  </si>
  <si>
    <t>Imputed Return on capital forever =</t>
  </si>
  <si>
    <t>Input Diagnostics</t>
  </si>
  <si>
    <t>B81-83</t>
  </si>
  <si>
    <t>! If in doubt, use the lookup table below</t>
  </si>
  <si>
    <t>Do you want to capitalize R&amp;D expenses?</t>
  </si>
  <si>
    <t>Operating Lease Converter</t>
  </si>
  <si>
    <t>Inputs</t>
  </si>
  <si>
    <t>to estimate the number of years of expenses in yr 6</t>
  </si>
  <si>
    <t>financial statements, and review and change the inputs for the valuation.</t>
  </si>
  <si>
    <t>Operating Income Decline</t>
  </si>
  <si>
    <t>Medical Supplies</t>
  </si>
  <si>
    <t>Reported Debt =</t>
  </si>
  <si>
    <t>Telecom. Equipment</t>
  </si>
  <si>
    <t>Beta used for stock =</t>
  </si>
  <si>
    <t>Growth rate during stable growth period =</t>
  </si>
  <si>
    <t>Average maturity</t>
  </si>
  <si>
    <t>positive. It allows for up to 15 years of high growth, and can be used either as a 2-stage or a 3-stage model.</t>
  </si>
  <si>
    <t>The inputs are in the following pages:</t>
  </si>
  <si>
    <t>Chemical (Specialty)</t>
  </si>
  <si>
    <t>Coal/Alternate Energy</t>
  </si>
  <si>
    <t>Computer &amp; Peripherals</t>
  </si>
  <si>
    <t>Computer Software &amp; Svcs</t>
  </si>
  <si>
    <t>Copper</t>
  </si>
  <si>
    <t>Reinvestment Rate</t>
  </si>
  <si>
    <t>If no, enter the ratio of working capital to revenues to use in analysis</t>
  </si>
  <si>
    <t>inputs adjusted during the second half of the high growth phase.</t>
  </si>
  <si>
    <t>Before you start</t>
  </si>
  <si>
    <t>Estimated Default Spread =</t>
  </si>
  <si>
    <t>Amortization of asset for current year =</t>
  </si>
  <si>
    <t>Risk Premium =</t>
  </si>
  <si>
    <t>Length of High Growth Period =</t>
  </si>
  <si>
    <t>Forever</t>
  </si>
  <si>
    <t>Cost of Debt =</t>
  </si>
  <si>
    <t>Total</t>
  </si>
  <si>
    <t>Tax Rate =</t>
  </si>
  <si>
    <t>Tax Rate to use in stable growth period =</t>
  </si>
  <si>
    <t>Important: Be consistent about the units you use. If you use millions, use millions for all of your inputs.</t>
  </si>
  <si>
    <t>Office Equip &amp; Supplies</t>
  </si>
  <si>
    <t>Manuf. Housing/Rec Veh</t>
  </si>
  <si>
    <t>Electric Utility (East)</t>
  </si>
  <si>
    <t>income, the book value of assets and the book value of equity.</t>
  </si>
  <si>
    <t>Normalized EBIT (before adjustments)</t>
  </si>
  <si>
    <t>Pre-tax Operating Margin for Sector =</t>
  </si>
  <si>
    <t>! Look at industry average</t>
  </si>
  <si>
    <t>Adjusted EBIT =</t>
  </si>
  <si>
    <t>Adjusted Book Value of Debt =</t>
  </si>
  <si>
    <t>greater than</t>
  </si>
  <si>
    <t>Debt Ratio used in Cost of Capital Calculation=</t>
  </si>
  <si>
    <t>Enter the type of firm =</t>
  </si>
  <si>
    <t>Current</t>
  </si>
  <si>
    <t>Valuation</t>
  </si>
  <si>
    <t xml:space="preserve">for a stable growth phase (2-stage model) or it can be adjusted to allow for a transition phase (3-stage model). </t>
  </si>
  <si>
    <t>Restated Financials</t>
  </si>
  <si>
    <t>Current Interest Expense =</t>
  </si>
  <si>
    <t>If you have negative operating income, you will either have to normalize it to make it positive, or use the highgrowth.xls spreadsheet.</t>
  </si>
  <si>
    <t>Enter the expiration of the option =</t>
  </si>
  <si>
    <t xml:space="preserve">2. Industry averages: Here, you can look up industry averages for variables such as beta, return on capital, </t>
  </si>
  <si>
    <t>Insurance (Diversified)</t>
  </si>
  <si>
    <t>Standard Deviation in stock price</t>
  </si>
  <si>
    <t>There are two other worksheets that you might find useful at the end of this spreadsheet</t>
  </si>
  <si>
    <t>Oilfield Services/Equip.</t>
  </si>
  <si>
    <t>Diversified Co.</t>
  </si>
  <si>
    <t>Drug</t>
  </si>
  <si>
    <t>Drugstore</t>
  </si>
  <si>
    <t>Educational Services</t>
  </si>
  <si>
    <t>Number of firms</t>
  </si>
  <si>
    <t>Pre-tax Operating Margin</t>
  </si>
  <si>
    <t>This spreadsheet converts R&amp;D expenses from operating to capital expenses. It makes the appropriate adjustments to operating income, net</t>
  </si>
  <si>
    <t>Thrift</t>
  </si>
  <si>
    <t>For financial service firms</t>
  </si>
  <si>
    <t>Telecom. Services</t>
  </si>
  <si>
    <t>Enter the standard deviation in stock prices =</t>
  </si>
  <si>
    <t>Paper &amp; Forest Products</t>
  </si>
  <si>
    <t>The spreadsheet has circular reasoning. This is not a problem. Go into calculation options (in excel) and check</t>
  </si>
  <si>
    <t>the iteration box.</t>
  </si>
  <si>
    <t>Debt/(Debt +Equity) =</t>
  </si>
  <si>
    <t>Cost of Capital</t>
  </si>
  <si>
    <t>Cost of Capital =</t>
  </si>
  <si>
    <t>(Enter 1 if large manufacturing firm, 2 if smaller or riskier firm, 3 if financial service firm)</t>
  </si>
  <si>
    <t>Do you want to keep the debt ratio computed from your inputs?</t>
  </si>
  <si>
    <t>Electrical Equipment</t>
  </si>
  <si>
    <t>! Commitment beyond year 6 converted into an annuity for ten years</t>
  </si>
  <si>
    <t>Do you want to estimate the firm's synthetic rating =</t>
  </si>
  <si>
    <t># Warrants issued=</t>
  </si>
  <si>
    <t>Cumulated Cost of Capital</t>
  </si>
  <si>
    <t>If historical average,</t>
  </si>
  <si>
    <t>If not, what is the current rating of the firm?</t>
  </si>
  <si>
    <t>Enter the cost of debt associated with the rating =</t>
  </si>
  <si>
    <t>Depreciation on Operating Lease Asset =</t>
  </si>
  <si>
    <t>! I use straight line depreciation</t>
  </si>
  <si>
    <t>Non-technological Service</t>
  </si>
  <si>
    <t>Adjusted Capital Spending</t>
  </si>
  <si>
    <t>Financial Services</t>
  </si>
  <si>
    <t>Normalized Earnings before interest and taxes =</t>
  </si>
  <si>
    <t>Inputs for synthetic rating estimation</t>
  </si>
  <si>
    <t>Average Earnings before interest and taxes =</t>
  </si>
  <si>
    <t>Value at the end of growth phase =</t>
  </si>
  <si>
    <t>Present Value of FCFF in high growth phase =</t>
  </si>
  <si>
    <t>3 years</t>
  </si>
  <si>
    <t>Research, with Patenting</t>
  </si>
  <si>
    <t>Long Gestation Period</t>
  </si>
  <si>
    <t>Length of high growth period =</t>
  </si>
  <si>
    <t>Petroleum (Integrated)</t>
  </si>
  <si>
    <t>reinvestment rates and working capital.</t>
  </si>
  <si>
    <t>Do you have equity options (management options, warrants) outstanding?</t>
  </si>
  <si>
    <t>Adjusted S =</t>
  </si>
  <si>
    <t>Adjusted K =</t>
  </si>
  <si>
    <t>Do you want to use the stock price to value the option or your estimated value?</t>
  </si>
  <si>
    <t>Stock Price=</t>
  </si>
  <si>
    <t xml:space="preserve">1. Bottom-up beta estimator: will estimate your levered beta, given an unlevered beta (which you will have to </t>
  </si>
  <si>
    <t>input.</t>
  </si>
  <si>
    <t>Number of years embedded in yr 6 estimate =</t>
  </si>
  <si>
    <t>Metal Fabricating</t>
  </si>
  <si>
    <t>Metals &amp; Mining (Div.)</t>
  </si>
  <si>
    <t>Market Value of Equity/share =</t>
  </si>
  <si>
    <t>Value of operating assets of the firm =</t>
  </si>
  <si>
    <t>Value of Research Asset =</t>
  </si>
  <si>
    <t>Estimated Bond Rating =</t>
  </si>
  <si>
    <t>Current Revenues =</t>
  </si>
  <si>
    <t>Current Non-cash Working Capital =</t>
  </si>
  <si>
    <t>Chg. Working Capital =</t>
  </si>
  <si>
    <t>Master Input Sheet</t>
  </si>
  <si>
    <t>Market Debt/Capital</t>
  </si>
  <si>
    <t>Growth Rate =</t>
  </si>
  <si>
    <t>If no,  enter capital expenditure as % of depreciation in stable growth</t>
  </si>
  <si>
    <t>Insurance (Prop/Casualty)</t>
  </si>
  <si>
    <t>Internet</t>
  </si>
  <si>
    <t>Investment Co. (Domestic)</t>
  </si>
  <si>
    <t>Investment Co. (Foreign)</t>
  </si>
  <si>
    <t>Investment Co. (Income)</t>
  </si>
  <si>
    <t>Machinery</t>
  </si>
  <si>
    <t>Sales/Capital</t>
  </si>
  <si>
    <t>Petroleum (Producing)</t>
  </si>
  <si>
    <t>Water Utility</t>
  </si>
  <si>
    <t>6 and beyond</t>
  </si>
  <si>
    <t>Light Manufacturing</t>
  </si>
  <si>
    <t>5 years</t>
  </si>
  <si>
    <t>The maximum allowed is ten years</t>
  </si>
  <si>
    <t>Previous year-end</t>
  </si>
  <si>
    <t>Normalizing Earnings</t>
  </si>
  <si>
    <t>Debt/ (Equity + Debt)  =</t>
  </si>
  <si>
    <t>If yes, the debt ratio that will be used to compute the cost of capital is</t>
  </si>
  <si>
    <t>Present Value of Terminal Value of Firm =</t>
  </si>
  <si>
    <t>Market Value of outstanding debt =</t>
  </si>
  <si>
    <t>Market Value of Equity =</t>
  </si>
  <si>
    <t>Strike Price=</t>
  </si>
  <si>
    <t>Equity/(Debt+Equity ) =</t>
  </si>
  <si>
    <t>After-tax Cost of debt =</t>
  </si>
  <si>
    <t>Do you want to compute reinvestment needs in stable growth based on fundamentals?</t>
  </si>
  <si>
    <t># Shares outstanding=</t>
  </si>
  <si>
    <t>T.Bond rate=</t>
  </si>
  <si>
    <t>Auto Parts (Replacement)</t>
  </si>
  <si>
    <t>Bank</t>
  </si>
  <si>
    <t>Bank (Canadian)</t>
  </si>
  <si>
    <t>Precision Instrument</t>
  </si>
  <si>
    <t>Publishing</t>
  </si>
  <si>
    <t>Annualized dividend yield=</t>
  </si>
  <si>
    <t>Div. Adj. interest rate=</t>
  </si>
  <si>
    <t xml:space="preserve">d1 = </t>
  </si>
  <si>
    <t>&gt;</t>
  </si>
  <si>
    <t>≤ to</t>
  </si>
  <si>
    <t>Debt Ratio to use in stable growth period =</t>
  </si>
  <si>
    <t>If yes, the inputs to the fundamental growth calculation (based upon your inputs) are</t>
  </si>
  <si>
    <t>Reinvestment Rate =</t>
  </si>
  <si>
    <t>Do you want to convert operating leases to debt?</t>
  </si>
  <si>
    <t>3. If you have R&amp;D or operating leases, you will need to input the required numbers in those worksheets.</t>
  </si>
  <si>
    <t>Other worksheets</t>
  </si>
  <si>
    <t>Current Depreciation &amp; Amort'n =</t>
  </si>
  <si>
    <t>Industry Name</t>
  </si>
  <si>
    <t>Advertising</t>
  </si>
  <si>
    <t>! If you do not have a cost of debt, use the ratings estimator</t>
  </si>
  <si>
    <t>From the current financial statements, enter the following</t>
  </si>
  <si>
    <t>Reported Operating Income (EBIT) =</t>
  </si>
  <si>
    <t>Cash &amp; Marketable Securities =</t>
  </si>
  <si>
    <t>Value of Non-operating Assets =</t>
  </si>
  <si>
    <t>Input Summary</t>
  </si>
  <si>
    <t>! This is the interest-bearing debt reported on the balance sheet</t>
  </si>
  <si>
    <t>Free Cashflow to Firm</t>
  </si>
  <si>
    <t>! I use the average lease expense over the first five years</t>
  </si>
  <si>
    <t>Medical Services</t>
  </si>
  <si>
    <t>This model is designed to value firms with operating income that is either positive or can be normalized to be</t>
  </si>
  <si>
    <t>10 years</t>
  </si>
  <si>
    <t>Is your stock currently traded?</t>
  </si>
  <si>
    <t>Market Data for your firm</t>
  </si>
  <si>
    <t>Insurance (Prop/Cas.)</t>
  </si>
  <si>
    <t>Natural Gas (Div.)</t>
  </si>
  <si>
    <t>Office Equip/Supplies</t>
  </si>
  <si>
    <t>Oilfield Svcs/Equip.</t>
  </si>
  <si>
    <t>Paper/Forest Products</t>
  </si>
  <si>
    <t>Pharmacy Services</t>
  </si>
  <si>
    <t>Power</t>
  </si>
  <si>
    <t>Precious Metals</t>
  </si>
  <si>
    <t>Semiconductor Equip</t>
  </si>
  <si>
    <t>Restaurant</t>
  </si>
  <si>
    <t>Look Up Table for Amortization Periods</t>
  </si>
  <si>
    <t>EBIT</t>
  </si>
  <si>
    <t>Operating lease expense in current year =</t>
  </si>
  <si>
    <t>Yes</t>
  </si>
  <si>
    <t>Value of Equity in Options =</t>
  </si>
  <si>
    <t>Value of Equity in Common Stock =</t>
  </si>
  <si>
    <t>Cost of Equity =</t>
  </si>
  <si>
    <t>You can even make it a stable growth model, by setting the length of the high growth period to zero.</t>
  </si>
  <si>
    <t>Intermediate Output</t>
  </si>
  <si>
    <t>Book Value of Debt =</t>
  </si>
  <si>
    <t>Electric Util. (Central)</t>
  </si>
  <si>
    <t>Valuing Options or Warrants</t>
  </si>
  <si>
    <t xml:space="preserve">Value per option = </t>
  </si>
  <si>
    <t>Value of all options outstanding =</t>
  </si>
  <si>
    <t>Current Stock Price =</t>
  </si>
  <si>
    <t>R.E.I.T.</t>
  </si>
  <si>
    <t>Railroad</t>
  </si>
  <si>
    <t>Recreation</t>
  </si>
  <si>
    <t>Operating Margin</t>
  </si>
  <si>
    <t>Beta to use in stable growth period =</t>
  </si>
  <si>
    <t>Natural Gas (Diversified)</t>
  </si>
  <si>
    <t>Newspaper</t>
  </si>
  <si>
    <t>Semiconductor</t>
  </si>
  <si>
    <t>Semiconductor Cap Equip</t>
  </si>
  <si>
    <t>Converting Operating Leases into debt</t>
  </si>
  <si>
    <t>Rating is</t>
  </si>
  <si>
    <t>Spread is</t>
  </si>
  <si>
    <t>Trucking/Transp. Leasing</t>
  </si>
  <si>
    <t>Utility (Foreign)</t>
  </si>
  <si>
    <t>Do you want to compute your growth rate from fundamentals?</t>
  </si>
  <si>
    <t>Retail Automotive</t>
  </si>
  <si>
    <t>Book Value of Equity =</t>
  </si>
  <si>
    <t>Steel (Integrated)</t>
  </si>
  <si>
    <t>Worksheet for normalization (Last 5 years of data)</t>
  </si>
  <si>
    <t>Output</t>
  </si>
  <si>
    <t>Insurance (Life)</t>
  </si>
  <si>
    <t>VALUING WARRANTS WHEN THERE IS DILUTION</t>
  </si>
  <si>
    <t xml:space="preserve"> -Chg. Working Capital</t>
  </si>
  <si>
    <t>Unamortized portion</t>
  </si>
  <si>
    <t>Adjusted Depreciation &amp; Amort'n =</t>
  </si>
  <si>
    <t>An apology: I apologize for the number of inputs that are required on this sheet. Many of the inputs are required only if you choose the appropriate option, though.</t>
  </si>
  <si>
    <t>Equity/ (Equity + Debt) =</t>
  </si>
  <si>
    <t>From Current Financials</t>
  </si>
  <si>
    <t>Valuation Inputs</t>
  </si>
  <si>
    <t>High Growth Period</t>
  </si>
  <si>
    <t>Risk premium for equity in stable growth period =</t>
  </si>
  <si>
    <t>Current Capital Spending</t>
  </si>
  <si>
    <t>Tax Rate on Income =</t>
  </si>
  <si>
    <r>
      <t xml:space="preserve">2. If you want to normalized operating income, use the </t>
    </r>
    <r>
      <rPr>
        <sz val="10"/>
        <color indexed="10"/>
        <rFont val="Times"/>
        <family val="1"/>
      </rPr>
      <t>earnings normalizer</t>
    </r>
    <r>
      <rPr>
        <sz val="10"/>
        <rFont val="Times"/>
        <family val="1"/>
      </rPr>
      <t xml:space="preserve"> worksheet.</t>
    </r>
  </si>
  <si>
    <t>Enter the number of shares outstanding =</t>
  </si>
  <si>
    <t>Enter the current year's R&amp;D expense =</t>
  </si>
  <si>
    <t>! Year -1 is the year prior to the current year</t>
  </si>
  <si>
    <t>Return on Capital =</t>
  </si>
  <si>
    <t>Adjustment to Operating Earnings =</t>
  </si>
  <si>
    <t>Adjustment to Total Debt outstanding =</t>
  </si>
  <si>
    <t>Ratings</t>
  </si>
  <si>
    <t>Historical average pre-tax return on capital =</t>
  </si>
  <si>
    <t>If sector margin</t>
  </si>
  <si>
    <t>N (d1) =</t>
  </si>
  <si>
    <t>2 years</t>
  </si>
  <si>
    <t>Retail, Tech Service</t>
  </si>
  <si>
    <t>Retail (Special Lines)</t>
  </si>
  <si>
    <t>Retail Building Supply</t>
  </si>
  <si>
    <t>Retail Store</t>
  </si>
  <si>
    <t>! Year -2 is the two years prior to the current year</t>
  </si>
  <si>
    <t>Variance=</t>
  </si>
  <si>
    <t>Expiration (in years) =</t>
  </si>
  <si>
    <t>Enter current Earnings before interest and taxes (EBIT) =</t>
  </si>
  <si>
    <t xml:space="preserve">d2 = </t>
  </si>
  <si>
    <t>N (d2) =</t>
  </si>
  <si>
    <t>If historical average ROC,</t>
  </si>
  <si>
    <t>Value of Firm =</t>
  </si>
  <si>
    <t>(Add back only long term interest expense for financial firms)</t>
  </si>
  <si>
    <t>Electronics</t>
  </si>
  <si>
    <t>Air Transport</t>
  </si>
  <si>
    <t>Aluminum</t>
  </si>
  <si>
    <t>Apparel</t>
  </si>
  <si>
    <t>Securities Brokerage</t>
  </si>
  <si>
    <t>Year</t>
  </si>
  <si>
    <t>Tobacco</t>
  </si>
  <si>
    <t>Do you want to normalize operating income?</t>
  </si>
  <si>
    <t>Commitment</t>
  </si>
  <si>
    <t>! Year 1 is next year, ….</t>
  </si>
  <si>
    <t>Over how many years do you want to amortize R&amp;D expenses</t>
  </si>
  <si>
    <t>Risk premium for equity =</t>
  </si>
  <si>
    <t>Pre-tax Cost of Debt =</t>
  </si>
  <si>
    <t>Revenues</t>
  </si>
  <si>
    <t>Enter the number of warrants (options) outstanding =</t>
  </si>
  <si>
    <t>R&amp;D Expense</t>
  </si>
  <si>
    <t>Growth Rate in Stable Phase =</t>
  </si>
  <si>
    <t>FCFF in Stable Phase =</t>
  </si>
  <si>
    <t>Options</t>
  </si>
  <si>
    <t>Do not input numbers in the first column (Year). It will get automatically updated  based on the input above.</t>
  </si>
  <si>
    <t>R &amp; D Converter</t>
  </si>
  <si>
    <t>Auto Parts (OEM)</t>
  </si>
  <si>
    <t>Beverage (Soft Drink)</t>
  </si>
  <si>
    <t>Building Materials</t>
  </si>
  <si>
    <t>Enter R&amp; D expenses for past years: the number of years that you will need to enter will be determined by the amortization period</t>
  </si>
  <si>
    <t>To compute the reinvestment rate in stable growth, you have two options</t>
  </si>
  <si>
    <t>EBIT * (1 - tax rate)</t>
  </si>
  <si>
    <t>Information Services</t>
  </si>
  <si>
    <t>Current EBIT =</t>
  </si>
  <si>
    <t>Enter the current stock price =</t>
  </si>
  <si>
    <t>Enter the strike price on the option =</t>
  </si>
  <si>
    <t>NA</t>
  </si>
  <si>
    <t>Auto Parts</t>
  </si>
  <si>
    <t>Biotechnology</t>
  </si>
  <si>
    <t>Coal</t>
  </si>
  <si>
    <t>Computers/Peripherals</t>
  </si>
  <si>
    <t>E-Commerce</t>
  </si>
  <si>
    <t>Entertainment Tech</t>
  </si>
  <si>
    <t>Financial Svcs. (Div.)</t>
  </si>
  <si>
    <t>Foreign Electronics</t>
  </si>
  <si>
    <t>Furn/Home Furnishings</t>
  </si>
  <si>
    <t>Healthcare Information</t>
  </si>
  <si>
    <t>Human Resources</t>
  </si>
  <si>
    <t>Long Term Riskfree rate=</t>
  </si>
  <si>
    <t>Home Appliance</t>
  </si>
  <si>
    <t>Beverage (Alcoholic)</t>
  </si>
  <si>
    <t xml:space="preserve"> - (CapEx-Depreciation)</t>
  </si>
  <si>
    <t>Cost of Capital in Stable Phase =</t>
  </si>
  <si>
    <t>Enter current interest expenses =</t>
  </si>
  <si>
    <t>Enter the annualized dividend yield on stock =</t>
  </si>
  <si>
    <t>Enter the treasury bond rate =</t>
  </si>
  <si>
    <t>The FCFF for the high growth phase are shown below (upto 10 years)</t>
  </si>
  <si>
    <t>Packaging &amp; Container</t>
  </si>
  <si>
    <t>Auto &amp; Truck</t>
  </si>
  <si>
    <t>Riskfree rate =</t>
  </si>
  <si>
    <t>Do you want to change these inputs?</t>
  </si>
  <si>
    <t>FCFF VALUATION MODEL</t>
  </si>
  <si>
    <t>Homebuilding</t>
  </si>
  <si>
    <t>Hotel/Gaming</t>
  </si>
  <si>
    <t>Trucking</t>
  </si>
  <si>
    <t>Wireless Networking</t>
  </si>
  <si>
    <t>Adjusted Interest Expense =</t>
  </si>
  <si>
    <t>Chemical (Basic)</t>
  </si>
  <si>
    <t>Chemical (Diversified)</t>
  </si>
  <si>
    <t>Operating Lease Commitments (From footnote to financials)</t>
  </si>
  <si>
    <t>Output from the program</t>
  </si>
  <si>
    <t>Approach used to normalize earnings =</t>
  </si>
  <si>
    <t>If long term interest coverage ratio is</t>
  </si>
  <si>
    <t>Shoe</t>
  </si>
  <si>
    <t>Steel (General)</t>
  </si>
  <si>
    <t>Household Products</t>
  </si>
  <si>
    <t>Amortization Period</t>
  </si>
  <si>
    <t>Enter current long term government bond rate =</t>
  </si>
  <si>
    <t>Gold/Silver Mining</t>
  </si>
  <si>
    <t>Grocery</t>
  </si>
  <si>
    <t>Healthcare Info Systems</t>
  </si>
  <si>
    <t>R&amp; D Expenses</t>
  </si>
  <si>
    <t>Present Value</t>
  </si>
  <si>
    <t>If yes, enter the number of options</t>
  </si>
  <si>
    <t xml:space="preserve">Average strike price </t>
  </si>
  <si>
    <t>Would you like to use the book value debt ratio?</t>
  </si>
  <si>
    <t>If no, enter the debt ratio to use in valuation</t>
  </si>
  <si>
    <t>Stable Growth Period</t>
  </si>
  <si>
    <t>Heavy  Manufacturing</t>
  </si>
  <si>
    <t>If no, enter the expected growth rate in operating income for high growth period</t>
  </si>
  <si>
    <t>Industrial Services</t>
  </si>
  <si>
    <r>
      <t xml:space="preserve">1. The bulk of the inputs are in the </t>
    </r>
    <r>
      <rPr>
        <sz val="10"/>
        <color indexed="10"/>
        <rFont val="Times"/>
        <family val="1"/>
      </rPr>
      <t>master inputs page</t>
    </r>
    <r>
      <rPr>
        <sz val="10"/>
        <rFont val="Times"/>
        <family val="1"/>
      </rPr>
      <t>. Here, you can input the numbers from the current</t>
    </r>
  </si>
  <si>
    <t>General Market Data</t>
  </si>
  <si>
    <t>The spreadsheet can be used to value a company, with fixed inputs for a high growth phase and different inputs</t>
  </si>
  <si>
    <t>Adjustment to Operating Income =</t>
  </si>
  <si>
    <t>EV/Sales</t>
  </si>
  <si>
    <t>Beverage</t>
  </si>
  <si>
    <t>Natural Gas Utility</t>
  </si>
  <si>
    <t>Oil/Gas Distribution</t>
  </si>
  <si>
    <t>Reinsurance</t>
  </si>
  <si>
    <t>Amortization this year</t>
  </si>
  <si>
    <t>Natural Gas (Distrib.)</t>
  </si>
  <si>
    <t>If no, enter the debt ratio that you would like to use in the high growth period</t>
  </si>
  <si>
    <t>Public/Private Equity</t>
  </si>
  <si>
    <t>Funeral Services</t>
  </si>
  <si>
    <t xml:space="preserve">To switch from one to the other, enter yes in the master input page to the question of whether you want the </t>
  </si>
  <si>
    <t>Terminal Year</t>
  </si>
  <si>
    <t>Cost of Equity in Stable Phase =</t>
  </si>
  <si>
    <t>(Use only long term interest expense for financial firms)</t>
  </si>
  <si>
    <t>Beta to use for high growth period for your firm=</t>
  </si>
  <si>
    <t>Expected Growth Rate</t>
  </si>
  <si>
    <t>AT Cost of Debt in Stable Phase =</t>
  </si>
  <si>
    <t>Unlevered Beta</t>
  </si>
  <si>
    <t>For smaller and riskier firms</t>
  </si>
  <si>
    <t>If yes, enter the return on capital that the firm will have in stable growth</t>
  </si>
  <si>
    <t>Estimated Cost of Debt =</t>
  </si>
  <si>
    <t>For large manufacturing firms</t>
  </si>
  <si>
    <t>If yes, enter the following:</t>
  </si>
  <si>
    <t>Value of Cash, Marketable Securities &amp; Non-operating assets =</t>
  </si>
  <si>
    <t>Food Processing</t>
  </si>
  <si>
    <t>Food Wholesalers</t>
  </si>
  <si>
    <t>Aerospace/Defense</t>
  </si>
  <si>
    <t>Number of shares outstanding =</t>
  </si>
  <si>
    <t>No</t>
  </si>
  <si>
    <t>Tax Effect of R&amp;D Expensing</t>
  </si>
  <si>
    <t>If yes, choose the type of firm</t>
  </si>
  <si>
    <t>! This is the EBIT reported in the current income statement</t>
  </si>
  <si>
    <t>The output is contained in the valuation model worksheet.</t>
  </si>
  <si>
    <t>Do you want to keep the existing ratio of working capital to revenue?</t>
  </si>
  <si>
    <t>If yes, the working capital as a percent of revenues will be</t>
  </si>
  <si>
    <t>Toiletries/Cosmetics</t>
  </si>
  <si>
    <t>Tire &amp; Rubber</t>
  </si>
  <si>
    <t>Maritime</t>
  </si>
  <si>
    <t>Market Value of Debt =</t>
  </si>
  <si>
    <t>Adjusted Book Value of Equity =</t>
  </si>
  <si>
    <t>Foreign Telecom.</t>
  </si>
  <si>
    <t>Furn./Home Furnishings</t>
  </si>
  <si>
    <t>Do you want me to gradually adjust your high growth inputs in the second half?</t>
  </si>
  <si>
    <t>Reinvestment Rate in Stable Phase =</t>
  </si>
  <si>
    <t>Cumulated Growth</t>
  </si>
  <si>
    <t>Textile</t>
  </si>
  <si>
    <t>Pre-tax cost of debt in stable growth period =</t>
  </si>
  <si>
    <t>If interest coverage ratio is</t>
  </si>
  <si>
    <t>Revisit input cell</t>
  </si>
  <si>
    <t>B54</t>
  </si>
  <si>
    <t>B74</t>
  </si>
  <si>
    <t>B77</t>
  </si>
  <si>
    <t>B75</t>
  </si>
  <si>
    <t>B78</t>
  </si>
  <si>
    <t>B79</t>
  </si>
  <si>
    <t>B82</t>
  </si>
  <si>
    <t>Entertainment</t>
  </si>
  <si>
    <t>Environmental</t>
  </si>
  <si>
    <t>Foreign Electron/Entertn</t>
  </si>
  <si>
    <t>! A positive number indicates an increase in operating income (add to reported EBIT)</t>
  </si>
  <si>
    <t>Yes</t>
    <phoneticPr fontId="29" type="noConversion"/>
  </si>
  <si>
    <t>Bank (Foreign)</t>
  </si>
  <si>
    <t>Bank (Midwest)</t>
  </si>
  <si>
    <t>Cable TV</t>
  </si>
  <si>
    <t>Canadian Energy</t>
  </si>
  <si>
    <t>Cement &amp; Aggregates</t>
  </si>
  <si>
    <t>(volatility)</t>
  </si>
  <si>
    <t>What the model does</t>
  </si>
  <si>
    <t>Working Capital as percent of revenues =</t>
  </si>
  <si>
    <t xml:space="preserve"> (in percent)</t>
  </si>
  <si>
    <t>Do not input any numbers below this line</t>
  </si>
  <si>
    <t>If no, enter the following</t>
  </si>
  <si>
    <t>Automotive</t>
  </si>
  <si>
    <t>Engineering &amp; Const</t>
  </si>
  <si>
    <t>Pipeline MLPs</t>
  </si>
  <si>
    <t>Retail/Wholesale Food</t>
  </si>
  <si>
    <t>Telecom. Utility</t>
  </si>
  <si>
    <t>Computer Software</t>
  </si>
  <si>
    <t>Heavy Truck &amp; Equip</t>
  </si>
  <si>
    <t>IT Services</t>
  </si>
  <si>
    <t>Med Supp Invasive</t>
  </si>
  <si>
    <t>Med Supp Non-Invasive</t>
  </si>
  <si>
    <t>Retail (Hardlines)</t>
  </si>
  <si>
    <t>Retail (Softlines)</t>
  </si>
  <si>
    <t>Steel</t>
  </si>
  <si>
    <t>Yes/No</t>
  </si>
  <si>
    <t>If yes, please input your numbers into R&amp;D converter worksheet</t>
  </si>
  <si>
    <t>If yes, please input your numbers into operating lease worksheet</t>
  </si>
  <si>
    <t>If yes, please input your numbers into Earnings Normalizer worksheet</t>
  </si>
  <si>
    <t>Minority interests</t>
  </si>
  <si>
    <t>Current Price</t>
  </si>
  <si>
    <t>Estimated Value</t>
  </si>
  <si>
    <t>Effective tax rate (for use on operating income)</t>
  </si>
  <si>
    <t>Marginal tax rate (for use on cost of debt)</t>
  </si>
  <si>
    <t>Minority Interests</t>
  </si>
  <si>
    <t>Estimation of Current Cost of Capital</t>
  </si>
  <si>
    <t>If you are a multinational company and have a breakdown by country, you can use this table (for up to 10 countries)</t>
  </si>
  <si>
    <t>Country</t>
  </si>
  <si>
    <t>ERP</t>
  </si>
  <si>
    <t>Weight</t>
  </si>
  <si>
    <t>Weighted ERP</t>
  </si>
  <si>
    <t>Equity</t>
  </si>
  <si>
    <t>Bolivia</t>
  </si>
  <si>
    <t>Number of Shares outstanding =</t>
  </si>
  <si>
    <t>Ecuador</t>
  </si>
  <si>
    <t>Current Market Price per share =</t>
  </si>
  <si>
    <t>Unlevered beta =</t>
  </si>
  <si>
    <t>Riskfree Rate =</t>
  </si>
  <si>
    <t>Equity Risk Premium =</t>
  </si>
  <si>
    <t>Debt</t>
  </si>
  <si>
    <t>Book Value of Straight Debt =</t>
  </si>
  <si>
    <t>Interest Expense on Debt =</t>
  </si>
  <si>
    <t>Average Maturity =</t>
  </si>
  <si>
    <t>If you are a multinational company and have a breakdown only by region, you can use this table instead</t>
  </si>
  <si>
    <t>Region</t>
  </si>
  <si>
    <t>Book Value of Convertible Debt =</t>
  </si>
  <si>
    <t>Interest Expense on Convertible =</t>
  </si>
  <si>
    <t>Maturity of Convertible Bond =</t>
  </si>
  <si>
    <t>Market Value of Convertible =</t>
  </si>
  <si>
    <t>Debt value of operating leases =</t>
  </si>
  <si>
    <t>Preferred Stock</t>
  </si>
  <si>
    <t>Number of Preferred Shares =</t>
  </si>
  <si>
    <t>Current Market Price per Share=</t>
  </si>
  <si>
    <t>Annual Dividend per Share =</t>
  </si>
  <si>
    <t>If you are a multi-business company, you can input the following</t>
  </si>
  <si>
    <t>Business</t>
  </si>
  <si>
    <t>Estimating Market Value of Straight Debt =</t>
  </si>
  <si>
    <t>Estimated Value of Straight Debt in Convertible =</t>
  </si>
  <si>
    <t>Value of Debt in Operating leases =</t>
  </si>
  <si>
    <t>Estimated Value of Equity in Convertible =</t>
  </si>
  <si>
    <t>Levered Beta for equity =</t>
  </si>
  <si>
    <t xml:space="preserve">Debt </t>
  </si>
  <si>
    <t>Capital</t>
  </si>
  <si>
    <t>Market Value</t>
  </si>
  <si>
    <t>Weight in Cost of Capital</t>
  </si>
  <si>
    <t>Cost of Component</t>
  </si>
  <si>
    <t>Company</t>
  </si>
  <si>
    <t>Annual Average Revenue growth - Last 5 years</t>
  </si>
  <si>
    <t>After-tax ROC</t>
  </si>
  <si>
    <t>Average effective tax rate</t>
  </si>
  <si>
    <t>Equity (Levered) Beta</t>
  </si>
  <si>
    <t>Cost of equity</t>
  </si>
  <si>
    <t>Std deviation in stock prices</t>
  </si>
  <si>
    <t>Pre-tax cost of debt</t>
  </si>
  <si>
    <t>Cost of capital</t>
  </si>
  <si>
    <t>EV/EBITDA</t>
  </si>
  <si>
    <t>EV/EBIT</t>
  </si>
  <si>
    <t>Price/Book</t>
  </si>
  <si>
    <t>Trailing PE</t>
  </si>
  <si>
    <t>Long-Term Rating</t>
  </si>
  <si>
    <t>Adj. Default Spread</t>
  </si>
  <si>
    <t>Country Risk Premium</t>
  </si>
  <si>
    <t>Albania</t>
  </si>
  <si>
    <t>B1</t>
  </si>
  <si>
    <t>Eastern Europe &amp; Russia</t>
  </si>
  <si>
    <t>Angola</t>
  </si>
  <si>
    <t>Ba3</t>
  </si>
  <si>
    <t>Africa</t>
  </si>
  <si>
    <t>Argentina</t>
  </si>
  <si>
    <t>B3</t>
  </si>
  <si>
    <t>Central and South America</t>
  </si>
  <si>
    <t>Armenia</t>
  </si>
  <si>
    <t>Ba2</t>
  </si>
  <si>
    <t>Australia</t>
  </si>
  <si>
    <t>Aaa</t>
  </si>
  <si>
    <t>Australia &amp; New Zealand</t>
  </si>
  <si>
    <t>Western Europe</t>
  </si>
  <si>
    <t>Azerbaijan</t>
  </si>
  <si>
    <t>Baa3</t>
  </si>
  <si>
    <t>Bahamas</t>
  </si>
  <si>
    <t>A3</t>
  </si>
  <si>
    <t>Caribbean</t>
  </si>
  <si>
    <t>Bahrain</t>
  </si>
  <si>
    <t>Baa1</t>
  </si>
  <si>
    <t>Middle East</t>
  </si>
  <si>
    <t>Bangladesh</t>
  </si>
  <si>
    <t>Barbados</t>
  </si>
  <si>
    <t>Belarus</t>
  </si>
  <si>
    <t>Aa3</t>
  </si>
  <si>
    <t>Belize</t>
  </si>
  <si>
    <t>Bermuda</t>
  </si>
  <si>
    <t>Aa2</t>
  </si>
  <si>
    <t>Bosnia and Herzegovina</t>
  </si>
  <si>
    <t>Botswana</t>
  </si>
  <si>
    <t>A2</t>
  </si>
  <si>
    <t>Brazil</t>
  </si>
  <si>
    <t>Baa2</t>
  </si>
  <si>
    <t>Bulgaria</t>
  </si>
  <si>
    <t>Cambodia</t>
  </si>
  <si>
    <t>B2</t>
  </si>
  <si>
    <t>Canada</t>
  </si>
  <si>
    <t>North America</t>
  </si>
  <si>
    <t>Cayman Islands</t>
  </si>
  <si>
    <t>Chile</t>
  </si>
  <si>
    <t>China</t>
  </si>
  <si>
    <t>Colombia</t>
  </si>
  <si>
    <t>Costa Rica</t>
  </si>
  <si>
    <t>Croatia</t>
  </si>
  <si>
    <t>Cuba</t>
  </si>
  <si>
    <t>Caa1</t>
  </si>
  <si>
    <t>Czech Republic</t>
  </si>
  <si>
    <t>A1</t>
  </si>
  <si>
    <t>Denmark</t>
  </si>
  <si>
    <t>Dominican Republic</t>
  </si>
  <si>
    <t>Egypt</t>
  </si>
  <si>
    <t>El Salvador</t>
  </si>
  <si>
    <t>Estonia</t>
  </si>
  <si>
    <t>Georgia</t>
  </si>
  <si>
    <t>Guatemala</t>
  </si>
  <si>
    <t>Ba1</t>
  </si>
  <si>
    <t>Honduras</t>
  </si>
  <si>
    <t>Hong Kong</t>
  </si>
  <si>
    <t>Aa1</t>
  </si>
  <si>
    <t>Hungary</t>
  </si>
  <si>
    <t>Iceland</t>
  </si>
  <si>
    <t>India</t>
  </si>
  <si>
    <t>Indonesia</t>
  </si>
  <si>
    <t>Isle of Man</t>
  </si>
  <si>
    <t>Israel</t>
  </si>
  <si>
    <t>Jamaica</t>
  </si>
  <si>
    <t>Japan</t>
  </si>
  <si>
    <t>Jordan</t>
  </si>
  <si>
    <t>Kazakhstan</t>
  </si>
  <si>
    <t>Korea</t>
  </si>
  <si>
    <t>Kuwait</t>
  </si>
  <si>
    <t>Latvia</t>
  </si>
  <si>
    <t>Lebanon</t>
  </si>
  <si>
    <t>Lithuania</t>
  </si>
  <si>
    <t>Macao</t>
  </si>
  <si>
    <t>Malaysia</t>
  </si>
  <si>
    <t>Mauritius</t>
  </si>
  <si>
    <t>Mexico</t>
  </si>
  <si>
    <t>Moldova</t>
  </si>
  <si>
    <t>Mongolia</t>
  </si>
  <si>
    <t>Montenegro</t>
  </si>
  <si>
    <t>Morocco</t>
  </si>
  <si>
    <t>Namibia</t>
  </si>
  <si>
    <t>New Zealand</t>
  </si>
  <si>
    <t>Nicaragua</t>
  </si>
  <si>
    <t>Norway</t>
  </si>
  <si>
    <t>Oman</t>
  </si>
  <si>
    <t>Pakistan</t>
  </si>
  <si>
    <t>Panama</t>
  </si>
  <si>
    <t>Papua New Guinea</t>
  </si>
  <si>
    <t>Paraguay</t>
  </si>
  <si>
    <t>Peru</t>
  </si>
  <si>
    <t>Philippines</t>
  </si>
  <si>
    <t>Poland</t>
  </si>
  <si>
    <t>Qatar</t>
  </si>
  <si>
    <t>Romania</t>
  </si>
  <si>
    <t>Russia</t>
  </si>
  <si>
    <t>Saudi Arabia</t>
  </si>
  <si>
    <t>Senegal</t>
  </si>
  <si>
    <t>Singapore</t>
  </si>
  <si>
    <t>Slovakia</t>
  </si>
  <si>
    <t>South Africa</t>
  </si>
  <si>
    <t>Spain</t>
  </si>
  <si>
    <t>Sri Lanka</t>
  </si>
  <si>
    <t>St. Vincent &amp; the Grenadines</t>
  </si>
  <si>
    <t>Suriname</t>
  </si>
  <si>
    <t>Sweden</t>
  </si>
  <si>
    <t>Switzerland</t>
  </si>
  <si>
    <t>Taiwan</t>
  </si>
  <si>
    <t>Thailand</t>
  </si>
  <si>
    <t>Trinidad and Tobago</t>
  </si>
  <si>
    <t>Tunisia</t>
  </si>
  <si>
    <t>Turkey</t>
  </si>
  <si>
    <t>Ukraine</t>
  </si>
  <si>
    <t>United Arab Emirates</t>
  </si>
  <si>
    <t>United Kingdom</t>
  </si>
  <si>
    <t>United States of America</t>
  </si>
  <si>
    <t>Uruguay</t>
  </si>
  <si>
    <t>Venezuela</t>
  </si>
  <si>
    <t>Vietnam</t>
  </si>
  <si>
    <t>Tax rate (for cash flow)</t>
  </si>
  <si>
    <t>Effective Tax rate (for cash flow) =</t>
  </si>
  <si>
    <t>Marginal tax rate (for cost of debt) =</t>
  </si>
  <si>
    <t>Total Risk Premium</t>
  </si>
  <si>
    <t>Austria</t>
  </si>
  <si>
    <t>Asia</t>
  </si>
  <si>
    <t>Belgium</t>
  </si>
  <si>
    <t>Caa3</t>
  </si>
  <si>
    <t>Cyprus</t>
  </si>
  <si>
    <t>Finland</t>
  </si>
  <si>
    <t>France</t>
  </si>
  <si>
    <t>Germany</t>
  </si>
  <si>
    <t>Greece</t>
  </si>
  <si>
    <t>Ireland</t>
  </si>
  <si>
    <t>Italy</t>
  </si>
  <si>
    <t>Kenya</t>
  </si>
  <si>
    <t>Luxembourg</t>
  </si>
  <si>
    <t>Malta</t>
  </si>
  <si>
    <t>Netherlands</t>
  </si>
  <si>
    <t>Nigeria</t>
  </si>
  <si>
    <t>Portugal</t>
  </si>
  <si>
    <t>Slovenia</t>
  </si>
  <si>
    <t>St. Maarten</t>
  </si>
  <si>
    <t>Zambia</t>
  </si>
  <si>
    <t>D2/D</t>
  </si>
  <si>
    <t>C2/C</t>
  </si>
  <si>
    <t>Ca2/CC</t>
  </si>
  <si>
    <t>Caa/CCC</t>
  </si>
  <si>
    <t>B3/B-</t>
  </si>
  <si>
    <t>B2/B</t>
  </si>
  <si>
    <t>B1/B+</t>
  </si>
  <si>
    <t>Ba2/BB</t>
  </si>
  <si>
    <t>Ba1/BB+</t>
  </si>
  <si>
    <t>Baa2/BBB</t>
  </si>
  <si>
    <t>A3/A-</t>
  </si>
  <si>
    <t>A2/A</t>
  </si>
  <si>
    <t>A1/A+</t>
  </si>
  <si>
    <t>Aa2/AA</t>
  </si>
  <si>
    <t>Aaa/AAA</t>
  </si>
  <si>
    <t>Investment Co.</t>
  </si>
  <si>
    <t>Benin</t>
  </si>
  <si>
    <t>Burkina Faso</t>
  </si>
  <si>
    <t>Cameroon</t>
  </si>
  <si>
    <t>Cape Verde</t>
  </si>
  <si>
    <t>Democratic Republic of Congo</t>
  </si>
  <si>
    <t>Gabon</t>
  </si>
  <si>
    <t>Ghana</t>
  </si>
  <si>
    <t>Mozambique</t>
  </si>
  <si>
    <t>Republic of the Congo</t>
  </si>
  <si>
    <t>Rwanda</t>
  </si>
  <si>
    <t>Uganda</t>
  </si>
  <si>
    <t>Fiji</t>
  </si>
  <si>
    <t>Cook Islands</t>
  </si>
  <si>
    <t>Aruba</t>
  </si>
  <si>
    <t>Curacao</t>
  </si>
  <si>
    <t>Montserrat</t>
  </si>
  <si>
    <t>Caa2</t>
  </si>
  <si>
    <t>Macedonia</t>
  </si>
  <si>
    <t>Serbia</t>
  </si>
  <si>
    <t>Abu Dhabi</t>
  </si>
  <si>
    <t>Ras Al Kaminah</t>
  </si>
  <si>
    <t>Andorra</t>
  </si>
  <si>
    <t>Liechtenstein</t>
  </si>
  <si>
    <t>Weighted Average: Default Spreads</t>
  </si>
  <si>
    <t>Weighted Average: TRP</t>
  </si>
  <si>
    <t>Weighted Average: CRP</t>
  </si>
  <si>
    <t>Global</t>
  </si>
  <si>
    <t>https://quotes.wsj.com/INTC/financials/annual/balance-sheet</t>
  </si>
  <si>
    <t>A+</t>
  </si>
  <si>
    <t>—</t>
  </si>
  <si>
    <t>yes</t>
  </si>
  <si>
    <t>current asset</t>
  </si>
  <si>
    <t>cash</t>
  </si>
  <si>
    <t>current liability</t>
  </si>
  <si>
    <t>non-cash working capital</t>
  </si>
  <si>
    <t>Ebit</t>
  </si>
  <si>
    <t>interest expense</t>
  </si>
  <si>
    <t>capital spending</t>
  </si>
  <si>
    <t>depreciation&amp;amortization</t>
  </si>
  <si>
    <t>effective tax rate</t>
  </si>
  <si>
    <t>marginal tax rate</t>
  </si>
  <si>
    <t>revenue</t>
  </si>
  <si>
    <t>book value of debt</t>
  </si>
  <si>
    <t>book value of equity</t>
  </si>
  <si>
    <t>cash&amp;marketable securities</t>
  </si>
  <si>
    <t>value of non-operating asset</t>
  </si>
  <si>
    <t>minority interests</t>
  </si>
  <si>
    <t>D/E</t>
  </si>
  <si>
    <t>R&amp;D</t>
  </si>
  <si>
    <t>Q1</t>
  </si>
  <si>
    <t>Q2</t>
  </si>
  <si>
    <t>Q3</t>
  </si>
  <si>
    <t>Intel's revenue by sector in the last 5 years</t>
  </si>
  <si>
    <t>segment revenue</t>
  </si>
  <si>
    <t>geometric growth rate</t>
  </si>
  <si>
    <t>PC-centric</t>
  </si>
  <si>
    <t>CCG   </t>
  </si>
  <si>
    <t>data center</t>
  </si>
  <si>
    <t xml:space="preserve">DCG </t>
  </si>
  <si>
    <t>IOTG</t>
  </si>
  <si>
    <t xml:space="preserve">NSG </t>
  </si>
  <si>
    <t>PSG</t>
  </si>
  <si>
    <t>mobile and communication group</t>
  </si>
  <si>
    <t>software and service operating segments</t>
  </si>
  <si>
    <t>internet security group</t>
  </si>
  <si>
    <t>other</t>
  </si>
  <si>
    <t>total revenue</t>
  </si>
  <si>
    <t>Margin data in recent 5 years</t>
  </si>
  <si>
    <t>gross margin</t>
  </si>
  <si>
    <t>operating margin</t>
  </si>
  <si>
    <t>net margin</t>
  </si>
  <si>
    <t>EBIT growth rate in recent 5 years</t>
  </si>
  <si>
    <t>geomeric average</t>
  </si>
  <si>
    <t>compared with last year</t>
  </si>
  <si>
    <t>revenue by sector</t>
  </si>
  <si>
    <t>CCG</t>
  </si>
  <si>
    <t>Ddata-centric</t>
  </si>
  <si>
    <t>DCG</t>
  </si>
  <si>
    <t>NSG</t>
  </si>
  <si>
    <t>COGS</t>
  </si>
  <si>
    <t>beginning inventory</t>
  </si>
  <si>
    <t>ending inventory</t>
  </si>
  <si>
    <t>inventory turnover ratio</t>
  </si>
  <si>
    <t>creadit sale</t>
  </si>
  <si>
    <t>beginning revieable account</t>
  </si>
  <si>
    <t>endibg receivable account</t>
  </si>
  <si>
    <t>receivable turnover</t>
  </si>
  <si>
    <t>supply purachae on credit</t>
  </si>
  <si>
    <t>beginning account payable</t>
  </si>
  <si>
    <t>end account payable</t>
  </si>
  <si>
    <t>payable turnover</t>
  </si>
  <si>
    <t>sale</t>
  </si>
  <si>
    <t>beginning asset</t>
  </si>
  <si>
    <t>ending asset</t>
  </si>
  <si>
    <t>asset turnover ratio</t>
  </si>
  <si>
    <t>current ratio</t>
  </si>
  <si>
    <t>account recievable</t>
  </si>
  <si>
    <t>quick ratio</t>
  </si>
  <si>
    <t>cash ratio</t>
  </si>
  <si>
    <t>debt value(short-term debt)</t>
  </si>
  <si>
    <t>asset value</t>
  </si>
  <si>
    <t>adebt to asset ratio</t>
  </si>
  <si>
    <t>capital = share holder's equity + interest beading debt</t>
  </si>
  <si>
    <t>debt to capital ratio</t>
  </si>
  <si>
    <t>debt to equity ratio</t>
  </si>
  <si>
    <t>equity</t>
  </si>
  <si>
    <t>interest ecoverage ratio</t>
  </si>
  <si>
    <t>gross income</t>
  </si>
  <si>
    <t>reenu</t>
  </si>
  <si>
    <t>gross magin</t>
  </si>
  <si>
    <t>operating icnome</t>
  </si>
  <si>
    <t>net income</t>
  </si>
  <si>
    <t>ROA</t>
  </si>
  <si>
    <t>shareholder's equity</t>
  </si>
  <si>
    <t>ROE</t>
  </si>
  <si>
    <t>bottom up beta by using the industry levered beta, delevered it with the industry average D/E, which is 0.32, and calculate Intel's specific levered Beta using Intel's D/E ratio 0.35</t>
  </si>
  <si>
    <t>30% China, 28% US, 28% Singapore, 16% rest of the world [revenue]</t>
  </si>
  <si>
    <t>risk premium =5.08%+0.3*0.81% +1.13%*16% = 5.5% [only china and the world has CRP]</t>
  </si>
  <si>
    <t>US</t>
  </si>
  <si>
    <t>world</t>
  </si>
  <si>
    <t>2017/10-k</t>
  </si>
  <si>
    <t>2017/3Q</t>
  </si>
  <si>
    <t>2018/3Q</t>
  </si>
  <si>
    <t>TTM</t>
  </si>
  <si>
    <t>in million</t>
  </si>
  <si>
    <t>2016/10-k</t>
  </si>
  <si>
    <t>2016/3Q</t>
  </si>
  <si>
    <t>short-term debt</t>
  </si>
  <si>
    <t>long-term debt</t>
  </si>
  <si>
    <t>non-cash current asset</t>
  </si>
  <si>
    <t>non-debt current liability</t>
  </si>
  <si>
    <t>operating Margin \ Year of high growth</t>
  </si>
  <si>
    <t>Sensitivity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</si>
</sst>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0.0000"/>
    <numFmt numFmtId="165" formatCode="&quot;$&quot;#,##0.00"/>
    <numFmt numFmtId="166" formatCode="#,##0.0000"/>
    <numFmt numFmtId="167" formatCode="0.0000%"/>
    <numFmt numFmtId="168" formatCode="_([$$-409]* #,##0.00_);_([$$-409]* \(#,##0.00\);_([$$-409]* &quot;-&quot;??_);_(@_)"/>
    <numFmt numFmtId="169" formatCode="#,##0.##"/>
  </numFmts>
  <fonts count="66">
    <font>
      <sz val="10"/>
      <name val="Geneva"/>
    </font>
    <font>
      <i/>
      <sz val="10"/>
      <name val="Geneva"/>
      <family val="2"/>
    </font>
    <font>
      <sz val="10"/>
      <name val="Geneva"/>
      <family val="2"/>
    </font>
    <font>
      <sz val="14"/>
      <name val="Times"/>
      <family val="1"/>
    </font>
    <font>
      <sz val="12"/>
      <name val="Times"/>
      <family val="1"/>
    </font>
    <font>
      <sz val="10"/>
      <name val="Times"/>
      <family val="1"/>
    </font>
    <font>
      <b/>
      <i/>
      <sz val="10"/>
      <name val="Times"/>
      <family val="1"/>
    </font>
    <font>
      <b/>
      <sz val="10"/>
      <name val="Times"/>
      <family val="1"/>
    </font>
    <font>
      <i/>
      <sz val="10"/>
      <name val="Times"/>
      <family val="1"/>
    </font>
    <font>
      <sz val="9"/>
      <color indexed="81"/>
      <name val="Geneva"/>
      <family val="2"/>
    </font>
    <font>
      <b/>
      <sz val="9"/>
      <color indexed="81"/>
      <name val="Geneva"/>
      <family val="2"/>
    </font>
    <font>
      <b/>
      <sz val="14"/>
      <name val="Times"/>
      <family val="1"/>
    </font>
    <font>
      <b/>
      <i/>
      <sz val="9"/>
      <name val="Geneva"/>
      <family val="2"/>
    </font>
    <font>
      <sz val="9"/>
      <name val="Times"/>
      <family val="1"/>
    </font>
    <font>
      <b/>
      <sz val="9"/>
      <name val="Times"/>
      <family val="1"/>
    </font>
    <font>
      <b/>
      <sz val="12"/>
      <name val="Times"/>
      <family val="1"/>
    </font>
    <font>
      <b/>
      <sz val="14"/>
      <name val="Geneva"/>
      <family val="2"/>
    </font>
    <font>
      <sz val="14"/>
      <name val="Geneva"/>
      <family val="2"/>
    </font>
    <font>
      <b/>
      <sz val="10"/>
      <color indexed="10"/>
      <name val="Times"/>
      <family val="1"/>
    </font>
    <font>
      <sz val="14"/>
      <color indexed="10"/>
      <name val="Times"/>
      <family val="1"/>
    </font>
    <font>
      <sz val="10"/>
      <color indexed="10"/>
      <name val="Times"/>
      <family val="1"/>
    </font>
    <font>
      <sz val="10"/>
      <color indexed="10"/>
      <name val="Geneva"/>
      <family val="2"/>
    </font>
    <font>
      <b/>
      <sz val="14"/>
      <color indexed="10"/>
      <name val="Times"/>
      <family val="1"/>
    </font>
    <font>
      <sz val="8"/>
      <name val="Geneva"/>
      <family val="2"/>
    </font>
    <font>
      <u/>
      <sz val="10"/>
      <color indexed="12"/>
      <name val="Geneva"/>
      <family val="2"/>
    </font>
    <font>
      <i/>
      <sz val="9"/>
      <name val="Geneva"/>
      <family val="2"/>
    </font>
    <font>
      <sz val="12"/>
      <color indexed="10"/>
      <name val="Times"/>
      <family val="2"/>
    </font>
    <font>
      <b/>
      <i/>
      <sz val="12"/>
      <color indexed="10"/>
      <name val="Times"/>
      <family val="1"/>
    </font>
    <font>
      <sz val="12"/>
      <name val="Geneva"/>
      <family val="2"/>
    </font>
    <font>
      <sz val="8"/>
      <name val="Verdana"/>
      <family val="2"/>
    </font>
    <font>
      <sz val="9"/>
      <name val="Geneva"/>
      <family val="2"/>
    </font>
    <font>
      <b/>
      <i/>
      <sz val="14"/>
      <name val="Times"/>
      <family val="1"/>
    </font>
    <font>
      <b/>
      <i/>
      <sz val="12"/>
      <name val="Times"/>
      <family val="1"/>
    </font>
    <font>
      <b/>
      <sz val="9"/>
      <color indexed="8"/>
      <name val="Geneva"/>
      <family val="2"/>
    </font>
    <font>
      <sz val="9"/>
      <color indexed="8"/>
      <name val="Geneva"/>
      <family val="2"/>
    </font>
    <font>
      <sz val="10"/>
      <name val="Times"/>
      <family val="1"/>
    </font>
    <font>
      <b/>
      <sz val="10"/>
      <name val="Geneva"/>
      <family val="2"/>
    </font>
    <font>
      <sz val="10"/>
      <name val="Inherit"/>
    </font>
    <font>
      <sz val="10"/>
      <name val="Times Roman"/>
    </font>
    <font>
      <sz val="10"/>
      <color rgb="FFFF0000"/>
      <name val="Times"/>
      <family val="1"/>
    </font>
    <font>
      <sz val="10"/>
      <name val="Calibri"/>
      <family val="2"/>
      <scheme val="minor"/>
    </font>
    <font>
      <sz val="10"/>
      <color theme="1"/>
      <name val="Times Roman"/>
    </font>
    <font>
      <sz val="9"/>
      <color rgb="FF333333"/>
      <name val="Arial"/>
      <family val="2"/>
    </font>
    <font>
      <sz val="10"/>
      <color theme="1"/>
      <name val="Times"/>
      <family val="1"/>
    </font>
    <font>
      <sz val="12"/>
      <color rgb="FF000000"/>
      <name val="Calibri"/>
      <family val="2"/>
    </font>
    <font>
      <b/>
      <sz val="10"/>
      <color rgb="FF424242"/>
      <name val="Arial"/>
      <family val="2"/>
    </font>
    <font>
      <sz val="12"/>
      <color rgb="FFFF0000"/>
      <name val="Calibri"/>
      <family val="2"/>
      <scheme val="minor"/>
    </font>
    <font>
      <sz val="14"/>
      <color rgb="FF000000"/>
      <name val="Courier New"/>
      <family val="1"/>
    </font>
    <font>
      <sz val="9"/>
      <color rgb="FF0071C5"/>
      <name val="Arial"/>
      <family val="2"/>
    </font>
    <font>
      <b/>
      <sz val="18"/>
      <color rgb="FF0070C0"/>
      <name val="Calibri"/>
      <family val="2"/>
      <scheme val="minor"/>
    </font>
    <font>
      <b/>
      <sz val="18"/>
      <color rgb="FF0070C0"/>
      <name val="Geneva"/>
      <family val="2"/>
    </font>
    <font>
      <b/>
      <sz val="9"/>
      <color rgb="FF000000"/>
      <name val="Geneva"/>
      <family val="2"/>
    </font>
    <font>
      <sz val="9"/>
      <color rgb="FF000000"/>
      <name val="Geneva"/>
      <family val="2"/>
    </font>
    <font>
      <sz val="18"/>
      <color rgb="FF000000"/>
      <name val="Geneva"/>
      <family val="2"/>
    </font>
    <font>
      <b/>
      <sz val="9"/>
      <color rgb="FF000000"/>
      <name val="Geneva"/>
      <family val="34"/>
    </font>
    <font>
      <sz val="9"/>
      <color rgb="FF000000"/>
      <name val="Geneva"/>
      <family val="34"/>
    </font>
    <font>
      <sz val="10"/>
      <color rgb="FF000000"/>
      <name val="Tahoma"/>
      <family val="2"/>
    </font>
    <font>
      <b/>
      <sz val="10"/>
      <color rgb="FF000000"/>
      <name val="Tahoma"/>
      <family val="2"/>
    </font>
    <font>
      <b/>
      <sz val="12"/>
      <color rgb="FF000000"/>
      <name val="Tahoma"/>
      <family val="2"/>
    </font>
    <font>
      <sz val="12"/>
      <color rgb="FF000000"/>
      <name val="Tahoma"/>
      <family val="2"/>
    </font>
    <font>
      <b/>
      <sz val="8"/>
      <color rgb="FF000000"/>
      <name val="Arial"/>
      <family val="2"/>
    </font>
    <font>
      <b/>
      <sz val="12"/>
      <color rgb="FF000000"/>
      <name val="Arial"/>
      <family val="2"/>
    </font>
    <font>
      <sz val="20"/>
      <color indexed="10"/>
      <name val="Times"/>
      <family val="1"/>
    </font>
    <font>
      <sz val="12"/>
      <color rgb="FF000000"/>
      <name val="Times New Roman"/>
      <family val="1"/>
    </font>
    <font>
      <b/>
      <sz val="16"/>
      <name val="Times"/>
      <family val="1"/>
    </font>
    <font>
      <b/>
      <sz val="12"/>
      <name val="Geneva"/>
      <family val="2"/>
    </font>
  </fonts>
  <fills count="7">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thin">
        <color indexed="64"/>
      </left>
      <right/>
      <top/>
      <bottom/>
      <diagonal/>
    </border>
    <border>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s>
  <cellStyleXfs count="5">
    <xf numFmtId="0" fontId="0" fillId="0" borderId="0"/>
    <xf numFmtId="4" fontId="2" fillId="0" borderId="0" applyFont="0" applyFill="0" applyBorder="0" applyAlignment="0" applyProtection="0"/>
    <xf numFmtId="8" fontId="2" fillId="0" borderId="0" applyFont="0" applyFill="0" applyBorder="0" applyAlignment="0" applyProtection="0"/>
    <xf numFmtId="0" fontId="24" fillId="0" borderId="0" applyNumberFormat="0" applyFill="0" applyBorder="0" applyAlignment="0" applyProtection="0">
      <alignment vertical="top"/>
      <protection locked="0"/>
    </xf>
    <xf numFmtId="9" fontId="2" fillId="0" borderId="0" applyFont="0" applyFill="0" applyBorder="0" applyAlignment="0" applyProtection="0"/>
  </cellStyleXfs>
  <cellXfs count="298">
    <xf numFmtId="0" fontId="0" fillId="0" borderId="0" xfId="0"/>
    <xf numFmtId="0" fontId="3" fillId="0" borderId="0" xfId="0" applyFont="1" applyAlignment="1">
      <alignment horizontal="centerContinuous"/>
    </xf>
    <xf numFmtId="0" fontId="4" fillId="0" borderId="0" xfId="0" applyFont="1"/>
    <xf numFmtId="0" fontId="4" fillId="0" borderId="0" xfId="0" applyFont="1" applyAlignment="1">
      <alignment horizontal="center"/>
    </xf>
    <xf numFmtId="0" fontId="5" fillId="0" borderId="0" xfId="0" applyFont="1"/>
    <xf numFmtId="0" fontId="5" fillId="0" borderId="0" xfId="0" applyFont="1" applyAlignment="1">
      <alignment horizontal="centerContinuous"/>
    </xf>
    <xf numFmtId="0" fontId="6" fillId="0" borderId="0" xfId="0" applyFont="1"/>
    <xf numFmtId="0" fontId="7" fillId="0" borderId="0" xfId="0" applyFont="1"/>
    <xf numFmtId="0" fontId="8" fillId="0" borderId="0" xfId="0" applyFont="1"/>
    <xf numFmtId="0" fontId="5" fillId="0" borderId="0" xfId="0" applyFont="1" applyAlignment="1">
      <alignment horizontal="center"/>
    </xf>
    <xf numFmtId="8" fontId="5" fillId="0" borderId="0" xfId="2" applyFont="1" applyAlignment="1">
      <alignment horizontal="center"/>
    </xf>
    <xf numFmtId="8" fontId="5" fillId="0" borderId="0" xfId="2" applyFont="1" applyBorder="1" applyAlignment="1">
      <alignment horizontal="center"/>
    </xf>
    <xf numFmtId="0" fontId="5" fillId="0" borderId="1" xfId="0" applyFont="1" applyBorder="1"/>
    <xf numFmtId="0" fontId="5" fillId="0" borderId="1" xfId="0" applyFont="1" applyBorder="1" applyAlignment="1">
      <alignment horizontal="center"/>
    </xf>
    <xf numFmtId="10" fontId="5" fillId="0" borderId="1" xfId="0" applyNumberFormat="1" applyFont="1" applyBorder="1" applyAlignment="1">
      <alignment horizontal="center"/>
    </xf>
    <xf numFmtId="10" fontId="5" fillId="0" borderId="0" xfId="0" applyNumberFormat="1" applyFont="1" applyAlignment="1">
      <alignment horizontal="center"/>
    </xf>
    <xf numFmtId="0" fontId="7" fillId="0" borderId="0" xfId="0" applyFont="1" applyAlignment="1">
      <alignment horizontal="center"/>
    </xf>
    <xf numFmtId="0" fontId="5" fillId="0" borderId="0" xfId="0" applyFont="1" applyBorder="1"/>
    <xf numFmtId="0" fontId="8" fillId="0" borderId="0" xfId="0" applyFont="1" applyAlignment="1">
      <alignment horizontal="center"/>
    </xf>
    <xf numFmtId="0" fontId="5" fillId="0" borderId="0" xfId="0" applyFont="1" applyAlignment="1">
      <alignment horizontal="left"/>
    </xf>
    <xf numFmtId="0" fontId="11" fillId="0" borderId="0" xfId="0" applyFont="1" applyAlignment="1">
      <alignment horizontal="centerContinuous"/>
    </xf>
    <xf numFmtId="0" fontId="3" fillId="0" borderId="0" xfId="0" applyFont="1"/>
    <xf numFmtId="10" fontId="5" fillId="0" borderId="0" xfId="4" applyNumberFormat="1" applyFont="1" applyAlignment="1">
      <alignment horizontal="center"/>
    </xf>
    <xf numFmtId="2" fontId="5" fillId="0" borderId="0" xfId="0" applyNumberFormat="1" applyFont="1"/>
    <xf numFmtId="0" fontId="11" fillId="0" borderId="0" xfId="0" applyFont="1"/>
    <xf numFmtId="0" fontId="5" fillId="0" borderId="2" xfId="0" applyFont="1" applyBorder="1"/>
    <xf numFmtId="0" fontId="2" fillId="0" borderId="0" xfId="0" applyFont="1"/>
    <xf numFmtId="10" fontId="5" fillId="0" borderId="2" xfId="0" applyNumberFormat="1" applyFont="1" applyBorder="1"/>
    <xf numFmtId="2" fontId="7" fillId="0" borderId="2" xfId="0" applyNumberFormat="1" applyFont="1" applyBorder="1" applyAlignment="1">
      <alignment horizontal="center"/>
    </xf>
    <xf numFmtId="10" fontId="7" fillId="0" borderId="2" xfId="0" applyNumberFormat="1" applyFont="1" applyBorder="1" applyAlignment="1">
      <alignment horizontal="center"/>
    </xf>
    <xf numFmtId="10" fontId="7" fillId="0" borderId="0" xfId="0" applyNumberFormat="1" applyFont="1" applyBorder="1" applyAlignment="1">
      <alignment horizontal="center"/>
    </xf>
    <xf numFmtId="0" fontId="8" fillId="0" borderId="1" xfId="0" applyFont="1" applyBorder="1" applyAlignment="1">
      <alignment horizontal="centerContinuous"/>
    </xf>
    <xf numFmtId="0" fontId="8" fillId="0" borderId="0" xfId="0" applyFont="1" applyAlignment="1"/>
    <xf numFmtId="8" fontId="5" fillId="0" borderId="2" xfId="0" applyNumberFormat="1" applyFont="1" applyBorder="1"/>
    <xf numFmtId="10" fontId="7" fillId="0" borderId="2" xfId="4" applyNumberFormat="1" applyFont="1" applyBorder="1" applyAlignment="1">
      <alignment horizontal="center"/>
    </xf>
    <xf numFmtId="10" fontId="5" fillId="0" borderId="1" xfId="4" applyNumberFormat="1" applyFont="1" applyBorder="1"/>
    <xf numFmtId="10" fontId="5" fillId="0" borderId="1" xfId="0" applyNumberFormat="1" applyFont="1" applyBorder="1"/>
    <xf numFmtId="8" fontId="5" fillId="0" borderId="0" xfId="2" applyFont="1" applyBorder="1"/>
    <xf numFmtId="0" fontId="5" fillId="0" borderId="3" xfId="0" applyFont="1" applyBorder="1"/>
    <xf numFmtId="0" fontId="12" fillId="0" borderId="0" xfId="0" applyFont="1"/>
    <xf numFmtId="165" fontId="5" fillId="0" borderId="2" xfId="0" applyNumberFormat="1" applyFont="1" applyBorder="1"/>
    <xf numFmtId="2" fontId="13" fillId="0" borderId="1" xfId="0" applyNumberFormat="1" applyFont="1" applyBorder="1" applyAlignment="1">
      <alignment horizontal="center"/>
    </xf>
    <xf numFmtId="2" fontId="13" fillId="0" borderId="0" xfId="0" applyNumberFormat="1" applyFont="1"/>
    <xf numFmtId="1" fontId="13" fillId="0" borderId="1" xfId="0" applyNumberFormat="1" applyFont="1" applyBorder="1" applyAlignment="1">
      <alignment horizontal="center"/>
    </xf>
    <xf numFmtId="2" fontId="14" fillId="0" borderId="0" xfId="0" applyNumberFormat="1" applyFont="1"/>
    <xf numFmtId="2" fontId="13" fillId="0" borderId="4" xfId="0" applyNumberFormat="1" applyFont="1" applyBorder="1" applyAlignment="1">
      <alignment horizontal="centerContinuous"/>
    </xf>
    <xf numFmtId="2" fontId="13" fillId="0" borderId="5" xfId="0" applyNumberFormat="1" applyFont="1" applyBorder="1" applyAlignment="1">
      <alignment horizontal="centerContinuous"/>
    </xf>
    <xf numFmtId="2" fontId="13" fillId="0" borderId="3" xfId="0" applyNumberFormat="1" applyFont="1" applyBorder="1" applyAlignment="1">
      <alignment horizontal="center"/>
    </xf>
    <xf numFmtId="0" fontId="15" fillId="0" borderId="0" xfId="0" applyFont="1"/>
    <xf numFmtId="0" fontId="11" fillId="0" borderId="0" xfId="0" applyFont="1" applyAlignment="1">
      <alignment horizontal="center"/>
    </xf>
    <xf numFmtId="0" fontId="0" fillId="0" borderId="0" xfId="0" applyAlignment="1">
      <alignment horizontal="center"/>
    </xf>
    <xf numFmtId="0" fontId="16" fillId="0" borderId="0" xfId="0" applyFont="1"/>
    <xf numFmtId="0" fontId="1" fillId="0" borderId="0" xfId="0" applyFont="1"/>
    <xf numFmtId="0" fontId="7" fillId="0" borderId="1" xfId="0" applyFont="1" applyBorder="1"/>
    <xf numFmtId="10" fontId="7" fillId="0" borderId="0" xfId="0" applyNumberFormat="1" applyFont="1"/>
    <xf numFmtId="3" fontId="5" fillId="0" borderId="1" xfId="0" applyNumberFormat="1" applyFont="1" applyBorder="1"/>
    <xf numFmtId="10" fontId="7" fillId="0" borderId="1" xfId="0" applyNumberFormat="1" applyFont="1" applyBorder="1"/>
    <xf numFmtId="166" fontId="7" fillId="0" borderId="1" xfId="1" applyNumberFormat="1" applyFont="1" applyBorder="1"/>
    <xf numFmtId="165" fontId="5" fillId="0" borderId="6" xfId="0" applyNumberFormat="1" applyFont="1" applyBorder="1"/>
    <xf numFmtId="6" fontId="5" fillId="0" borderId="1" xfId="2" applyNumberFormat="1" applyFont="1" applyBorder="1"/>
    <xf numFmtId="10" fontId="5" fillId="0" borderId="0" xfId="4" applyNumberFormat="1" applyFont="1"/>
    <xf numFmtId="8" fontId="5" fillId="0" borderId="0" xfId="0" applyNumberFormat="1" applyFont="1"/>
    <xf numFmtId="8" fontId="5" fillId="0" borderId="0" xfId="2" applyFont="1"/>
    <xf numFmtId="10" fontId="5" fillId="2" borderId="2" xfId="0" applyNumberFormat="1" applyFont="1" applyFill="1" applyBorder="1" applyAlignment="1">
      <alignment horizontal="center"/>
    </xf>
    <xf numFmtId="8" fontId="5" fillId="2" borderId="1" xfId="2" applyFont="1" applyFill="1" applyBorder="1"/>
    <xf numFmtId="0" fontId="5" fillId="2" borderId="1" xfId="0" applyFont="1" applyFill="1" applyBorder="1" applyAlignment="1">
      <alignment horizontal="center"/>
    </xf>
    <xf numFmtId="44" fontId="5" fillId="2" borderId="1" xfId="0" applyNumberFormat="1" applyFont="1" applyFill="1" applyBorder="1"/>
    <xf numFmtId="44" fontId="5" fillId="2" borderId="3" xfId="0" applyNumberFormat="1" applyFont="1" applyFill="1" applyBorder="1"/>
    <xf numFmtId="8" fontId="5" fillId="2" borderId="3" xfId="2" applyFont="1" applyFill="1" applyBorder="1"/>
    <xf numFmtId="0" fontId="5" fillId="2" borderId="2" xfId="0" applyFont="1" applyFill="1" applyBorder="1"/>
    <xf numFmtId="44" fontId="5" fillId="2" borderId="2" xfId="0" applyNumberFormat="1" applyFont="1" applyFill="1" applyBorder="1"/>
    <xf numFmtId="8" fontId="5" fillId="2" borderId="7" xfId="0" applyNumberFormat="1" applyFont="1" applyFill="1" applyBorder="1"/>
    <xf numFmtId="44" fontId="5" fillId="2" borderId="7" xfId="0" applyNumberFormat="1" applyFont="1" applyFill="1" applyBorder="1"/>
    <xf numFmtId="8" fontId="5" fillId="2" borderId="1" xfId="2" applyFont="1" applyFill="1" applyBorder="1" applyAlignment="1">
      <alignment horizontal="center"/>
    </xf>
    <xf numFmtId="10" fontId="5" fillId="2" borderId="1" xfId="2" applyNumberFormat="1" applyFont="1" applyFill="1" applyBorder="1" applyAlignment="1">
      <alignment horizontal="center"/>
    </xf>
    <xf numFmtId="8" fontId="5" fillId="3" borderId="1" xfId="2" applyFont="1" applyFill="1" applyBorder="1" applyAlignment="1">
      <alignment horizontal="center"/>
    </xf>
    <xf numFmtId="10" fontId="5" fillId="3" borderId="1" xfId="2" applyNumberFormat="1" applyFont="1" applyFill="1" applyBorder="1" applyAlignment="1">
      <alignment horizontal="center"/>
    </xf>
    <xf numFmtId="0" fontId="5" fillId="3" borderId="1" xfId="0" applyFont="1" applyFill="1" applyBorder="1"/>
    <xf numFmtId="0" fontId="5" fillId="3" borderId="1" xfId="0" applyFont="1" applyFill="1" applyBorder="1" applyAlignment="1">
      <alignment horizontal="center"/>
    </xf>
    <xf numFmtId="4" fontId="5" fillId="3" borderId="1" xfId="1" applyFont="1" applyFill="1" applyBorder="1" applyAlignment="1">
      <alignment horizontal="center"/>
    </xf>
    <xf numFmtId="10" fontId="5" fillId="3" borderId="1" xfId="0" applyNumberFormat="1" applyFont="1" applyFill="1" applyBorder="1" applyAlignment="1">
      <alignment horizontal="center"/>
    </xf>
    <xf numFmtId="8" fontId="5" fillId="0" borderId="0" xfId="2" applyFont="1" applyFill="1" applyBorder="1" applyAlignment="1">
      <alignment horizontal="center"/>
    </xf>
    <xf numFmtId="0" fontId="5" fillId="0" borderId="0" xfId="0" applyFont="1" applyFill="1"/>
    <xf numFmtId="9" fontId="5" fillId="3" borderId="1" xfId="0" applyNumberFormat="1" applyFont="1" applyFill="1" applyBorder="1" applyAlignment="1">
      <alignment horizontal="center"/>
    </xf>
    <xf numFmtId="8" fontId="5" fillId="3" borderId="1" xfId="2" applyFont="1" applyFill="1" applyBorder="1"/>
    <xf numFmtId="2" fontId="13" fillId="3" borderId="1" xfId="0" applyNumberFormat="1" applyFont="1" applyFill="1" applyBorder="1" applyAlignment="1">
      <alignment horizontal="center"/>
    </xf>
    <xf numFmtId="44" fontId="5" fillId="3" borderId="1" xfId="2" applyNumberFormat="1" applyFont="1" applyFill="1" applyBorder="1"/>
    <xf numFmtId="2" fontId="5" fillId="3" borderId="1" xfId="0" applyNumberFormat="1" applyFont="1" applyFill="1" applyBorder="1" applyAlignment="1">
      <alignment horizontal="center"/>
    </xf>
    <xf numFmtId="0" fontId="5" fillId="3" borderId="3" xfId="0" applyFont="1" applyFill="1" applyBorder="1" applyAlignment="1">
      <alignment horizontal="center"/>
    </xf>
    <xf numFmtId="10" fontId="5" fillId="2" borderId="1" xfId="0" applyNumberFormat="1" applyFont="1" applyFill="1" applyBorder="1" applyAlignment="1">
      <alignment horizontal="center"/>
    </xf>
    <xf numFmtId="8" fontId="7" fillId="0" borderId="0" xfId="2" applyFont="1" applyFill="1" applyBorder="1" applyAlignment="1">
      <alignment horizontal="center"/>
    </xf>
    <xf numFmtId="8" fontId="8" fillId="0" borderId="0" xfId="2" applyFont="1" applyFill="1" applyBorder="1" applyAlignment="1">
      <alignment horizontal="center"/>
    </xf>
    <xf numFmtId="8" fontId="5" fillId="2" borderId="1" xfId="0" applyNumberFormat="1" applyFont="1" applyFill="1" applyBorder="1"/>
    <xf numFmtId="8" fontId="5" fillId="2" borderId="1" xfId="0" applyNumberFormat="1" applyFont="1" applyFill="1" applyBorder="1" applyAlignment="1">
      <alignment horizontal="center"/>
    </xf>
    <xf numFmtId="0" fontId="5" fillId="0" borderId="0" xfId="0" applyFont="1" applyFill="1" applyBorder="1" applyAlignment="1">
      <alignment horizontal="center"/>
    </xf>
    <xf numFmtId="10" fontId="5" fillId="2" borderId="1" xfId="4" applyNumberFormat="1" applyFont="1" applyFill="1" applyBorder="1" applyAlignment="1">
      <alignment horizontal="center"/>
    </xf>
    <xf numFmtId="0" fontId="5" fillId="2" borderId="1" xfId="0" applyNumberFormat="1" applyFont="1" applyFill="1" applyBorder="1" applyAlignment="1">
      <alignment horizontal="center"/>
    </xf>
    <xf numFmtId="10" fontId="5" fillId="3" borderId="1" xfId="4" applyNumberFormat="1" applyFont="1" applyFill="1" applyBorder="1" applyAlignment="1">
      <alignment horizontal="center"/>
    </xf>
    <xf numFmtId="10" fontId="5" fillId="3" borderId="1" xfId="4" applyNumberFormat="1" applyFont="1" applyFill="1" applyBorder="1"/>
    <xf numFmtId="4" fontId="5" fillId="2" borderId="1" xfId="1" applyFont="1" applyFill="1" applyBorder="1" applyAlignment="1">
      <alignment horizontal="center"/>
    </xf>
    <xf numFmtId="0" fontId="17" fillId="0" borderId="0" xfId="0" applyFont="1"/>
    <xf numFmtId="0" fontId="8" fillId="2" borderId="1" xfId="0" applyFont="1" applyFill="1" applyBorder="1" applyAlignment="1">
      <alignment horizontal="center"/>
    </xf>
    <xf numFmtId="0" fontId="5" fillId="2" borderId="1" xfId="0" applyFont="1" applyFill="1" applyBorder="1"/>
    <xf numFmtId="8" fontId="7" fillId="2" borderId="1" xfId="2" applyFont="1" applyFill="1" applyBorder="1" applyAlignment="1">
      <alignment horizontal="center"/>
    </xf>
    <xf numFmtId="0" fontId="5" fillId="2" borderId="1" xfId="0" applyFont="1" applyFill="1" applyBorder="1" applyAlignment="1">
      <alignment horizontal="left"/>
    </xf>
    <xf numFmtId="10" fontId="5" fillId="2" borderId="8" xfId="0" applyNumberFormat="1" applyFont="1" applyFill="1" applyBorder="1" applyAlignment="1">
      <alignment horizontal="center"/>
    </xf>
    <xf numFmtId="10" fontId="5" fillId="2" borderId="1" xfId="4" applyNumberFormat="1" applyFont="1" applyFill="1" applyBorder="1"/>
    <xf numFmtId="10" fontId="5" fillId="2" borderId="1" xfId="0" applyNumberFormat="1" applyFont="1" applyFill="1" applyBorder="1"/>
    <xf numFmtId="2" fontId="5" fillId="2" borderId="1" xfId="0" applyNumberFormat="1" applyFont="1" applyFill="1" applyBorder="1"/>
    <xf numFmtId="4" fontId="5" fillId="2" borderId="1" xfId="0" applyNumberFormat="1" applyFont="1" applyFill="1" applyBorder="1"/>
    <xf numFmtId="10" fontId="5" fillId="0" borderId="0" xfId="0" applyNumberFormat="1" applyFont="1" applyFill="1" applyBorder="1" applyAlignment="1">
      <alignment horizontal="center"/>
    </xf>
    <xf numFmtId="0" fontId="20" fillId="0" borderId="0" xfId="0" applyFont="1"/>
    <xf numFmtId="8" fontId="5" fillId="0" borderId="2" xfId="2" applyFont="1" applyBorder="1"/>
    <xf numFmtId="0" fontId="21" fillId="0" borderId="0" xfId="0" applyFont="1"/>
    <xf numFmtId="8" fontId="13" fillId="0" borderId="1" xfId="2" applyFont="1" applyBorder="1"/>
    <xf numFmtId="8" fontId="13" fillId="0" borderId="3" xfId="2" applyFont="1" applyBorder="1"/>
    <xf numFmtId="9" fontId="5" fillId="3" borderId="1" xfId="4" applyFont="1" applyFill="1" applyBorder="1" applyAlignment="1">
      <alignment horizontal="center"/>
    </xf>
    <xf numFmtId="164" fontId="5" fillId="2" borderId="1" xfId="4" applyNumberFormat="1" applyFont="1" applyFill="1" applyBorder="1" applyAlignment="1">
      <alignment horizontal="center"/>
    </xf>
    <xf numFmtId="6" fontId="5" fillId="2" borderId="1" xfId="2" applyNumberFormat="1" applyFont="1" applyFill="1" applyBorder="1" applyAlignment="1">
      <alignment horizontal="center"/>
    </xf>
    <xf numFmtId="6" fontId="5" fillId="2" borderId="1" xfId="0" applyNumberFormat="1" applyFont="1" applyFill="1" applyBorder="1" applyAlignment="1">
      <alignment horizontal="center"/>
    </xf>
    <xf numFmtId="6" fontId="7" fillId="2" borderId="1" xfId="2" applyNumberFormat="1" applyFont="1" applyFill="1" applyBorder="1" applyAlignment="1">
      <alignment horizontal="center"/>
    </xf>
    <xf numFmtId="0" fontId="25" fillId="0" borderId="1" xfId="0" applyFont="1" applyBorder="1"/>
    <xf numFmtId="0" fontId="5" fillId="2" borderId="4" xfId="0" applyFont="1" applyFill="1" applyBorder="1" applyAlignment="1">
      <alignment horizontal="center"/>
    </xf>
    <xf numFmtId="10" fontId="5" fillId="2" borderId="4" xfId="0" applyNumberFormat="1" applyFont="1" applyFill="1" applyBorder="1" applyAlignment="1">
      <alignment horizontal="center"/>
    </xf>
    <xf numFmtId="2" fontId="5" fillId="2" borderId="4" xfId="0" applyNumberFormat="1" applyFont="1" applyFill="1" applyBorder="1" applyAlignment="1">
      <alignment horizontal="center"/>
    </xf>
    <xf numFmtId="10" fontId="5" fillId="2" borderId="4" xfId="4" applyNumberFormat="1" applyFont="1" applyFill="1" applyBorder="1" applyAlignment="1">
      <alignment horizontal="center"/>
    </xf>
    <xf numFmtId="0" fontId="26" fillId="0" borderId="9" xfId="0" applyFont="1" applyBorder="1"/>
    <xf numFmtId="0" fontId="6" fillId="0" borderId="0" xfId="0" applyFont="1" applyBorder="1"/>
    <xf numFmtId="10" fontId="26" fillId="0" borderId="10" xfId="0" applyNumberFormat="1" applyFont="1" applyBorder="1"/>
    <xf numFmtId="0" fontId="5" fillId="0" borderId="11" xfId="0" applyFont="1" applyBorder="1"/>
    <xf numFmtId="10" fontId="20" fillId="0" borderId="11" xfId="0" applyNumberFormat="1" applyFont="1" applyBorder="1"/>
    <xf numFmtId="0" fontId="26" fillId="0" borderId="12" xfId="0" applyFont="1" applyBorder="1" applyAlignment="1">
      <alignment horizontal="center"/>
    </xf>
    <xf numFmtId="0" fontId="26" fillId="0" borderId="1" xfId="0" applyFont="1" applyBorder="1" applyAlignment="1">
      <alignment horizontal="center"/>
    </xf>
    <xf numFmtId="0" fontId="20" fillId="0" borderId="13" xfId="0" applyFont="1" applyBorder="1" applyAlignment="1">
      <alignment horizontal="center"/>
    </xf>
    <xf numFmtId="0" fontId="24" fillId="0" borderId="0" xfId="3" applyAlignment="1" applyProtection="1"/>
    <xf numFmtId="10" fontId="5" fillId="3" borderId="1" xfId="0" applyNumberFormat="1" applyFont="1" applyFill="1" applyBorder="1" applyAlignment="1">
      <alignment horizontal="right"/>
    </xf>
    <xf numFmtId="0" fontId="8" fillId="0" borderId="5" xfId="0" applyFont="1" applyBorder="1" applyAlignment="1">
      <alignment horizontal="centerContinuous"/>
    </xf>
    <xf numFmtId="0" fontId="8" fillId="0" borderId="5" xfId="0" applyFont="1" applyBorder="1"/>
    <xf numFmtId="0" fontId="8" fillId="0" borderId="8" xfId="0" applyFont="1" applyBorder="1" applyAlignment="1">
      <alignment horizontal="center"/>
    </xf>
    <xf numFmtId="0" fontId="8" fillId="0" borderId="14" xfId="0" applyFont="1" applyBorder="1" applyAlignment="1">
      <alignment horizontal="center"/>
    </xf>
    <xf numFmtId="0" fontId="5" fillId="0" borderId="8" xfId="0" applyFont="1" applyBorder="1" applyAlignment="1">
      <alignment horizontal="center"/>
    </xf>
    <xf numFmtId="0" fontId="5" fillId="0" borderId="14" xfId="0" applyFont="1" applyBorder="1" applyAlignment="1">
      <alignment horizontal="center"/>
    </xf>
    <xf numFmtId="2" fontId="5" fillId="0" borderId="8" xfId="0" applyNumberFormat="1" applyFont="1" applyBorder="1" applyAlignment="1">
      <alignment horizontal="center"/>
    </xf>
    <xf numFmtId="0" fontId="5" fillId="0" borderId="5" xfId="0" applyFont="1" applyBorder="1" applyAlignment="1">
      <alignment horizontal="centerContinuous"/>
    </xf>
    <xf numFmtId="0" fontId="5" fillId="0" borderId="5" xfId="0" applyFont="1" applyBorder="1" applyAlignment="1">
      <alignment horizontal="center"/>
    </xf>
    <xf numFmtId="0" fontId="39" fillId="0" borderId="0" xfId="0" applyFont="1"/>
    <xf numFmtId="165" fontId="5" fillId="3" borderId="1" xfId="0" applyNumberFormat="1" applyFont="1" applyFill="1" applyBorder="1"/>
    <xf numFmtId="0" fontId="5" fillId="4" borderId="1" xfId="0" applyFont="1" applyFill="1" applyBorder="1"/>
    <xf numFmtId="165" fontId="5" fillId="4" borderId="1" xfId="0" applyNumberFormat="1" applyFont="1" applyFill="1" applyBorder="1"/>
    <xf numFmtId="0" fontId="5" fillId="5" borderId="0" xfId="0" applyFont="1" applyFill="1" applyBorder="1" applyAlignment="1">
      <alignment horizontal="center"/>
    </xf>
    <xf numFmtId="0" fontId="31" fillId="0" borderId="0" xfId="0" applyFont="1"/>
    <xf numFmtId="0" fontId="32" fillId="0" borderId="0" xfId="0" applyFont="1"/>
    <xf numFmtId="0" fontId="6" fillId="0" borderId="1" xfId="0" applyFont="1" applyBorder="1"/>
    <xf numFmtId="0" fontId="7" fillId="0" borderId="0" xfId="0" applyFont="1" applyBorder="1"/>
    <xf numFmtId="10" fontId="5" fillId="6" borderId="1" xfId="4" applyNumberFormat="1" applyFont="1" applyFill="1" applyBorder="1"/>
    <xf numFmtId="2" fontId="5" fillId="6" borderId="1" xfId="0" applyNumberFormat="1" applyFont="1" applyFill="1" applyBorder="1"/>
    <xf numFmtId="44" fontId="5" fillId="6" borderId="1" xfId="0" applyNumberFormat="1" applyFont="1" applyFill="1" applyBorder="1"/>
    <xf numFmtId="0" fontId="5" fillId="6" borderId="1" xfId="0" applyFont="1" applyFill="1" applyBorder="1"/>
    <xf numFmtId="2" fontId="5" fillId="3" borderId="1" xfId="0" applyNumberFormat="1" applyFont="1" applyFill="1" applyBorder="1"/>
    <xf numFmtId="10" fontId="5" fillId="6" borderId="1" xfId="0" applyNumberFormat="1" applyFont="1" applyFill="1" applyBorder="1"/>
    <xf numFmtId="10" fontId="5" fillId="3" borderId="1" xfId="0" applyNumberFormat="1" applyFont="1" applyFill="1" applyBorder="1"/>
    <xf numFmtId="9" fontId="5" fillId="6" borderId="1" xfId="0" applyNumberFormat="1" applyFont="1" applyFill="1" applyBorder="1"/>
    <xf numFmtId="167" fontId="5" fillId="6" borderId="1" xfId="4" applyNumberFormat="1" applyFont="1" applyFill="1" applyBorder="1"/>
    <xf numFmtId="0" fontId="5" fillId="0" borderId="0" xfId="0" applyFont="1" applyFill="1" applyBorder="1"/>
    <xf numFmtId="167" fontId="5" fillId="6" borderId="1" xfId="0" applyNumberFormat="1" applyFont="1" applyFill="1" applyBorder="1"/>
    <xf numFmtId="168" fontId="5" fillId="4" borderId="1" xfId="2" applyNumberFormat="1" applyFont="1" applyFill="1" applyBorder="1"/>
    <xf numFmtId="164" fontId="5" fillId="6" borderId="1" xfId="0" applyNumberFormat="1" applyFont="1" applyFill="1" applyBorder="1"/>
    <xf numFmtId="168" fontId="5" fillId="6" borderId="1" xfId="0" applyNumberFormat="1" applyFont="1" applyFill="1" applyBorder="1"/>
    <xf numFmtId="8" fontId="5" fillId="6" borderId="1" xfId="2" applyFont="1" applyFill="1" applyBorder="1"/>
    <xf numFmtId="2" fontId="5" fillId="6" borderId="1" xfId="2" applyNumberFormat="1" applyFont="1" applyFill="1" applyBorder="1"/>
    <xf numFmtId="0" fontId="8" fillId="0" borderId="1" xfId="0" applyFont="1" applyBorder="1" applyAlignment="1">
      <alignment horizontal="center"/>
    </xf>
    <xf numFmtId="10" fontId="5" fillId="6" borderId="3" xfId="0" applyNumberFormat="1" applyFont="1" applyFill="1" applyBorder="1"/>
    <xf numFmtId="10" fontId="5" fillId="6" borderId="4" xfId="4" applyNumberFormat="1" applyFont="1" applyFill="1" applyBorder="1"/>
    <xf numFmtId="10" fontId="5" fillId="6" borderId="2" xfId="4" applyNumberFormat="1" applyFont="1" applyFill="1" applyBorder="1"/>
    <xf numFmtId="0" fontId="0" fillId="6" borderId="1" xfId="0" applyFill="1" applyBorder="1"/>
    <xf numFmtId="168" fontId="30" fillId="6" borderId="1" xfId="2" applyNumberFormat="1" applyFont="1" applyFill="1" applyBorder="1"/>
    <xf numFmtId="164" fontId="0" fillId="6" borderId="1" xfId="0" applyNumberFormat="1" applyFill="1" applyBorder="1"/>
    <xf numFmtId="8" fontId="5" fillId="6" borderId="1" xfId="0" applyNumberFormat="1" applyFont="1" applyFill="1" applyBorder="1"/>
    <xf numFmtId="10" fontId="25" fillId="0" borderId="1" xfId="0" applyNumberFormat="1" applyFont="1" applyBorder="1" applyAlignment="1">
      <alignment horizontal="center"/>
    </xf>
    <xf numFmtId="0" fontId="25" fillId="0" borderId="1" xfId="0" applyFont="1" applyBorder="1" applyAlignment="1">
      <alignment horizontal="center"/>
    </xf>
    <xf numFmtId="2" fontId="25" fillId="0" borderId="1" xfId="0" applyNumberFormat="1" applyFont="1" applyBorder="1" applyAlignment="1">
      <alignment horizontal="center"/>
    </xf>
    <xf numFmtId="0" fontId="25" fillId="0" borderId="0" xfId="0" applyFont="1"/>
    <xf numFmtId="0" fontId="0" fillId="0" borderId="1" xfId="0" applyBorder="1"/>
    <xf numFmtId="0" fontId="32" fillId="0" borderId="1" xfId="0" applyFont="1" applyBorder="1"/>
    <xf numFmtId="10" fontId="8" fillId="2" borderId="1" xfId="0" applyNumberFormat="1" applyFont="1" applyFill="1" applyBorder="1" applyAlignment="1">
      <alignment horizontal="center"/>
    </xf>
    <xf numFmtId="6" fontId="5" fillId="2" borderId="1" xfId="4" applyNumberFormat="1" applyFont="1" applyFill="1" applyBorder="1" applyAlignment="1">
      <alignment horizontal="center"/>
    </xf>
    <xf numFmtId="10" fontId="5" fillId="0" borderId="8" xfId="0" applyNumberFormat="1" applyFont="1" applyBorder="1" applyAlignment="1">
      <alignment horizontal="center"/>
    </xf>
    <xf numFmtId="10" fontId="5" fillId="0" borderId="1" xfId="4" applyNumberFormat="1" applyFont="1" applyBorder="1" applyAlignment="1">
      <alignment horizontal="center"/>
    </xf>
    <xf numFmtId="0" fontId="40" fillId="0" borderId="1" xfId="0" applyFont="1" applyBorder="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32" fillId="0" borderId="1" xfId="0" applyFont="1" applyBorder="1" applyAlignment="1">
      <alignment horizontal="center"/>
    </xf>
    <xf numFmtId="0" fontId="32" fillId="0" borderId="4" xfId="0" applyFont="1" applyBorder="1" applyAlignment="1">
      <alignment horizontal="center"/>
    </xf>
    <xf numFmtId="0" fontId="32" fillId="0" borderId="1" xfId="0" applyFont="1" applyFill="1" applyBorder="1"/>
    <xf numFmtId="0" fontId="4" fillId="0" borderId="1" xfId="0" applyFont="1" applyBorder="1"/>
    <xf numFmtId="0" fontId="4" fillId="0" borderId="1" xfId="0" applyFont="1" applyBorder="1" applyAlignment="1">
      <alignment horizontal="center"/>
    </xf>
    <xf numFmtId="10" fontId="4" fillId="0" borderId="1" xfId="4" applyNumberFormat="1" applyFont="1" applyBorder="1" applyAlignment="1">
      <alignment horizontal="center"/>
    </xf>
    <xf numFmtId="10" fontId="4" fillId="0" borderId="4" xfId="0" applyNumberFormat="1" applyFont="1" applyBorder="1" applyAlignment="1">
      <alignment horizontal="center"/>
    </xf>
    <xf numFmtId="0" fontId="1" fillId="0" borderId="1" xfId="0" applyFont="1" applyBorder="1"/>
    <xf numFmtId="10" fontId="0" fillId="0" borderId="1" xfId="0" applyNumberFormat="1" applyBorder="1"/>
    <xf numFmtId="10" fontId="0" fillId="0" borderId="1" xfId="0" applyNumberFormat="1" applyBorder="1" applyAlignment="1"/>
    <xf numFmtId="165" fontId="41" fillId="0" borderId="0" xfId="0" applyNumberFormat="1" applyFont="1"/>
    <xf numFmtId="0" fontId="35" fillId="0" borderId="0" xfId="0" applyFont="1"/>
    <xf numFmtId="0" fontId="35" fillId="3" borderId="1" xfId="0" applyFont="1" applyFill="1" applyBorder="1" applyAlignment="1">
      <alignment horizontal="center"/>
    </xf>
    <xf numFmtId="0" fontId="36" fillId="0" borderId="7" xfId="0" applyFont="1" applyBorder="1" applyAlignment="1">
      <alignment horizontal="center"/>
    </xf>
    <xf numFmtId="0" fontId="42" fillId="0" borderId="0" xfId="0" applyFont="1"/>
    <xf numFmtId="165" fontId="38" fillId="4" borderId="0" xfId="0" applyNumberFormat="1" applyFont="1" applyFill="1"/>
    <xf numFmtId="165" fontId="43" fillId="4" borderId="1" xfId="0" applyNumberFormat="1" applyFont="1" applyFill="1" applyBorder="1"/>
    <xf numFmtId="0" fontId="44" fillId="0" borderId="0" xfId="0" applyFont="1"/>
    <xf numFmtId="165" fontId="0" fillId="0" borderId="0" xfId="0" applyNumberFormat="1"/>
    <xf numFmtId="0" fontId="0" fillId="0" borderId="9" xfId="0" applyBorder="1"/>
    <xf numFmtId="0" fontId="0" fillId="0" borderId="0" xfId="0" applyBorder="1"/>
    <xf numFmtId="0" fontId="0" fillId="0" borderId="15" xfId="0" applyBorder="1"/>
    <xf numFmtId="0" fontId="45" fillId="0" borderId="9" xfId="0" applyFont="1" applyBorder="1"/>
    <xf numFmtId="0" fontId="45" fillId="0" borderId="0" xfId="0" applyFont="1" applyBorder="1"/>
    <xf numFmtId="169"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xf numFmtId="10" fontId="0" fillId="0" borderId="15" xfId="0" applyNumberFormat="1" applyBorder="1" applyAlignment="1"/>
    <xf numFmtId="0" fontId="0" fillId="0" borderId="9" xfId="0" applyBorder="1" applyAlignment="1">
      <alignment horizontal="center" vertical="center"/>
    </xf>
    <xf numFmtId="0" fontId="0" fillId="0" borderId="0" xfId="0" applyBorder="1" applyAlignment="1">
      <alignment horizontal="center" vertical="center"/>
    </xf>
    <xf numFmtId="10" fontId="0" fillId="0" borderId="15" xfId="0" applyNumberFormat="1" applyBorder="1"/>
    <xf numFmtId="0" fontId="0" fillId="0" borderId="10" xfId="0" applyBorder="1"/>
    <xf numFmtId="0" fontId="0" fillId="0" borderId="11" xfId="0" applyBorder="1"/>
    <xf numFmtId="169" fontId="0" fillId="0" borderId="11" xfId="0" applyNumberFormat="1" applyBorder="1"/>
    <xf numFmtId="10" fontId="46" fillId="0" borderId="16" xfId="0" applyNumberFormat="1" applyFont="1" applyBorder="1"/>
    <xf numFmtId="0" fontId="0" fillId="0" borderId="17" xfId="0" applyBorder="1" applyAlignment="1">
      <alignment horizontal="center"/>
    </xf>
    <xf numFmtId="0" fontId="0" fillId="0" borderId="18" xfId="0" applyBorder="1" applyAlignment="1">
      <alignment horizontal="center"/>
    </xf>
    <xf numFmtId="0" fontId="0" fillId="0" borderId="0" xfId="0" applyNumberFormat="1" applyBorder="1"/>
    <xf numFmtId="10" fontId="0" fillId="0" borderId="0" xfId="0" applyNumberFormat="1" applyBorder="1"/>
    <xf numFmtId="10" fontId="0" fillId="0" borderId="11" xfId="0" applyNumberFormat="1" applyBorder="1"/>
    <xf numFmtId="10" fontId="0" fillId="0" borderId="16" xfId="0" applyNumberFormat="1" applyBorder="1"/>
    <xf numFmtId="0" fontId="0" fillId="0" borderId="16" xfId="0" applyBorder="1"/>
    <xf numFmtId="0" fontId="0" fillId="0" borderId="19"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9" fontId="0" fillId="0" borderId="0" xfId="0" applyNumberFormat="1" applyBorder="1" applyAlignment="1">
      <alignment horizontal="center"/>
    </xf>
    <xf numFmtId="9" fontId="0" fillId="0" borderId="15" xfId="0" applyNumberFormat="1"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9" fontId="0" fillId="0" borderId="11" xfId="0" applyNumberFormat="1" applyBorder="1" applyAlignment="1">
      <alignment horizontal="center"/>
    </xf>
    <xf numFmtId="9" fontId="0" fillId="0" borderId="16" xfId="0" applyNumberFormat="1" applyBorder="1" applyAlignment="1">
      <alignment horizontal="center"/>
    </xf>
    <xf numFmtId="0" fontId="46" fillId="0" borderId="0" xfId="0" applyFont="1"/>
    <xf numFmtId="0" fontId="47" fillId="0" borderId="0" xfId="0" applyFont="1"/>
    <xf numFmtId="8" fontId="5" fillId="0" borderId="0" xfId="0" applyNumberFormat="1" applyFont="1" applyFill="1"/>
    <xf numFmtId="8" fontId="5" fillId="3" borderId="4" xfId="2" applyFont="1" applyFill="1" applyBorder="1" applyAlignment="1">
      <alignment horizontal="center"/>
    </xf>
    <xf numFmtId="8" fontId="5" fillId="5" borderId="0" xfId="2" applyFont="1" applyFill="1" applyBorder="1" applyAlignment="1">
      <alignment horizontal="center"/>
    </xf>
    <xf numFmtId="10" fontId="0" fillId="0" borderId="0" xfId="0" applyNumberFormat="1"/>
    <xf numFmtId="0" fontId="60" fillId="0" borderId="0" xfId="0" applyFont="1"/>
    <xf numFmtId="0" fontId="19" fillId="0" borderId="0" xfId="0" applyFont="1" applyAlignment="1"/>
    <xf numFmtId="0" fontId="28" fillId="5" borderId="0" xfId="0" applyFont="1" applyFill="1" applyBorder="1"/>
    <xf numFmtId="0" fontId="61" fillId="5" borderId="0" xfId="0" applyFont="1" applyFill="1" applyBorder="1"/>
    <xf numFmtId="0" fontId="63" fillId="0" borderId="0" xfId="0" applyFont="1"/>
    <xf numFmtId="0" fontId="61" fillId="5" borderId="22" xfId="0" applyFont="1" applyFill="1" applyBorder="1"/>
    <xf numFmtId="0" fontId="19" fillId="0" borderId="0" xfId="0" applyFont="1" applyBorder="1" applyAlignment="1"/>
    <xf numFmtId="0" fontId="61" fillId="5" borderId="0" xfId="0" applyFont="1" applyFill="1" applyBorder="1" applyAlignment="1">
      <alignment horizontal="right"/>
    </xf>
    <xf numFmtId="8" fontId="5" fillId="0" borderId="0" xfId="0" applyNumberFormat="1" applyFont="1" applyBorder="1"/>
    <xf numFmtId="0" fontId="60" fillId="0" borderId="0" xfId="0" applyFont="1" applyBorder="1"/>
    <xf numFmtId="8" fontId="18" fillId="0" borderId="25" xfId="2" applyFont="1" applyBorder="1" applyAlignment="1">
      <alignment horizontal="center"/>
    </xf>
    <xf numFmtId="8" fontId="18" fillId="0" borderId="26" xfId="2" applyFont="1" applyBorder="1" applyAlignment="1">
      <alignment horizontal="center"/>
    </xf>
    <xf numFmtId="8" fontId="18" fillId="0" borderId="27" xfId="2" applyFont="1" applyBorder="1" applyAlignment="1">
      <alignment horizontal="center"/>
    </xf>
    <xf numFmtId="8" fontId="18" fillId="0" borderId="7" xfId="2" applyFont="1" applyBorder="1" applyAlignment="1">
      <alignment horizontal="center"/>
    </xf>
    <xf numFmtId="9" fontId="65" fillId="0" borderId="24" xfId="0" applyNumberFormat="1" applyFont="1" applyBorder="1"/>
    <xf numFmtId="8" fontId="65" fillId="0" borderId="0" xfId="0" applyNumberFormat="1" applyFont="1" applyBorder="1"/>
    <xf numFmtId="8" fontId="65" fillId="0" borderId="15" xfId="0" applyNumberFormat="1" applyFont="1" applyBorder="1"/>
    <xf numFmtId="10" fontId="65" fillId="0" borderId="24" xfId="0" applyNumberFormat="1" applyFont="1" applyBorder="1"/>
    <xf numFmtId="9" fontId="65" fillId="0" borderId="7" xfId="0" applyNumberFormat="1" applyFont="1" applyBorder="1"/>
    <xf numFmtId="8" fontId="65" fillId="0" borderId="11" xfId="0" applyNumberFormat="1" applyFont="1" applyBorder="1"/>
    <xf numFmtId="8" fontId="65" fillId="0" borderId="16" xfId="0" applyNumberFormat="1" applyFont="1" applyBorder="1"/>
    <xf numFmtId="0" fontId="36" fillId="0" borderId="22" xfId="0" applyFont="1" applyBorder="1"/>
    <xf numFmtId="0" fontId="36" fillId="0" borderId="23" xfId="0" applyFont="1" applyBorder="1"/>
    <xf numFmtId="0" fontId="36" fillId="0" borderId="2" xfId="0" applyFont="1" applyBorder="1"/>
    <xf numFmtId="0" fontId="22" fillId="0" borderId="0" xfId="0" applyFont="1" applyAlignment="1">
      <alignment horizontal="center"/>
    </xf>
    <xf numFmtId="0" fontId="37" fillId="0" borderId="0" xfId="0" applyFont="1"/>
    <xf numFmtId="0" fontId="42" fillId="0" borderId="20" xfId="0" applyFont="1" applyFill="1" applyBorder="1"/>
    <xf numFmtId="0" fontId="42" fillId="0" borderId="0" xfId="0" applyFont="1" applyAlignment="1">
      <alignment wrapText="1"/>
    </xf>
    <xf numFmtId="3" fontId="48" fillId="0" borderId="0" xfId="0" applyNumberFormat="1" applyFont="1"/>
    <xf numFmtId="3" fontId="42" fillId="0" borderId="0" xfId="0" applyNumberFormat="1" applyFont="1"/>
    <xf numFmtId="0" fontId="48" fillId="0" borderId="0" xfId="0" applyFont="1"/>
    <xf numFmtId="0" fontId="11" fillId="0" borderId="0" xfId="0" applyFont="1" applyAlignment="1">
      <alignment horizontal="center"/>
    </xf>
    <xf numFmtId="0" fontId="27" fillId="0" borderId="19" xfId="0" applyFont="1" applyBorder="1" applyAlignment="1">
      <alignment horizontal="center"/>
    </xf>
    <xf numFmtId="0" fontId="28" fillId="0" borderId="17" xfId="0" applyFont="1" applyBorder="1" applyAlignment="1">
      <alignment horizontal="center"/>
    </xf>
    <xf numFmtId="0" fontId="28" fillId="0" borderId="21" xfId="0" applyFont="1" applyBorder="1" applyAlignment="1">
      <alignment horizontal="center"/>
    </xf>
    <xf numFmtId="0" fontId="19" fillId="0" borderId="0" xfId="0" applyFont="1" applyAlignment="1">
      <alignment horizontal="center"/>
    </xf>
    <xf numFmtId="0" fontId="62" fillId="5" borderId="0" xfId="0" applyFont="1" applyFill="1" applyBorder="1" applyAlignment="1">
      <alignment horizontal="center" vertical="center"/>
    </xf>
    <xf numFmtId="0" fontId="64" fillId="0" borderId="28" xfId="0" applyFont="1" applyBorder="1" applyAlignment="1">
      <alignment horizontal="center"/>
    </xf>
    <xf numFmtId="0" fontId="5" fillId="0" borderId="22" xfId="0" applyFont="1" applyBorder="1" applyAlignment="1">
      <alignment horizontal="center"/>
    </xf>
    <xf numFmtId="0" fontId="5" fillId="0" borderId="23" xfId="0" applyFont="1" applyBorder="1" applyAlignment="1">
      <alignment horizontal="center"/>
    </xf>
    <xf numFmtId="0" fontId="49" fillId="0" borderId="19" xfId="0" applyFont="1" applyBorder="1" applyAlignment="1">
      <alignment horizontal="center" vertical="center"/>
    </xf>
    <xf numFmtId="0" fontId="49" fillId="0" borderId="17" xfId="0" applyFont="1" applyBorder="1" applyAlignment="1">
      <alignment horizontal="center" vertical="center"/>
    </xf>
    <xf numFmtId="0" fontId="49" fillId="0" borderId="18" xfId="0" applyFont="1" applyBorder="1" applyAlignment="1">
      <alignment horizontal="center" vertical="center"/>
    </xf>
    <xf numFmtId="0" fontId="50" fillId="0" borderId="19" xfId="0" applyFont="1" applyBorder="1" applyAlignment="1">
      <alignment horizontal="center"/>
    </xf>
    <xf numFmtId="0" fontId="50" fillId="0" borderId="17" xfId="0" applyFont="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49" fillId="0" borderId="9" xfId="0" applyFont="1" applyBorder="1" applyAlignment="1">
      <alignment horizontal="center"/>
    </xf>
    <xf numFmtId="0" fontId="49" fillId="0" borderId="0" xfId="0" applyFont="1" applyBorder="1" applyAlignment="1">
      <alignment horizontal="center"/>
    </xf>
    <xf numFmtId="0" fontId="49" fillId="0" borderId="15" xfId="0" applyFont="1" applyBorder="1" applyAlignment="1">
      <alignment horizontal="center"/>
    </xf>
  </cellXfs>
  <cellStyles count="5">
    <cellStyle name="Comma" xfId="1" builtinId="3"/>
    <cellStyle name="Currency" xfId="2" builtinId="4"/>
    <cellStyle name="Hyperlink" xfId="3" builtinId="8"/>
    <cellStyle name="Normal" xfId="0" builtinId="0"/>
    <cellStyle name="Percent" xfId="4" builtinId="5"/>
  </cellStyles>
  <dxfs count="1">
    <dxf>
      <border>
        <left/>
        <right/>
        <top/>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zoomScale="114" workbookViewId="0">
      <selection activeCell="B12" sqref="B12"/>
    </sheetView>
  </sheetViews>
  <sheetFormatPr baseColWidth="10" defaultColWidth="11.42578125" defaultRowHeight="14"/>
  <cols>
    <col min="1" max="1" width="12.85546875" style="111" bestFit="1" customWidth="1"/>
    <col min="2" max="2" width="65.140625" style="4" bestFit="1" customWidth="1"/>
  </cols>
  <sheetData>
    <row r="1" spans="1:6" s="100" customFormat="1" ht="19">
      <c r="A1" s="272" t="s">
        <v>328</v>
      </c>
      <c r="B1" s="272"/>
      <c r="C1" s="272"/>
      <c r="D1" s="272"/>
      <c r="E1" s="272"/>
      <c r="F1" s="272"/>
    </row>
    <row r="2" spans="1:6">
      <c r="A2" s="111" t="s">
        <v>31</v>
      </c>
      <c r="B2" s="4" t="s">
        <v>78</v>
      </c>
    </row>
    <row r="3" spans="1:6">
      <c r="B3" s="4" t="s">
        <v>79</v>
      </c>
    </row>
    <row r="4" spans="1:6">
      <c r="A4" s="111" t="s">
        <v>429</v>
      </c>
      <c r="B4" s="4" t="s">
        <v>185</v>
      </c>
    </row>
    <row r="5" spans="1:6">
      <c r="B5" s="4" t="s">
        <v>21</v>
      </c>
    </row>
    <row r="6" spans="1:6">
      <c r="A6" s="111" t="s">
        <v>11</v>
      </c>
      <c r="B6" s="4" t="s">
        <v>22</v>
      </c>
    </row>
    <row r="7" spans="1:6">
      <c r="B7" s="4" t="s">
        <v>358</v>
      </c>
    </row>
    <row r="8" spans="1:6">
      <c r="B8" s="4" t="s">
        <v>13</v>
      </c>
    </row>
    <row r="9" spans="1:6">
      <c r="B9" s="4" t="s">
        <v>247</v>
      </c>
    </row>
    <row r="10" spans="1:6">
      <c r="B10" s="4" t="s">
        <v>170</v>
      </c>
    </row>
    <row r="11" spans="1:6">
      <c r="B11" s="4" t="s">
        <v>41</v>
      </c>
    </row>
    <row r="12" spans="1:6">
      <c r="A12" s="111" t="s">
        <v>290</v>
      </c>
      <c r="B12" s="4" t="s">
        <v>360</v>
      </c>
    </row>
    <row r="13" spans="1:6">
      <c r="B13" s="4" t="s">
        <v>56</v>
      </c>
    </row>
    <row r="14" spans="1:6">
      <c r="B14" s="4" t="s">
        <v>372</v>
      </c>
    </row>
    <row r="15" spans="1:6">
      <c r="B15" s="4" t="s">
        <v>30</v>
      </c>
    </row>
    <row r="16" spans="1:6">
      <c r="B16" s="4" t="s">
        <v>206</v>
      </c>
    </row>
    <row r="17" spans="1:2">
      <c r="A17" s="111" t="s">
        <v>171</v>
      </c>
      <c r="B17" s="4" t="s">
        <v>64</v>
      </c>
    </row>
    <row r="18" spans="1:2">
      <c r="B18" s="4" t="s">
        <v>114</v>
      </c>
    </row>
    <row r="19" spans="1:2">
      <c r="B19" s="4" t="s">
        <v>115</v>
      </c>
    </row>
    <row r="20" spans="1:2">
      <c r="B20" s="4" t="s">
        <v>61</v>
      </c>
    </row>
    <row r="21" spans="1:2">
      <c r="B21" s="4" t="s">
        <v>108</v>
      </c>
    </row>
    <row r="22" spans="1:2">
      <c r="A22" s="111" t="s">
        <v>233</v>
      </c>
      <c r="B22" s="4" t="s">
        <v>394</v>
      </c>
    </row>
  </sheetData>
  <mergeCells count="1">
    <mergeCell ref="A1:F1"/>
  </mergeCells>
  <phoneticPr fontId="29"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3"/>
  <sheetViews>
    <sheetView topLeftCell="A58" zoomScale="150" workbookViewId="0">
      <selection activeCell="E83" sqref="E83"/>
    </sheetView>
  </sheetViews>
  <sheetFormatPr baseColWidth="10" defaultColWidth="11.42578125" defaultRowHeight="14"/>
  <cols>
    <col min="1" max="1" width="49.85546875" bestFit="1" customWidth="1"/>
    <col min="2" max="2" width="14.140625" bestFit="1" customWidth="1"/>
    <col min="3" max="3" width="12.85546875" bestFit="1" customWidth="1"/>
  </cols>
  <sheetData>
    <row r="1" spans="1:6" s="113" customFormat="1">
      <c r="A1" s="113" t="s">
        <v>239</v>
      </c>
    </row>
    <row r="2" spans="1:6" s="113" customFormat="1">
      <c r="A2" s="113" t="s">
        <v>59</v>
      </c>
    </row>
    <row r="3" spans="1:6" s="24" customFormat="1" ht="19">
      <c r="A3" s="24" t="s">
        <v>126</v>
      </c>
    </row>
    <row r="4" spans="1:6" s="4" customFormat="1">
      <c r="A4" s="4" t="s">
        <v>9</v>
      </c>
      <c r="B4" s="78" t="s">
        <v>202</v>
      </c>
      <c r="D4" s="145" t="s">
        <v>448</v>
      </c>
      <c r="F4" s="134"/>
    </row>
    <row r="5" spans="1:6" s="4" customFormat="1">
      <c r="A5" s="4" t="s">
        <v>169</v>
      </c>
      <c r="B5" s="78" t="s">
        <v>202</v>
      </c>
      <c r="D5" s="145" t="s">
        <v>449</v>
      </c>
    </row>
    <row r="6" spans="1:6" s="4" customFormat="1">
      <c r="A6" s="4" t="s">
        <v>279</v>
      </c>
      <c r="B6" s="78" t="s">
        <v>390</v>
      </c>
      <c r="D6" s="145" t="s">
        <v>450</v>
      </c>
    </row>
    <row r="8" spans="1:6" s="4" customFormat="1" ht="16">
      <c r="A8" s="48" t="s">
        <v>11</v>
      </c>
      <c r="B8" s="145"/>
    </row>
    <row r="9" spans="1:6" s="4" customFormat="1">
      <c r="A9" s="7" t="s">
        <v>241</v>
      </c>
    </row>
    <row r="10" spans="1:6" s="4" customFormat="1">
      <c r="A10" s="4" t="s">
        <v>300</v>
      </c>
      <c r="B10" s="245">
        <v>22152</v>
      </c>
      <c r="C10" s="246"/>
    </row>
    <row r="11" spans="1:6" s="4" customFormat="1">
      <c r="A11" s="4" t="s">
        <v>58</v>
      </c>
      <c r="B11" s="75">
        <v>-346</v>
      </c>
    </row>
    <row r="12" spans="1:6" s="4" customFormat="1">
      <c r="A12" s="4" t="s">
        <v>245</v>
      </c>
      <c r="B12" s="75">
        <v>12653</v>
      </c>
      <c r="C12" s="82"/>
    </row>
    <row r="13" spans="1:6" s="4" customFormat="1">
      <c r="A13" s="4" t="s">
        <v>172</v>
      </c>
      <c r="B13" s="75">
        <v>6970</v>
      </c>
      <c r="C13" s="244"/>
    </row>
    <row r="14" spans="1:6" s="4" customFormat="1">
      <c r="A14" s="4" t="s">
        <v>454</v>
      </c>
      <c r="B14" s="76">
        <f>10%</f>
        <v>0.1</v>
      </c>
      <c r="C14" s="145"/>
      <c r="E14" s="82"/>
    </row>
    <row r="15" spans="1:6" s="4" customFormat="1">
      <c r="A15" s="4" t="s">
        <v>455</v>
      </c>
      <c r="B15" s="76">
        <v>0.21</v>
      </c>
    </row>
    <row r="16" spans="1:6" s="4" customFormat="1">
      <c r="A16" s="4" t="s">
        <v>123</v>
      </c>
      <c r="B16" s="75">
        <v>69244</v>
      </c>
      <c r="C16" s="148">
        <v>62082</v>
      </c>
    </row>
    <row r="17" spans="1:10" s="4" customFormat="1">
      <c r="A17" s="4" t="s">
        <v>124</v>
      </c>
      <c r="B17" s="75">
        <v>9205</v>
      </c>
      <c r="D17" s="275"/>
      <c r="E17" s="273"/>
      <c r="F17" s="276"/>
      <c r="G17" s="273"/>
      <c r="H17" s="273"/>
      <c r="I17" s="277">
        <v>5553</v>
      </c>
      <c r="J17" s="273"/>
    </row>
    <row r="18" spans="1:10" s="4" customFormat="1">
      <c r="A18" s="4" t="s">
        <v>125</v>
      </c>
      <c r="B18" s="75">
        <v>-3047</v>
      </c>
      <c r="C18" s="9" t="s">
        <v>143</v>
      </c>
      <c r="D18" s="275"/>
      <c r="E18" s="273"/>
      <c r="F18" s="276"/>
      <c r="G18" s="273"/>
      <c r="H18" s="273"/>
      <c r="I18" s="277"/>
      <c r="J18" s="273"/>
    </row>
    <row r="19" spans="1:10" s="4" customFormat="1">
      <c r="A19" s="4" t="s">
        <v>208</v>
      </c>
      <c r="B19" s="75">
        <v>28776</v>
      </c>
      <c r="C19" s="207">
        <v>28180</v>
      </c>
      <c r="D19" s="274"/>
      <c r="E19" s="273"/>
      <c r="F19" s="278" t="s">
        <v>705</v>
      </c>
      <c r="G19" s="273"/>
      <c r="H19" s="273"/>
      <c r="I19" s="277">
        <v>5210</v>
      </c>
      <c r="J19" s="273"/>
    </row>
    <row r="20" spans="1:10" s="4" customFormat="1">
      <c r="A20" s="4" t="s">
        <v>230</v>
      </c>
      <c r="B20" s="201">
        <v>123249</v>
      </c>
      <c r="C20" s="146">
        <v>84197</v>
      </c>
      <c r="D20" s="274"/>
      <c r="E20" s="273"/>
      <c r="F20" s="278"/>
      <c r="G20" s="273"/>
      <c r="H20" s="273"/>
      <c r="I20" s="277"/>
      <c r="J20" s="273"/>
    </row>
    <row r="21" spans="1:10" s="4" customFormat="1">
      <c r="B21" s="11"/>
      <c r="C21" s="17"/>
      <c r="D21" s="205"/>
      <c r="E21"/>
      <c r="F21"/>
      <c r="G21"/>
      <c r="H21"/>
      <c r="I21"/>
      <c r="J21"/>
    </row>
    <row r="22" spans="1:10" s="4" customFormat="1">
      <c r="A22" s="4" t="s">
        <v>178</v>
      </c>
      <c r="B22" s="75">
        <v>5305</v>
      </c>
      <c r="C22" s="146">
        <v>6462</v>
      </c>
    </row>
    <row r="23" spans="1:10" s="4" customFormat="1">
      <c r="A23" s="4" t="s">
        <v>179</v>
      </c>
      <c r="B23" s="75">
        <v>0</v>
      </c>
      <c r="C23" s="206">
        <v>0</v>
      </c>
    </row>
    <row r="24" spans="1:10" s="4" customFormat="1">
      <c r="A24" s="4" t="s">
        <v>451</v>
      </c>
      <c r="B24" s="75">
        <v>0</v>
      </c>
      <c r="C24" s="148">
        <v>0</v>
      </c>
      <c r="D24" s="202"/>
      <c r="E24" s="4" t="s">
        <v>703</v>
      </c>
    </row>
    <row r="25" spans="1:10" s="4" customFormat="1">
      <c r="B25" s="81"/>
    </row>
    <row r="26" spans="1:10" s="7" customFormat="1">
      <c r="A26" s="7" t="s">
        <v>188</v>
      </c>
      <c r="B26" s="90"/>
    </row>
    <row r="27" spans="1:10" s="4" customFormat="1">
      <c r="A27" s="4" t="s">
        <v>187</v>
      </c>
      <c r="B27" s="75" t="s">
        <v>202</v>
      </c>
    </row>
    <row r="28" spans="1:10" s="8" customFormat="1">
      <c r="A28" s="8" t="s">
        <v>384</v>
      </c>
      <c r="B28" s="91"/>
    </row>
    <row r="29" spans="1:10" s="4" customFormat="1">
      <c r="A29" s="4" t="s">
        <v>213</v>
      </c>
      <c r="B29" s="75">
        <v>48.72</v>
      </c>
      <c r="C29" s="145"/>
      <c r="D29" s="61"/>
    </row>
    <row r="30" spans="1:10" s="4" customFormat="1">
      <c r="A30" s="4" t="s">
        <v>389</v>
      </c>
      <c r="B30" s="79">
        <v>4648</v>
      </c>
      <c r="D30" s="61"/>
    </row>
    <row r="31" spans="1:10" s="4" customFormat="1">
      <c r="A31" s="4" t="s">
        <v>400</v>
      </c>
      <c r="B31" s="75">
        <v>28776</v>
      </c>
    </row>
    <row r="32" spans="1:10" s="8" customFormat="1">
      <c r="A32" s="8" t="s">
        <v>433</v>
      </c>
      <c r="B32" s="91"/>
    </row>
    <row r="33" spans="1:3" s="4" customFormat="1">
      <c r="A33" s="4" t="s">
        <v>352</v>
      </c>
      <c r="B33" s="75" t="s">
        <v>390</v>
      </c>
    </row>
    <row r="34" spans="1:3" s="4" customFormat="1">
      <c r="A34" s="4" t="s">
        <v>353</v>
      </c>
      <c r="B34" s="116">
        <v>0.23</v>
      </c>
      <c r="C34" s="145"/>
    </row>
    <row r="35" spans="1:3" s="4" customFormat="1">
      <c r="B35" s="82"/>
    </row>
    <row r="36" spans="1:3" s="4" customFormat="1">
      <c r="A36" s="8" t="s">
        <v>359</v>
      </c>
      <c r="B36" s="82"/>
    </row>
    <row r="37" spans="1:3" s="4" customFormat="1">
      <c r="A37" s="4" t="s">
        <v>315</v>
      </c>
      <c r="B37" s="80">
        <v>2.895E-2</v>
      </c>
      <c r="C37" s="145"/>
    </row>
    <row r="38" spans="1:3" s="4" customFormat="1">
      <c r="A38" s="4" t="s">
        <v>283</v>
      </c>
      <c r="B38" s="80">
        <v>5.5E-2</v>
      </c>
      <c r="C38" s="145"/>
    </row>
    <row r="39" spans="1:3" s="4" customFormat="1"/>
    <row r="40" spans="1:3" s="4" customFormat="1">
      <c r="A40" s="8" t="s">
        <v>254</v>
      </c>
    </row>
    <row r="41" spans="1:3" s="4" customFormat="1">
      <c r="A41" s="4" t="s">
        <v>87</v>
      </c>
      <c r="B41" s="78" t="s">
        <v>422</v>
      </c>
      <c r="C41" s="145"/>
    </row>
    <row r="42" spans="1:3" s="4" customFormat="1">
      <c r="A42" s="4" t="s">
        <v>392</v>
      </c>
      <c r="B42" s="78">
        <v>1</v>
      </c>
    </row>
    <row r="43" spans="1:3" s="4" customFormat="1">
      <c r="A43" s="4" t="s">
        <v>91</v>
      </c>
      <c r="B43" s="203" t="s">
        <v>704</v>
      </c>
      <c r="C43" s="145"/>
    </row>
    <row r="44" spans="1:3" s="4" customFormat="1">
      <c r="A44" s="4" t="s">
        <v>92</v>
      </c>
      <c r="B44" s="80">
        <v>8.9999999999999993E-3</v>
      </c>
      <c r="C44" s="145"/>
    </row>
    <row r="46" spans="1:3" s="8" customFormat="1">
      <c r="A46" s="8" t="s">
        <v>290</v>
      </c>
    </row>
    <row r="47" spans="1:3" s="4" customFormat="1">
      <c r="A47" s="4" t="s">
        <v>109</v>
      </c>
      <c r="B47" s="78" t="s">
        <v>202</v>
      </c>
    </row>
    <row r="48" spans="1:3" s="4" customFormat="1">
      <c r="A48" s="4" t="s">
        <v>350</v>
      </c>
      <c r="B48" s="87"/>
    </row>
    <row r="49" spans="1:4" s="4" customFormat="1">
      <c r="A49" s="4" t="s">
        <v>351</v>
      </c>
      <c r="B49" s="75"/>
    </row>
    <row r="50" spans="1:4" s="4" customFormat="1">
      <c r="A50" s="4" t="s">
        <v>20</v>
      </c>
      <c r="B50" s="78"/>
    </row>
    <row r="51" spans="1:4" s="4" customFormat="1">
      <c r="A51" s="4" t="s">
        <v>63</v>
      </c>
      <c r="B51" s="83"/>
    </row>
    <row r="52" spans="1:4" s="4" customFormat="1">
      <c r="A52" s="4" t="s">
        <v>112</v>
      </c>
      <c r="B52" s="78"/>
    </row>
    <row r="53" spans="1:4" s="4" customFormat="1">
      <c r="B53" s="149"/>
    </row>
    <row r="54" spans="1:4" s="7" customFormat="1">
      <c r="A54" s="7" t="s">
        <v>242</v>
      </c>
    </row>
    <row r="55" spans="1:4" s="8" customFormat="1">
      <c r="A55" s="8" t="s">
        <v>243</v>
      </c>
      <c r="B55" s="8" t="s">
        <v>3</v>
      </c>
    </row>
    <row r="56" spans="1:4" s="4" customFormat="1">
      <c r="A56" s="4" t="s">
        <v>106</v>
      </c>
      <c r="B56" s="78">
        <v>5</v>
      </c>
    </row>
    <row r="57" spans="1:4" s="4" customFormat="1">
      <c r="A57" s="4" t="s">
        <v>376</v>
      </c>
      <c r="B57" s="78">
        <v>0.94</v>
      </c>
      <c r="C57" s="145"/>
      <c r="D57" s="4" t="s">
        <v>791</v>
      </c>
    </row>
    <row r="58" spans="1:4" s="4" customFormat="1">
      <c r="A58" s="4" t="s">
        <v>84</v>
      </c>
      <c r="B58" s="78" t="s">
        <v>202</v>
      </c>
    </row>
    <row r="59" spans="1:4" s="4" customFormat="1">
      <c r="A59" s="4" t="s">
        <v>146</v>
      </c>
      <c r="B59" s="95">
        <v>0.23</v>
      </c>
    </row>
    <row r="60" spans="1:4" s="4" customFormat="1">
      <c r="A60" s="4" t="s">
        <v>369</v>
      </c>
      <c r="B60" s="97"/>
    </row>
    <row r="61" spans="1:4" s="4" customFormat="1">
      <c r="A61" s="4" t="s">
        <v>395</v>
      </c>
      <c r="B61" s="78" t="s">
        <v>706</v>
      </c>
    </row>
    <row r="62" spans="1:4" s="4" customFormat="1">
      <c r="A62" s="4" t="s">
        <v>396</v>
      </c>
      <c r="B62" s="97">
        <f>B17/B16</f>
        <v>0.13293570562070359</v>
      </c>
      <c r="C62" s="145"/>
    </row>
    <row r="63" spans="1:4" s="4" customFormat="1">
      <c r="A63" s="4" t="s">
        <v>29</v>
      </c>
      <c r="B63" s="83"/>
    </row>
    <row r="64" spans="1:4" s="4" customFormat="1">
      <c r="A64" s="4" t="s">
        <v>228</v>
      </c>
      <c r="B64" s="78" t="s">
        <v>202</v>
      </c>
    </row>
    <row r="65" spans="1:5" s="4" customFormat="1">
      <c r="A65" s="4" t="s">
        <v>356</v>
      </c>
      <c r="B65" s="83"/>
    </row>
    <row r="66" spans="1:5" s="4" customFormat="1">
      <c r="A66" s="4" t="s">
        <v>167</v>
      </c>
      <c r="B66" s="9"/>
    </row>
    <row r="67" spans="1:5" s="4" customFormat="1">
      <c r="A67" s="4" t="s">
        <v>251</v>
      </c>
      <c r="B67" s="95">
        <f>IF('Master Inputs Start here'!B4="Yes",('Valuation Model'!D3*(1-'Valuation Model'!D7)+'R&amp;D converter'!D40)/('Valuation Model'!D11+'Valuation Model'!D12-C22-C23),('Valuation Model'!D3*(1-'Valuation Model'!D7))/('Valuation Model'!D11+'Valuation Model'!D12-C22-C23))</f>
        <v>0.13724123771190494</v>
      </c>
    </row>
    <row r="68" spans="1:5" s="4" customFormat="1">
      <c r="A68" s="4" t="s">
        <v>168</v>
      </c>
      <c r="B68" s="95">
        <f>IF('Master Inputs Start here'!B4="Yes",('Valuation Model'!D5-'Valuation Model'!D6+'Valuation Model'!D10)/'Valuation Model'!C43,('Valuation Model'!D5-'Valuation Model'!D6+'Valuation Model'!D10)/'Valuation Model'!C43)</f>
        <v>0.39268662031690132</v>
      </c>
    </row>
    <row r="69" spans="1:5" s="4" customFormat="1">
      <c r="A69" s="4" t="s">
        <v>327</v>
      </c>
      <c r="B69" s="78" t="s">
        <v>390</v>
      </c>
    </row>
    <row r="70" spans="1:5" s="4" customFormat="1">
      <c r="A70" s="4" t="s">
        <v>251</v>
      </c>
      <c r="B70" s="80"/>
    </row>
    <row r="71" spans="1:5" s="4" customFormat="1">
      <c r="A71" s="4" t="s">
        <v>168</v>
      </c>
      <c r="B71" s="80"/>
    </row>
    <row r="72" spans="1:5" s="4" customFormat="1">
      <c r="B72" s="110"/>
    </row>
    <row r="73" spans="1:5" s="4" customFormat="1">
      <c r="A73" s="4" t="s">
        <v>404</v>
      </c>
      <c r="B73" s="80" t="s">
        <v>390</v>
      </c>
      <c r="C73" s="145"/>
    </row>
    <row r="74" spans="1:5" s="4" customFormat="1">
      <c r="B74" s="94"/>
    </row>
    <row r="75" spans="1:5" s="8" customFormat="1">
      <c r="A75" s="8" t="s">
        <v>354</v>
      </c>
      <c r="B75" s="18"/>
    </row>
    <row r="76" spans="1:5" s="4" customFormat="1">
      <c r="A76" s="4" t="s">
        <v>19</v>
      </c>
      <c r="B76" s="80">
        <v>2.895E-2</v>
      </c>
      <c r="C76" s="4">
        <v>2.895</v>
      </c>
    </row>
    <row r="77" spans="1:5" s="4" customFormat="1" ht="19">
      <c r="A77" s="19" t="s">
        <v>218</v>
      </c>
      <c r="B77" s="87">
        <v>1.05</v>
      </c>
      <c r="C77" s="145"/>
      <c r="E77" s="243"/>
    </row>
    <row r="78" spans="1:5" s="4" customFormat="1">
      <c r="A78" s="19" t="s">
        <v>244</v>
      </c>
      <c r="B78" s="135">
        <v>5.5E-2</v>
      </c>
      <c r="E78" s="4" t="s">
        <v>792</v>
      </c>
    </row>
    <row r="79" spans="1:5" s="4" customFormat="1">
      <c r="A79" s="4" t="s">
        <v>166</v>
      </c>
      <c r="B79" s="80">
        <v>0.11</v>
      </c>
      <c r="C79" s="145"/>
      <c r="E79" s="145" t="s">
        <v>793</v>
      </c>
    </row>
    <row r="80" spans="1:5" s="4" customFormat="1">
      <c r="A80" s="4" t="s">
        <v>408</v>
      </c>
      <c r="B80" s="80">
        <v>4.0399999999999998E-2</v>
      </c>
      <c r="C80" s="145"/>
    </row>
    <row r="81" spans="1:3" s="4" customFormat="1">
      <c r="A81" s="4" t="s">
        <v>40</v>
      </c>
      <c r="B81" s="80">
        <v>0.21</v>
      </c>
      <c r="C81" s="145"/>
    </row>
    <row r="82" spans="1:3" s="8" customFormat="1" ht="12" customHeight="1">
      <c r="A82" s="8" t="s">
        <v>297</v>
      </c>
      <c r="B82" s="18"/>
    </row>
    <row r="83" spans="1:3" s="4" customFormat="1" ht="12" customHeight="1">
      <c r="A83" s="4" t="s">
        <v>153</v>
      </c>
      <c r="B83" s="88" t="s">
        <v>202</v>
      </c>
    </row>
    <row r="84" spans="1:3" s="4" customFormat="1" ht="12" customHeight="1">
      <c r="A84" s="4" t="s">
        <v>381</v>
      </c>
      <c r="B84" s="80">
        <v>9.5399999999999999E-2</v>
      </c>
      <c r="C84" s="145"/>
    </row>
    <row r="85" spans="1:3" s="4" customFormat="1" ht="12" customHeight="1">
      <c r="A85" s="4" t="s">
        <v>129</v>
      </c>
      <c r="B85" s="83"/>
      <c r="C85" s="9"/>
    </row>
    <row r="91" spans="1:3">
      <c r="B91" s="26"/>
      <c r="C91" s="26"/>
    </row>
    <row r="93" spans="1:3">
      <c r="A93" s="26"/>
    </row>
  </sheetData>
  <mergeCells count="14">
    <mergeCell ref="J17:J18"/>
    <mergeCell ref="D19:D20"/>
    <mergeCell ref="D17:D18"/>
    <mergeCell ref="E17:E18"/>
    <mergeCell ref="F17:F18"/>
    <mergeCell ref="G17:G18"/>
    <mergeCell ref="H17:H18"/>
    <mergeCell ref="I17:I18"/>
    <mergeCell ref="E19:E20"/>
    <mergeCell ref="F19:F20"/>
    <mergeCell ref="G19:G20"/>
    <mergeCell ref="H19:H20"/>
    <mergeCell ref="I19:I20"/>
    <mergeCell ref="J19:J20"/>
  </mergeCells>
  <phoneticPr fontId="29" type="noConversion"/>
  <pageMargins left="0.75" right="0.75" top="1" bottom="1" header="0.5" footer="0.5"/>
  <pageSetup orientation="portrait" horizontalDpi="4294967292" verticalDpi="4294967292"/>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D2" sqref="D2"/>
    </sheetView>
  </sheetViews>
  <sheetFormatPr baseColWidth="10" defaultColWidth="11.42578125" defaultRowHeight="14"/>
  <cols>
    <col min="1" max="4" width="11.42578125" customWidth="1"/>
    <col min="5" max="5" width="10.7109375" style="50" customWidth="1"/>
  </cols>
  <sheetData>
    <row r="1" spans="1:5" s="24" customFormat="1" ht="19">
      <c r="A1" s="24" t="s">
        <v>144</v>
      </c>
      <c r="D1" s="49"/>
      <c r="E1" s="49"/>
    </row>
    <row r="2" spans="1:5" s="4" customFormat="1">
      <c r="A2" s="4" t="s">
        <v>338</v>
      </c>
      <c r="D2" s="78">
        <v>3</v>
      </c>
      <c r="E2" s="9"/>
    </row>
    <row r="3" spans="1:5" s="4" customFormat="1">
      <c r="E3" s="9"/>
    </row>
    <row r="4" spans="1:5" s="7" customFormat="1">
      <c r="A4" s="7" t="s">
        <v>90</v>
      </c>
      <c r="E4" s="16"/>
    </row>
    <row r="5" spans="1:5" s="4" customFormat="1">
      <c r="A5" s="4" t="s">
        <v>100</v>
      </c>
      <c r="D5" s="78">
        <v>3500</v>
      </c>
    </row>
    <row r="6" spans="1:5" s="4" customFormat="1">
      <c r="D6" s="9"/>
    </row>
    <row r="7" spans="1:5" s="7" customFormat="1">
      <c r="A7" s="7" t="s">
        <v>269</v>
      </c>
      <c r="D7" s="16"/>
    </row>
    <row r="8" spans="1:5" s="4" customFormat="1">
      <c r="A8" s="4" t="s">
        <v>255</v>
      </c>
      <c r="D8" s="83">
        <v>0.22</v>
      </c>
    </row>
    <row r="9" spans="1:5" s="4" customFormat="1">
      <c r="D9" s="9"/>
    </row>
    <row r="10" spans="1:5" s="7" customFormat="1">
      <c r="A10" s="7" t="s">
        <v>256</v>
      </c>
      <c r="D10" s="16"/>
    </row>
    <row r="11" spans="1:5" s="4" customFormat="1">
      <c r="A11" s="4" t="s">
        <v>47</v>
      </c>
      <c r="D11" s="80">
        <f>G21</f>
        <v>0.14716703458425312</v>
      </c>
      <c r="E11" s="4" t="s">
        <v>48</v>
      </c>
    </row>
    <row r="12" spans="1:5" s="4" customFormat="1">
      <c r="E12" s="9"/>
    </row>
    <row r="14" spans="1:5" s="4" customFormat="1">
      <c r="A14" s="4" t="s">
        <v>98</v>
      </c>
      <c r="D14" s="84">
        <f>IF(D2=1,D5,(IF(D2=2,D8*('Master Inputs Start here'!B19+'Master Inputs Start here'!B20),'Earnings Normalizer'!D11*'Master Inputs Start here'!B16)))</f>
        <v>10190.434142752023</v>
      </c>
      <c r="E14" s="9"/>
    </row>
    <row r="17" spans="1:7" s="8" customFormat="1">
      <c r="A17" s="8" t="s">
        <v>232</v>
      </c>
      <c r="E17" s="18"/>
    </row>
    <row r="18" spans="1:7" s="9" customFormat="1">
      <c r="A18" s="13"/>
      <c r="B18" s="13">
        <v>-5</v>
      </c>
      <c r="C18" s="13">
        <v>-4</v>
      </c>
      <c r="D18" s="13">
        <v>-3</v>
      </c>
      <c r="E18" s="13">
        <v>-2</v>
      </c>
      <c r="F18" s="13">
        <v>-1</v>
      </c>
      <c r="G18" s="13" t="s">
        <v>38</v>
      </c>
    </row>
    <row r="19" spans="1:7" s="4" customFormat="1">
      <c r="A19" s="12" t="s">
        <v>285</v>
      </c>
      <c r="B19" s="77">
        <v>2032</v>
      </c>
      <c r="C19" s="77">
        <v>2376</v>
      </c>
      <c r="D19" s="77">
        <v>2779</v>
      </c>
      <c r="E19" s="78">
        <v>3155</v>
      </c>
      <c r="F19" s="77">
        <v>3248</v>
      </c>
      <c r="G19" s="12">
        <f>SUM(B19:F19)</f>
        <v>13590</v>
      </c>
    </row>
    <row r="20" spans="1:7" s="4" customFormat="1">
      <c r="A20" s="12" t="s">
        <v>200</v>
      </c>
      <c r="B20" s="77">
        <v>186</v>
      </c>
      <c r="C20" s="77">
        <v>454</v>
      </c>
      <c r="D20" s="77">
        <v>529</v>
      </c>
      <c r="E20" s="78">
        <v>448</v>
      </c>
      <c r="F20" s="77">
        <v>383</v>
      </c>
      <c r="G20" s="12">
        <f>SUM(B20:F20)</f>
        <v>2000</v>
      </c>
    </row>
    <row r="21" spans="1:7" s="4" customFormat="1">
      <c r="A21" s="12" t="s">
        <v>217</v>
      </c>
      <c r="B21" s="98">
        <f t="shared" ref="B21:G21" si="0">B20/B19</f>
        <v>9.1535433070866146E-2</v>
      </c>
      <c r="C21" s="98">
        <f t="shared" si="0"/>
        <v>0.19107744107744107</v>
      </c>
      <c r="D21" s="98">
        <f t="shared" si="0"/>
        <v>0.19035624325296868</v>
      </c>
      <c r="E21" s="98">
        <f t="shared" si="0"/>
        <v>0.14199683042789224</v>
      </c>
      <c r="F21" s="98">
        <f t="shared" si="0"/>
        <v>0.11791871921182266</v>
      </c>
      <c r="G21" s="35">
        <f t="shared" si="0"/>
        <v>0.14716703458425312</v>
      </c>
    </row>
  </sheetData>
  <pageMargins left="0.75" right="0.75" top="1" bottom="1" header="0.5" footer="0.5"/>
  <headerFooter alignWithMargins="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2"/>
  <sheetViews>
    <sheetView topLeftCell="A6" workbookViewId="0">
      <selection activeCell="L14" sqref="L14"/>
    </sheetView>
  </sheetViews>
  <sheetFormatPr baseColWidth="10" defaultColWidth="11.42578125" defaultRowHeight="14"/>
  <cols>
    <col min="1" max="1" width="32" bestFit="1" customWidth="1"/>
    <col min="2" max="2" width="13.42578125" customWidth="1"/>
    <col min="3" max="3" width="13.140625" customWidth="1"/>
    <col min="4" max="7" width="11.42578125" customWidth="1"/>
    <col min="8" max="8" width="15.5703125" bestFit="1" customWidth="1"/>
  </cols>
  <sheetData>
    <row r="1" spans="1:12" s="150" customFormat="1" ht="19">
      <c r="A1" s="150" t="s">
        <v>457</v>
      </c>
      <c r="H1" s="151" t="s">
        <v>458</v>
      </c>
    </row>
    <row r="2" spans="1:12" s="6" customFormat="1" ht="15" customHeight="1">
      <c r="A2" s="6" t="s">
        <v>11</v>
      </c>
      <c r="H2" s="152" t="s">
        <v>459</v>
      </c>
      <c r="I2" s="152" t="s">
        <v>285</v>
      </c>
      <c r="J2" s="152" t="s">
        <v>460</v>
      </c>
      <c r="K2" s="152" t="s">
        <v>461</v>
      </c>
      <c r="L2" s="152" t="s">
        <v>462</v>
      </c>
    </row>
    <row r="3" spans="1:12" s="4" customFormat="1" ht="15" customHeight="1">
      <c r="A3" s="153" t="s">
        <v>463</v>
      </c>
      <c r="B3" s="17"/>
      <c r="H3" s="147" t="s">
        <v>556</v>
      </c>
      <c r="I3" s="147">
        <v>20773</v>
      </c>
      <c r="J3" s="154">
        <f>IF(I3=0,0,VLOOKUP(H3,'Country ERP'!$A$1:$E$140,4))</f>
        <v>5.9000000000000004E-2</v>
      </c>
      <c r="K3" s="154">
        <f>IF(I3&gt;0,I3/$I$13,)</f>
        <v>0.29411847992297674</v>
      </c>
      <c r="L3" s="154">
        <f>J3*K3</f>
        <v>1.7352990315455629E-2</v>
      </c>
    </row>
    <row r="4" spans="1:12" s="4" customFormat="1" ht="15" customHeight="1">
      <c r="A4" s="17" t="s">
        <v>465</v>
      </c>
      <c r="B4" s="155">
        <f>'Master Inputs Start here'!B30</f>
        <v>4648</v>
      </c>
      <c r="H4" s="147" t="s">
        <v>794</v>
      </c>
      <c r="I4" s="147">
        <v>19388</v>
      </c>
      <c r="J4" s="154">
        <f>IF(I4=0,0,VLOOKUP(H4,'Country ERP'!$A$1:$E$140,4))</f>
        <v>8.3000000000000004E-2</v>
      </c>
      <c r="K4" s="154">
        <f t="shared" ref="K4:K12" si="0">IF(I4&gt;0,I4/$I$13,)</f>
        <v>0.27450869343603101</v>
      </c>
      <c r="L4" s="154">
        <f t="shared" ref="L4:L12" si="1">J4*K4</f>
        <v>2.2784221555190574E-2</v>
      </c>
    </row>
    <row r="5" spans="1:12" s="4" customFormat="1" ht="15" customHeight="1">
      <c r="A5" s="17" t="s">
        <v>467</v>
      </c>
      <c r="B5" s="177">
        <f>'Master Inputs Start here'!B29</f>
        <v>48.72</v>
      </c>
      <c r="H5" s="147" t="s">
        <v>615</v>
      </c>
      <c r="I5" s="147">
        <v>19388</v>
      </c>
      <c r="J5" s="154">
        <f>IF(I5=0,0,VLOOKUP(H5,'Country ERP'!$A$1:$E$140,4))</f>
        <v>0.05</v>
      </c>
      <c r="K5" s="154">
        <f t="shared" si="0"/>
        <v>0.27450869343603101</v>
      </c>
      <c r="L5" s="154">
        <f t="shared" si="1"/>
        <v>1.3725434671801552E-2</v>
      </c>
    </row>
    <row r="6" spans="1:12" s="4" customFormat="1" ht="15" customHeight="1">
      <c r="B6" s="82"/>
      <c r="H6" s="147" t="s">
        <v>795</v>
      </c>
      <c r="I6" s="147">
        <v>11079</v>
      </c>
      <c r="J6" s="154">
        <f>IF(I6=0,0,VLOOKUP(H6,'Country ERP'!$A$1:$E$140,4))</f>
        <v>0.13250000000000001</v>
      </c>
      <c r="K6" s="154">
        <f t="shared" si="0"/>
        <v>0.1568641332049612</v>
      </c>
      <c r="L6" s="154">
        <f t="shared" si="1"/>
        <v>2.0784497649657362E-2</v>
      </c>
    </row>
    <row r="7" spans="1:12" s="4" customFormat="1" ht="15" customHeight="1">
      <c r="A7" s="4" t="s">
        <v>468</v>
      </c>
      <c r="B7" s="158">
        <f>L42</f>
        <v>0.97268245919472474</v>
      </c>
      <c r="H7" s="147"/>
      <c r="I7" s="147"/>
      <c r="J7" s="154">
        <f>IF(I7=0,0,VLOOKUP(H7,'Country ERP'!$A$1:$E$140,4))</f>
        <v>0</v>
      </c>
      <c r="K7" s="154">
        <f t="shared" si="0"/>
        <v>0</v>
      </c>
      <c r="L7" s="154">
        <f t="shared" si="1"/>
        <v>0</v>
      </c>
    </row>
    <row r="8" spans="1:12" s="4" customFormat="1" ht="15" customHeight="1">
      <c r="A8" s="4" t="s">
        <v>469</v>
      </c>
      <c r="B8" s="159">
        <f>'Master Inputs Start here'!B37</f>
        <v>2.895E-2</v>
      </c>
      <c r="H8" s="147"/>
      <c r="I8" s="147"/>
      <c r="J8" s="154">
        <f>IF(I8=0,0,VLOOKUP(H8,'Country ERP'!$A$1:$E$140,4))</f>
        <v>0</v>
      </c>
      <c r="K8" s="154">
        <f t="shared" si="0"/>
        <v>0</v>
      </c>
      <c r="L8" s="154">
        <f t="shared" si="1"/>
        <v>0</v>
      </c>
    </row>
    <row r="9" spans="1:12" s="4" customFormat="1" ht="15" customHeight="1">
      <c r="A9" s="4" t="s">
        <v>470</v>
      </c>
      <c r="B9" s="160">
        <f>4.99%</f>
        <v>4.99E-2</v>
      </c>
      <c r="H9" s="147"/>
      <c r="I9" s="147"/>
      <c r="J9" s="154">
        <f>IF(I9=0,0,VLOOKUP(H9,'Country ERP'!$A$1:$E$140,4))</f>
        <v>0</v>
      </c>
      <c r="K9" s="154">
        <f t="shared" si="0"/>
        <v>0</v>
      </c>
      <c r="L9" s="154">
        <f t="shared" si="1"/>
        <v>0</v>
      </c>
    </row>
    <row r="10" spans="1:12" s="4" customFormat="1" ht="15" customHeight="1">
      <c r="B10" s="82"/>
      <c r="H10" s="147"/>
      <c r="I10" s="147"/>
      <c r="J10" s="154">
        <f>IF(I10=0,0,VLOOKUP(H10,'Country ERP'!$A$1:$E$140,4))</f>
        <v>0</v>
      </c>
      <c r="K10" s="154">
        <f t="shared" si="0"/>
        <v>0</v>
      </c>
      <c r="L10" s="154">
        <f t="shared" si="1"/>
        <v>0</v>
      </c>
    </row>
    <row r="11" spans="1:12" s="4" customFormat="1" ht="15" customHeight="1">
      <c r="A11" s="7" t="s">
        <v>471</v>
      </c>
      <c r="B11" s="82"/>
      <c r="H11" s="147"/>
      <c r="I11" s="147"/>
      <c r="J11" s="154">
        <f>IF(I11=0,0,VLOOKUP(H11,'Country ERP'!$A$1:$E$140,4))</f>
        <v>0</v>
      </c>
      <c r="K11" s="154">
        <f t="shared" si="0"/>
        <v>0</v>
      </c>
      <c r="L11" s="154">
        <f t="shared" si="1"/>
        <v>0</v>
      </c>
    </row>
    <row r="12" spans="1:12" s="4" customFormat="1" ht="15" customHeight="1">
      <c r="A12" s="4" t="s">
        <v>472</v>
      </c>
      <c r="B12" s="177">
        <f>'Master Inputs Start here'!B19</f>
        <v>28776</v>
      </c>
      <c r="H12" s="147"/>
      <c r="I12" s="147"/>
      <c r="J12" s="154">
        <f>IF(I12=0,0,VLOOKUP(H12,'Country ERP'!$A$1:$E$140,4))</f>
        <v>0</v>
      </c>
      <c r="K12" s="154">
        <f t="shared" si="0"/>
        <v>0</v>
      </c>
      <c r="L12" s="154">
        <f t="shared" si="1"/>
        <v>0</v>
      </c>
    </row>
    <row r="13" spans="1:12" s="4" customFormat="1" ht="15" customHeight="1">
      <c r="A13" s="4" t="s">
        <v>473</v>
      </c>
      <c r="B13" s="177">
        <f>'Master Inputs Start here'!B11</f>
        <v>-346</v>
      </c>
      <c r="H13" s="157" t="s">
        <v>38</v>
      </c>
      <c r="I13" s="157">
        <f>SUM(I3:I12)</f>
        <v>70628</v>
      </c>
      <c r="J13" s="157"/>
      <c r="K13" s="154">
        <f>SUM(K3:K12)</f>
        <v>1</v>
      </c>
      <c r="L13" s="154">
        <f>0.055</f>
        <v>5.5E-2</v>
      </c>
    </row>
    <row r="14" spans="1:12" s="4" customFormat="1" ht="15" customHeight="1">
      <c r="A14" s="4" t="s">
        <v>474</v>
      </c>
      <c r="B14" s="77">
        <v>5</v>
      </c>
      <c r="H14" s="151" t="s">
        <v>475</v>
      </c>
    </row>
    <row r="15" spans="1:12" s="4" customFormat="1" ht="15" customHeight="1">
      <c r="A15" s="4" t="s">
        <v>284</v>
      </c>
      <c r="B15" s="160">
        <v>4.0399999999999998E-2</v>
      </c>
      <c r="H15" s="12" t="s">
        <v>476</v>
      </c>
      <c r="I15" s="12" t="s">
        <v>285</v>
      </c>
      <c r="J15" s="12" t="s">
        <v>460</v>
      </c>
      <c r="K15" s="12" t="s">
        <v>461</v>
      </c>
      <c r="L15" s="12" t="s">
        <v>462</v>
      </c>
    </row>
    <row r="16" spans="1:12" s="4" customFormat="1" ht="15" customHeight="1">
      <c r="A16" s="4" t="s">
        <v>39</v>
      </c>
      <c r="B16" s="161">
        <f>'Master Inputs Start here'!B15</f>
        <v>0.21</v>
      </c>
      <c r="H16" s="12" t="str">
        <f>'Country ERP'!A142</f>
        <v>Africa</v>
      </c>
      <c r="I16" s="147">
        <v>0</v>
      </c>
      <c r="J16" s="36">
        <f>'Country ERP'!C142</f>
        <v>0.10039475352432138</v>
      </c>
      <c r="K16" s="154">
        <f>I16/$I$26</f>
        <v>0</v>
      </c>
      <c r="L16" s="162">
        <f>J16*K16</f>
        <v>0</v>
      </c>
    </row>
    <row r="17" spans="1:12" s="4" customFormat="1" ht="15" customHeight="1">
      <c r="B17" s="82"/>
      <c r="H17" s="12" t="str">
        <f>'Country ERP'!A143</f>
        <v>Asia</v>
      </c>
      <c r="I17" s="147">
        <v>0</v>
      </c>
      <c r="J17" s="36">
        <f>'Country ERP'!C143</f>
        <v>6.5053851718984659E-2</v>
      </c>
      <c r="K17" s="154">
        <f t="shared" ref="K17:K26" si="2">I17/$I$26</f>
        <v>0</v>
      </c>
      <c r="L17" s="162">
        <f t="shared" ref="L17:L25" si="3">J17*K17</f>
        <v>0</v>
      </c>
    </row>
    <row r="18" spans="1:12" s="4" customFormat="1" ht="15" customHeight="1">
      <c r="A18" s="4" t="s">
        <v>477</v>
      </c>
      <c r="B18" s="77">
        <v>0</v>
      </c>
      <c r="H18" s="12" t="str">
        <f>'Country ERP'!A144</f>
        <v>Australia &amp; New Zealand</v>
      </c>
      <c r="I18" s="147"/>
      <c r="J18" s="36">
        <f>'Country ERP'!C144</f>
        <v>5.0048748898635989E-2</v>
      </c>
      <c r="K18" s="154">
        <f t="shared" si="2"/>
        <v>0</v>
      </c>
      <c r="L18" s="162">
        <f t="shared" si="3"/>
        <v>0</v>
      </c>
    </row>
    <row r="19" spans="1:12" s="4" customFormat="1" ht="15" customHeight="1">
      <c r="A19" s="4" t="s">
        <v>478</v>
      </c>
      <c r="B19" s="77">
        <v>0</v>
      </c>
      <c r="H19" s="12" t="str">
        <f>'Country ERP'!A145</f>
        <v>Caribbean</v>
      </c>
      <c r="I19" s="147">
        <v>10</v>
      </c>
      <c r="J19" s="36">
        <f>'Country ERP'!C145</f>
        <v>0.12646501499585222</v>
      </c>
      <c r="K19" s="154">
        <f t="shared" si="2"/>
        <v>0.1</v>
      </c>
      <c r="L19" s="162">
        <f t="shared" si="3"/>
        <v>1.2646501499585223E-2</v>
      </c>
    </row>
    <row r="20" spans="1:12" s="4" customFormat="1" ht="15" customHeight="1">
      <c r="A20" s="4" t="s">
        <v>479</v>
      </c>
      <c r="B20" s="77">
        <v>0</v>
      </c>
      <c r="H20" s="12" t="str">
        <f>'Country ERP'!A146</f>
        <v>Central and South America</v>
      </c>
      <c r="I20" s="147"/>
      <c r="J20" s="36">
        <f>'Country ERP'!C146</f>
        <v>8.6227526200864907E-2</v>
      </c>
      <c r="K20" s="154">
        <f t="shared" si="2"/>
        <v>0</v>
      </c>
      <c r="L20" s="162">
        <f t="shared" si="3"/>
        <v>0</v>
      </c>
    </row>
    <row r="21" spans="1:12" s="4" customFormat="1" ht="15" customHeight="1">
      <c r="A21" s="4" t="s">
        <v>480</v>
      </c>
      <c r="B21" s="77">
        <v>0</v>
      </c>
      <c r="H21" s="12" t="str">
        <f>'Country ERP'!A147</f>
        <v>Eastern Europe &amp; Russia</v>
      </c>
      <c r="I21" s="147"/>
      <c r="J21" s="36">
        <f>'Country ERP'!C147</f>
        <v>7.9645278372921249E-2</v>
      </c>
      <c r="K21" s="154">
        <f t="shared" si="2"/>
        <v>0</v>
      </c>
      <c r="L21" s="162">
        <f t="shared" si="3"/>
        <v>0</v>
      </c>
    </row>
    <row r="22" spans="1:12" s="4" customFormat="1" ht="15" customHeight="1">
      <c r="B22" s="82"/>
      <c r="H22" s="12" t="str">
        <f>'Country ERP'!A148</f>
        <v>Middle East</v>
      </c>
      <c r="I22" s="147">
        <v>30</v>
      </c>
      <c r="J22" s="36">
        <f>'Country ERP'!C148</f>
        <v>6.1438938199844653E-2</v>
      </c>
      <c r="K22" s="154">
        <f t="shared" si="2"/>
        <v>0.3</v>
      </c>
      <c r="L22" s="162">
        <f t="shared" si="3"/>
        <v>1.8431681459953397E-2</v>
      </c>
    </row>
    <row r="23" spans="1:12" s="4" customFormat="1" ht="15" customHeight="1">
      <c r="A23" s="4" t="s">
        <v>481</v>
      </c>
      <c r="B23" s="156">
        <f>IF('Master Inputs Start here'!B5="Yes",'Operating lease converter'!C30,0)</f>
        <v>862.76590003565354</v>
      </c>
      <c r="H23" s="12" t="str">
        <f>'Country ERP'!A149</f>
        <v>North America</v>
      </c>
      <c r="I23" s="147">
        <v>35</v>
      </c>
      <c r="J23" s="36">
        <f>'Country ERP'!C149</f>
        <v>5.000000000000001E-2</v>
      </c>
      <c r="K23" s="154">
        <f t="shared" si="2"/>
        <v>0.35</v>
      </c>
      <c r="L23" s="162">
        <f t="shared" si="3"/>
        <v>1.7500000000000002E-2</v>
      </c>
    </row>
    <row r="24" spans="1:12" s="4" customFormat="1" ht="15" customHeight="1">
      <c r="B24" s="163"/>
      <c r="H24" s="12" t="str">
        <f>'Country ERP'!A150</f>
        <v>Western Europe</v>
      </c>
      <c r="I24" s="147">
        <v>15</v>
      </c>
      <c r="J24" s="36">
        <f>'Country ERP'!C150</f>
        <v>6.2941063870189759E-2</v>
      </c>
      <c r="K24" s="154">
        <f t="shared" si="2"/>
        <v>0.15</v>
      </c>
      <c r="L24" s="162">
        <f t="shared" si="3"/>
        <v>9.4411595805284632E-3</v>
      </c>
    </row>
    <row r="25" spans="1:12" s="4" customFormat="1" ht="15" customHeight="1">
      <c r="A25" s="7" t="s">
        <v>482</v>
      </c>
      <c r="B25" s="82"/>
      <c r="H25" s="12" t="str">
        <f>'Country ERP'!A151</f>
        <v>Global</v>
      </c>
      <c r="I25" s="147">
        <v>10</v>
      </c>
      <c r="J25" s="36">
        <f>'Country ERP'!C151</f>
        <v>6.3500000000000001E-2</v>
      </c>
      <c r="K25" s="154">
        <f t="shared" si="2"/>
        <v>0.1</v>
      </c>
      <c r="L25" s="162">
        <f t="shared" si="3"/>
        <v>6.3500000000000006E-3</v>
      </c>
    </row>
    <row r="26" spans="1:12" s="4" customFormat="1" ht="15" customHeight="1">
      <c r="A26" s="4" t="s">
        <v>483</v>
      </c>
      <c r="B26" s="77">
        <v>0</v>
      </c>
      <c r="H26" s="157" t="s">
        <v>38</v>
      </c>
      <c r="I26" s="157">
        <f>SUM(I16:I25)</f>
        <v>100</v>
      </c>
      <c r="J26" s="159"/>
      <c r="K26" s="154">
        <f t="shared" si="2"/>
        <v>1</v>
      </c>
      <c r="L26" s="164">
        <f>SUM(L16:L25)</f>
        <v>6.4369342540067084E-2</v>
      </c>
    </row>
    <row r="27" spans="1:12" s="4" customFormat="1" ht="15" customHeight="1">
      <c r="A27" s="4" t="s">
        <v>484</v>
      </c>
      <c r="B27" s="77"/>
    </row>
    <row r="28" spans="1:12" s="4" customFormat="1" ht="15" customHeight="1">
      <c r="A28" s="4" t="s">
        <v>485</v>
      </c>
      <c r="B28" s="77"/>
      <c r="H28" s="4" t="s">
        <v>486</v>
      </c>
    </row>
    <row r="29" spans="1:12" s="4" customFormat="1" ht="15" customHeight="1">
      <c r="H29" s="12" t="s">
        <v>487</v>
      </c>
      <c r="I29" s="12" t="s">
        <v>285</v>
      </c>
      <c r="J29" s="12" t="s">
        <v>362</v>
      </c>
      <c r="K29" s="12" t="s">
        <v>453</v>
      </c>
      <c r="L29" s="12" t="s">
        <v>379</v>
      </c>
    </row>
    <row r="30" spans="1:12" s="4" customFormat="1" ht="15" customHeight="1">
      <c r="A30" s="6" t="s">
        <v>233</v>
      </c>
      <c r="H30" s="147" t="s">
        <v>397</v>
      </c>
      <c r="I30" s="165">
        <v>100</v>
      </c>
      <c r="J30" s="166">
        <f>VLOOKUP(H30,'Industry averages'!$A$1:$S$99,15)</f>
        <v>1.732922478445847</v>
      </c>
      <c r="K30" s="167">
        <f>I30*J30</f>
        <v>173.29224784458469</v>
      </c>
      <c r="L30" s="166">
        <f>VLOOKUP(H30,'Industry averages'!$A$1:$S$99,7)</f>
        <v>0.97268245919472474</v>
      </c>
    </row>
    <row r="31" spans="1:12" s="4" customFormat="1" ht="15" customHeight="1">
      <c r="A31" s="12" t="s">
        <v>488</v>
      </c>
      <c r="B31" s="12"/>
      <c r="C31" s="168">
        <f>B13*(1-(1+B15)^(-B14))/B15+B12/(1+B15)^B14</f>
        <v>22067.741483068945</v>
      </c>
      <c r="H31" s="147"/>
      <c r="I31" s="165"/>
      <c r="J31" s="166">
        <f>IF(H31=0,,VLOOKUP(H31,'Industry averages'!$A$1:$S$99,15))</f>
        <v>0</v>
      </c>
      <c r="K31" s="167">
        <f>I31*J31</f>
        <v>0</v>
      </c>
      <c r="L31" s="166">
        <f>IF(J31=0,0,VLOOKUP(H31,'Industry averages'!$A$1:$S$99,7))</f>
        <v>0</v>
      </c>
    </row>
    <row r="32" spans="1:12" s="4" customFormat="1" ht="15" customHeight="1">
      <c r="A32" s="12" t="s">
        <v>489</v>
      </c>
      <c r="B32" s="12"/>
      <c r="C32" s="168">
        <f>B19*(1-(1+B15)^(-B20))/B15+B18/(1+B15)^B20</f>
        <v>0</v>
      </c>
      <c r="H32" s="147"/>
      <c r="I32" s="165"/>
      <c r="J32" s="166">
        <f>IF(H32=0,,VLOOKUP(H32,'Industry averages'!$A$1:$S$99,15))</f>
        <v>0</v>
      </c>
      <c r="K32" s="167">
        <f t="shared" ref="K32:K41" si="4">I32*J32</f>
        <v>0</v>
      </c>
      <c r="L32" s="166">
        <f>IF(J32=0,0,VLOOKUP(H32,'Industry averages'!$A$1:$S$99,7))</f>
        <v>0</v>
      </c>
    </row>
    <row r="33" spans="1:12" s="4" customFormat="1" ht="15" customHeight="1">
      <c r="A33" s="12" t="s">
        <v>490</v>
      </c>
      <c r="B33" s="12"/>
      <c r="C33" s="168">
        <f>B23</f>
        <v>862.76590003565354</v>
      </c>
      <c r="H33" s="147"/>
      <c r="I33" s="165"/>
      <c r="J33" s="166">
        <f>IF(H33=0,,VLOOKUP(H33,'Industry averages'!$A$1:$S$99,15))</f>
        <v>0</v>
      </c>
      <c r="K33" s="167">
        <f t="shared" si="4"/>
        <v>0</v>
      </c>
      <c r="L33" s="166">
        <f>IF(J33=0,0,VLOOKUP(H33,'Industry averages'!$A$1:$S$99,7))</f>
        <v>0</v>
      </c>
    </row>
    <row r="34" spans="1:12" s="4" customFormat="1" ht="15" customHeight="1">
      <c r="A34" s="12" t="s">
        <v>491</v>
      </c>
      <c r="B34" s="12"/>
      <c r="C34" s="168">
        <f>B21-C32</f>
        <v>0</v>
      </c>
      <c r="H34" s="147"/>
      <c r="I34" s="165"/>
      <c r="J34" s="166">
        <f>IF(H34=0,,VLOOKUP(H34,'Industry averages'!$A$1:$S$99,15))</f>
        <v>0</v>
      </c>
      <c r="K34" s="167">
        <f t="shared" si="4"/>
        <v>0</v>
      </c>
      <c r="L34" s="166">
        <f>IF(J34=0,0,VLOOKUP(H34,'Industry averages'!$A$1:$S$99,7))</f>
        <v>0</v>
      </c>
    </row>
    <row r="35" spans="1:12" s="4" customFormat="1" ht="15" customHeight="1">
      <c r="A35" s="12" t="s">
        <v>492</v>
      </c>
      <c r="B35" s="12"/>
      <c r="C35" s="169">
        <f>B7*(1+(1-B16)*(C38/B38))</f>
        <v>1.0504930012683014</v>
      </c>
      <c r="H35" s="147"/>
      <c r="I35" s="165"/>
      <c r="J35" s="166">
        <f>IF(H35=0,,VLOOKUP(H35,'Industry averages'!$A$1:$S$99,15))</f>
        <v>0</v>
      </c>
      <c r="K35" s="167">
        <f t="shared" si="4"/>
        <v>0</v>
      </c>
      <c r="L35" s="166">
        <f>IF(J35=0,0,VLOOKUP(H35,'Industry averages'!$A$1:$S$99,7))</f>
        <v>0</v>
      </c>
    </row>
    <row r="36" spans="1:12" s="4" customFormat="1" ht="15" customHeight="1">
      <c r="H36" s="147"/>
      <c r="I36" s="165"/>
      <c r="J36" s="166">
        <f>IF(H36=0,,VLOOKUP(H36,'Industry averages'!$A$1:$S$99,15))</f>
        <v>0</v>
      </c>
      <c r="K36" s="167">
        <f t="shared" si="4"/>
        <v>0</v>
      </c>
      <c r="L36" s="166">
        <f>IF(J36=0,0,VLOOKUP(H36,'Industry averages'!$A$1:$S$99,7))</f>
        <v>0</v>
      </c>
    </row>
    <row r="37" spans="1:12" s="18" customFormat="1" ht="15" customHeight="1">
      <c r="B37" s="170" t="s">
        <v>463</v>
      </c>
      <c r="C37" s="170" t="s">
        <v>493</v>
      </c>
      <c r="D37" s="170" t="s">
        <v>482</v>
      </c>
      <c r="E37" s="170" t="s">
        <v>494</v>
      </c>
      <c r="H37" s="147"/>
      <c r="I37" s="165"/>
      <c r="J37" s="166">
        <f>IF(H37=0,,VLOOKUP(H37,'Industry averages'!$A$1:$S$99,15))</f>
        <v>0</v>
      </c>
      <c r="K37" s="167">
        <f t="shared" si="4"/>
        <v>0</v>
      </c>
      <c r="L37" s="166">
        <f>IF(J37=0,0,VLOOKUP(H37,'Industry averages'!$A$1:$S$99,7))</f>
        <v>0</v>
      </c>
    </row>
    <row r="38" spans="1:12" s="4" customFormat="1" ht="15" customHeight="1">
      <c r="A38" s="12" t="s">
        <v>495</v>
      </c>
      <c r="B38" s="168">
        <f>B4*B5</f>
        <v>226450.56</v>
      </c>
      <c r="C38" s="168">
        <f>C31+C32+C33</f>
        <v>22930.507383104599</v>
      </c>
      <c r="D38" s="168">
        <f>B26*B27</f>
        <v>0</v>
      </c>
      <c r="E38" s="156">
        <f>SUM(B38:D38)</f>
        <v>249381.06738310459</v>
      </c>
      <c r="H38" s="147"/>
      <c r="I38" s="165"/>
      <c r="J38" s="166">
        <f>IF(H38=0,,VLOOKUP(H38,'Industry averages'!$A$1:$S$99,15))</f>
        <v>0</v>
      </c>
      <c r="K38" s="167">
        <f t="shared" si="4"/>
        <v>0</v>
      </c>
      <c r="L38" s="166">
        <f>IF(J38=0,0,VLOOKUP(H38,'Industry averages'!$A$1:$S$99,7))</f>
        <v>0</v>
      </c>
    </row>
    <row r="39" spans="1:12" s="4" customFormat="1" ht="15" customHeight="1" thickBot="1">
      <c r="A39" s="12" t="s">
        <v>496</v>
      </c>
      <c r="B39" s="154">
        <f>B38/$E$38</f>
        <v>0.90805032786278739</v>
      </c>
      <c r="C39" s="154">
        <f>C38/$E$38</f>
        <v>9.194967213721264E-2</v>
      </c>
      <c r="D39" s="154">
        <f>D38/$E$38</f>
        <v>0</v>
      </c>
      <c r="E39" s="171">
        <f>SUM(B39:D39)</f>
        <v>1</v>
      </c>
      <c r="H39" s="147"/>
      <c r="I39" s="165"/>
      <c r="J39" s="166">
        <f>IF(H39=0,,VLOOKUP(H39,'Industry averages'!$A$1:$S$99,15))</f>
        <v>0</v>
      </c>
      <c r="K39" s="167">
        <f t="shared" si="4"/>
        <v>0</v>
      </c>
      <c r="L39" s="166">
        <f>IF(J39=0,0,VLOOKUP(H39,'Industry averages'!$A$1:$S$99,7))</f>
        <v>0</v>
      </c>
    </row>
    <row r="40" spans="1:12" s="4" customFormat="1" ht="15" customHeight="1" thickBot="1">
      <c r="A40" s="12" t="s">
        <v>497</v>
      </c>
      <c r="B40" s="159">
        <f>B8+C35*B9</f>
        <v>8.1369600763288238E-2</v>
      </c>
      <c r="C40" s="154">
        <f>B15*(1-B16)</f>
        <v>3.1916E-2</v>
      </c>
      <c r="D40" s="172" t="e">
        <f>B28/B27</f>
        <v>#DIV/0!</v>
      </c>
      <c r="E40" s="173" t="e">
        <f>B39*B40+C39*C40+D39*D40</f>
        <v>#DIV/0!</v>
      </c>
      <c r="H40" s="147"/>
      <c r="I40" s="165"/>
      <c r="J40" s="166">
        <f>IF(H40=0,,VLOOKUP(H40,'Industry averages'!$A$1:$S$99,15))</f>
        <v>0</v>
      </c>
      <c r="K40" s="167">
        <f t="shared" si="4"/>
        <v>0</v>
      </c>
      <c r="L40" s="166">
        <f>IF(J40=0,0,VLOOKUP(H40,'Industry averages'!$A$1:$S$99,7))</f>
        <v>0</v>
      </c>
    </row>
    <row r="41" spans="1:12">
      <c r="H41" s="147"/>
      <c r="I41" s="165"/>
      <c r="J41" s="166">
        <f>IF(H41=0,,VLOOKUP(H41,'Industry averages'!$A$1:$S$99,15))</f>
        <v>0</v>
      </c>
      <c r="K41" s="167">
        <f t="shared" si="4"/>
        <v>0</v>
      </c>
      <c r="L41" s="166">
        <f>IF(J41=0,0,VLOOKUP(H41,'Industry averages'!$A$1:$S$99,7))</f>
        <v>0</v>
      </c>
    </row>
    <row r="42" spans="1:12">
      <c r="H42" s="174" t="s">
        <v>498</v>
      </c>
      <c r="I42" s="175">
        <f>SUM(I30:I41)</f>
        <v>100</v>
      </c>
      <c r="J42" s="176"/>
      <c r="K42" s="167">
        <f>SUM(K30:K41)</f>
        <v>173.29224784458469</v>
      </c>
      <c r="L42" s="176">
        <f>L30*(K30/K42)+L31*K31/K42+L32*K32/K42+L33*K33/K42+L34*K34/K42+L35*K35/K42+L36*K36/K42+L37*K37/K42+L38*K38/K42+L39*K39/K42+L40*K40/K42+L41*K41/K42</f>
        <v>0.97268245919472474</v>
      </c>
    </row>
  </sheetData>
  <phoneticPr fontId="29" type="noConversion"/>
  <pageMargins left="0.75" right="0.75" top="1" bottom="1" header="0.5" footer="0.5"/>
  <pageSetup orientation="portrait" horizontalDpi="4294967292" verticalDpi="4294967292"/>
  <headerFooter alignWithMargin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81"/>
  <sheetViews>
    <sheetView showGridLines="0" tabSelected="1" zoomScale="93" workbookViewId="0">
      <selection activeCell="F73" sqref="F73"/>
    </sheetView>
  </sheetViews>
  <sheetFormatPr baseColWidth="10" defaultColWidth="11.42578125" defaultRowHeight="14"/>
  <cols>
    <col min="1" max="1" width="2.7109375" customWidth="1"/>
    <col min="2" max="2" width="14.7109375" customWidth="1"/>
    <col min="3" max="3" width="12.7109375" customWidth="1"/>
    <col min="4" max="4" width="18" customWidth="1"/>
    <col min="5" max="5" width="12.7109375" customWidth="1"/>
    <col min="6" max="6" width="24.5703125" customWidth="1"/>
    <col min="7" max="7" width="28.85546875" customWidth="1"/>
    <col min="8" max="8" width="22.5703125" customWidth="1"/>
    <col min="9" max="9" width="25.42578125" customWidth="1"/>
  </cols>
  <sheetData>
    <row r="1" spans="1:16" s="100" customFormat="1" ht="19">
      <c r="B1" s="279" t="s">
        <v>180</v>
      </c>
      <c r="C1" s="279"/>
      <c r="D1" s="279"/>
      <c r="E1" s="279"/>
      <c r="F1" s="279"/>
      <c r="G1" s="279"/>
      <c r="H1" s="279"/>
      <c r="I1" s="279"/>
      <c r="J1" s="279"/>
    </row>
    <row r="2" spans="1:16" s="4" customFormat="1" ht="20" customHeight="1">
      <c r="A2" s="5"/>
      <c r="B2" s="19" t="s">
        <v>46</v>
      </c>
      <c r="C2" s="5"/>
      <c r="D2" s="73">
        <f>IF('Master Inputs Start here'!B6="Yes",'Earnings Normalizer'!D14,'Master Inputs Start here'!B10)</f>
        <v>22152</v>
      </c>
      <c r="E2" s="5"/>
      <c r="F2" s="5"/>
      <c r="G2" s="5"/>
      <c r="H2" s="5"/>
      <c r="I2" s="5"/>
    </row>
    <row r="3" spans="1:16" s="4" customFormat="1" ht="20" customHeight="1">
      <c r="B3" s="4" t="s">
        <v>49</v>
      </c>
      <c r="D3" s="73">
        <f>IF('Master Inputs Start here'!B4="Yes",(IF('Master Inputs Start here'!B5="Yes",D2+'R&amp;D converter'!D39+'Operating lease converter'!F34,D2+'R&amp;D converter'!D39)),IF('Master Inputs Start here'!B5="Yes",D2+'Operating lease converter'!F34,D2))</f>
        <v>24222.337122218258</v>
      </c>
      <c r="E3"/>
      <c r="F3"/>
    </row>
    <row r="4" spans="1:16" s="4" customFormat="1" ht="20" customHeight="1">
      <c r="B4" s="4" t="s">
        <v>333</v>
      </c>
      <c r="D4" s="73">
        <f>IF('Master Inputs Start here'!B5="Yes",'Master Inputs Start here'!B11+'Operating lease converter'!C30*'Operating lease converter'!C14,'Master Inputs Start here'!B11)</f>
        <v>-313.68941704366478</v>
      </c>
      <c r="E4"/>
      <c r="F4"/>
    </row>
    <row r="5" spans="1:16" s="4" customFormat="1" ht="20" customHeight="1">
      <c r="B5" s="4" t="s">
        <v>96</v>
      </c>
      <c r="D5" s="73">
        <f>IF('Master Inputs Start here'!B4="Yes",(IF('Master Inputs Start here'!B5="Yes",'Master Inputs Start here'!B12+'R&amp;D converter'!F7+'Operating lease converter'!E3,'Master Inputs Start here'!B12+'R&amp;D converter'!F7)),(IF('Master Inputs Start here'!B5="Yes",'Master Inputs Start here'!B12+'Operating lease converter'!E3,'Master Inputs Start here'!B12)))</f>
        <v>26252</v>
      </c>
      <c r="E5"/>
      <c r="F5"/>
    </row>
    <row r="6" spans="1:16" s="4" customFormat="1" ht="20" customHeight="1">
      <c r="B6" s="4" t="s">
        <v>238</v>
      </c>
      <c r="D6" s="73">
        <f>IF('Master Inputs Start here'!B4="Yes",(IF('Master Inputs Start here'!B5="Yes",'Master Inputs Start here'!B13+'R&amp;D converter'!D37+'Operating lease converter'!F33,'Master Inputs Start here'!B13+'R&amp;D converter'!D37)),(IF('Master Inputs Start here'!B5="Yes",'Master Inputs Start here'!B13+'Operating lease converter'!F33,'Master Inputs Start here'!B13)))</f>
        <v>18498.662877781742</v>
      </c>
      <c r="E6"/>
      <c r="F6"/>
    </row>
    <row r="7" spans="1:16" s="4" customFormat="1" ht="20" customHeight="1">
      <c r="B7" s="4" t="s">
        <v>246</v>
      </c>
      <c r="D7" s="74">
        <f>'Master Inputs Start here'!B15</f>
        <v>0.21</v>
      </c>
      <c r="E7"/>
      <c r="F7"/>
    </row>
    <row r="8" spans="1:16" s="4" customFormat="1" ht="20" customHeight="1">
      <c r="B8" s="4" t="s">
        <v>123</v>
      </c>
      <c r="D8" s="73">
        <f>'Master Inputs Start here'!B16</f>
        <v>69244</v>
      </c>
      <c r="E8"/>
      <c r="F8"/>
    </row>
    <row r="9" spans="1:16" s="4" customFormat="1" ht="20" customHeight="1">
      <c r="B9" s="4" t="s">
        <v>124</v>
      </c>
      <c r="D9" s="73">
        <f>'Master Inputs Start here'!B17</f>
        <v>9205</v>
      </c>
      <c r="E9"/>
      <c r="F9"/>
    </row>
    <row r="10" spans="1:16" s="4" customFormat="1" ht="20" customHeight="1">
      <c r="B10" s="4" t="s">
        <v>125</v>
      </c>
      <c r="D10" s="73">
        <f>IF('Master Inputs Start here'!B18&lt;0,('Master Inputs Start here'!B16-'Master Inputs Start here'!C16)*('Master Inputs Start here'!B17/'Master Inputs Start here'!B16),'Master Inputs Start here'!B18)</f>
        <v>952.08552365547905</v>
      </c>
      <c r="E10"/>
      <c r="F10"/>
    </row>
    <row r="11" spans="1:16" s="4" customFormat="1" ht="20" customHeight="1">
      <c r="B11" s="4" t="s">
        <v>50</v>
      </c>
      <c r="D11" s="73">
        <f>IF('Master Inputs Start here'!B5="Yes",'Master Inputs Start here'!C19+'Operating lease converter'!F35,'Master Inputs Start here'!C19)</f>
        <v>29042.765900035654</v>
      </c>
      <c r="E11"/>
      <c r="F11"/>
    </row>
    <row r="12" spans="1:16" s="4" customFormat="1" ht="20" customHeight="1" thickBot="1">
      <c r="B12" s="4" t="s">
        <v>401</v>
      </c>
      <c r="D12" s="73">
        <f>IF('Master Inputs Start here'!B4="Yes",'Master Inputs Start here'!C20+'R&amp;D converter'!D35-'R&amp;D converter'!D24+'R&amp;D converter'!E35,'Master Inputs Start here'!C20)</f>
        <v>119835.59999999999</v>
      </c>
      <c r="E12"/>
      <c r="F12"/>
    </row>
    <row r="13" spans="1:16" s="4" customFormat="1" ht="20" customHeight="1">
      <c r="D13" s="10"/>
      <c r="E13" s="9"/>
      <c r="F13" s="280" t="s">
        <v>6</v>
      </c>
      <c r="G13" s="281"/>
      <c r="H13" s="281"/>
      <c r="I13" s="281"/>
      <c r="J13" s="281"/>
      <c r="K13" s="281"/>
      <c r="L13" s="281"/>
      <c r="M13" s="281"/>
      <c r="N13" s="281"/>
      <c r="O13" s="282"/>
      <c r="P13" s="133" t="s">
        <v>410</v>
      </c>
    </row>
    <row r="14" spans="1:16" s="6" customFormat="1" ht="20" customHeight="1">
      <c r="B14" s="4" t="s">
        <v>35</v>
      </c>
      <c r="D14" s="65">
        <f>'Master Inputs Start here'!B56</f>
        <v>5</v>
      </c>
      <c r="E14" s="122" t="s">
        <v>36</v>
      </c>
      <c r="F14" s="126" t="str">
        <f>IF(D14&gt;10,"Growth periods longer than 10 years are indicative of extraordinary competitive advantages. What is your company's competitive advantage?","")</f>
        <v/>
      </c>
      <c r="G14" s="127"/>
      <c r="H14" s="127"/>
      <c r="I14" s="127"/>
      <c r="J14" s="127"/>
      <c r="K14" s="127"/>
      <c r="L14" s="127"/>
      <c r="M14" s="127"/>
      <c r="N14" s="127"/>
      <c r="O14" s="127"/>
      <c r="P14" s="131" t="s">
        <v>411</v>
      </c>
    </row>
    <row r="15" spans="1:16" s="6" customFormat="1" ht="20" customHeight="1">
      <c r="B15" s="4" t="s">
        <v>128</v>
      </c>
      <c r="D15" s="95">
        <f>IF('Master Inputs Start here'!B64="Yes",'Valuation Model'!D23*'Valuation Model'!D24,'Master Inputs Start here'!B65)</f>
        <v>5.3892797805196416E-2</v>
      </c>
      <c r="E15" s="123">
        <f>'Master Inputs Start here'!B76</f>
        <v>2.895E-2</v>
      </c>
      <c r="F15" s="126" t="str">
        <f>IF(E15&gt;E18, "Stable growth rate &gt; Riskfree rate: Not a good idea. Cap this number at the risk free rate","")</f>
        <v/>
      </c>
      <c r="G15" s="127"/>
      <c r="H15" s="127"/>
      <c r="I15" s="127"/>
      <c r="J15" s="127"/>
      <c r="K15" s="127"/>
      <c r="L15" s="127"/>
      <c r="M15" s="127"/>
      <c r="N15" s="127"/>
      <c r="O15" s="127"/>
      <c r="P15" s="131" t="s">
        <v>412</v>
      </c>
    </row>
    <row r="16" spans="1:16" s="4" customFormat="1" ht="20" customHeight="1">
      <c r="B16" s="4" t="s">
        <v>52</v>
      </c>
      <c r="D16" s="74">
        <f>IF('Master Inputs Start here'!B58="Yes",'Master Inputs Start here'!B59,'Master Inputs Start here'!B60)</f>
        <v>0.23</v>
      </c>
      <c r="E16" s="123">
        <f>'Master Inputs Start here'!B79</f>
        <v>0.11</v>
      </c>
      <c r="F16" s="126" t="str">
        <f>IF(E16=D16,"Stable growth debt ratio is set to same value as high growth debt ratio. While this is possible, stable growth companies usually carry more debt. Look at the industry average","")</f>
        <v/>
      </c>
      <c r="G16" s="17"/>
      <c r="H16" s="17"/>
      <c r="I16" s="17"/>
      <c r="J16" s="17"/>
      <c r="K16" s="17"/>
      <c r="L16" s="17"/>
      <c r="M16" s="17"/>
      <c r="N16" s="17"/>
      <c r="O16" s="17"/>
      <c r="P16" s="131" t="s">
        <v>413</v>
      </c>
    </row>
    <row r="17" spans="1:16" s="4" customFormat="1" ht="20" customHeight="1">
      <c r="B17" s="4" t="s">
        <v>18</v>
      </c>
      <c r="D17" s="99">
        <f>'Master Inputs Start here'!B57</f>
        <v>0.94</v>
      </c>
      <c r="E17" s="124">
        <f>'Master Inputs Start here'!B77</f>
        <v>1.05</v>
      </c>
      <c r="F17" s="126" t="str">
        <f>IF(E17&gt;1.2,"Too high a beta for stable growth. Move down towards 1.00 (cap = 1.20)",IF(E17&lt;0.8,"Too low a beta for stable growth. Push up towards 1.00 (floor = 0.80)"," "))</f>
        <v xml:space="preserve"> </v>
      </c>
      <c r="G17" s="17"/>
      <c r="H17" s="17"/>
      <c r="I17" s="17"/>
      <c r="J17" s="17"/>
      <c r="K17" s="17"/>
      <c r="L17" s="17"/>
      <c r="M17" s="17"/>
      <c r="N17" s="17"/>
      <c r="O17" s="17"/>
      <c r="P17" s="131" t="s">
        <v>414</v>
      </c>
    </row>
    <row r="18" spans="1:16" s="4" customFormat="1" ht="20" customHeight="1">
      <c r="B18" s="4" t="s">
        <v>326</v>
      </c>
      <c r="D18" s="74">
        <f>'Master Inputs Start here'!B37</f>
        <v>2.895E-2</v>
      </c>
      <c r="E18" s="123">
        <f>D18</f>
        <v>2.895E-2</v>
      </c>
      <c r="F18" s="126"/>
      <c r="G18" s="17"/>
      <c r="H18" s="17"/>
      <c r="I18" s="17"/>
      <c r="J18" s="17"/>
      <c r="K18" s="17"/>
      <c r="L18" s="17"/>
      <c r="M18" s="17"/>
      <c r="N18" s="17"/>
      <c r="O18" s="17"/>
      <c r="P18" s="131"/>
    </row>
    <row r="19" spans="1:16" s="4" customFormat="1" ht="20" customHeight="1">
      <c r="B19" s="4" t="s">
        <v>34</v>
      </c>
      <c r="D19" s="74">
        <f>'Master Inputs Start here'!B38</f>
        <v>5.5E-2</v>
      </c>
      <c r="E19" s="125">
        <f>'Master Inputs Start here'!B78</f>
        <v>5.5E-2</v>
      </c>
      <c r="F19" s="126"/>
      <c r="G19" s="17"/>
      <c r="H19" s="17"/>
      <c r="I19" s="17"/>
      <c r="J19" s="17"/>
      <c r="K19" s="17"/>
      <c r="L19" s="17"/>
      <c r="M19" s="17"/>
      <c r="N19" s="17"/>
      <c r="O19" s="17"/>
      <c r="P19" s="131"/>
    </row>
    <row r="20" spans="1:16" s="4" customFormat="1" ht="20" customHeight="1">
      <c r="B20" s="4" t="s">
        <v>37</v>
      </c>
      <c r="D20" s="74">
        <f>IF('Master Inputs Start here'!B41="Yes",'Ratings estimator'!D10,'Master Inputs Start here'!B44)</f>
        <v>3.7449999999999997E-2</v>
      </c>
      <c r="E20" s="123">
        <f>'Master Inputs Start here'!B80</f>
        <v>4.0399999999999998E-2</v>
      </c>
      <c r="F20" s="126" t="str">
        <f>IF(E20&gt;E18+0.03,"This is a high cost of debt for stable growth. Consider moving this down.",IF(E20&lt;E18,"Cost of debt is less than the riskfree rate - Not possible"," "))</f>
        <v xml:space="preserve"> </v>
      </c>
      <c r="G20" s="17"/>
      <c r="H20" s="17"/>
      <c r="I20" s="17"/>
      <c r="J20" s="17"/>
      <c r="K20" s="17"/>
      <c r="L20" s="17"/>
      <c r="M20" s="17"/>
      <c r="N20" s="17"/>
      <c r="O20" s="17"/>
      <c r="P20" s="131" t="s">
        <v>415</v>
      </c>
    </row>
    <row r="21" spans="1:16" s="4" customFormat="1" ht="20" customHeight="1">
      <c r="B21" s="4" t="s">
        <v>637</v>
      </c>
      <c r="D21" s="74">
        <f>'Master Inputs Start here'!B14</f>
        <v>0.1</v>
      </c>
      <c r="E21" s="123">
        <f>'Master Inputs Start here'!B81</f>
        <v>0.21</v>
      </c>
      <c r="F21" s="126"/>
      <c r="G21" s="17"/>
      <c r="H21" s="17"/>
      <c r="I21" s="17"/>
      <c r="J21" s="17"/>
      <c r="K21" s="17"/>
      <c r="L21" s="17"/>
      <c r="M21" s="17"/>
      <c r="N21" s="17"/>
      <c r="O21" s="17"/>
      <c r="P21" s="131"/>
    </row>
    <row r="22" spans="1:16" s="4" customFormat="1" ht="20" customHeight="1">
      <c r="B22" s="4" t="s">
        <v>638</v>
      </c>
      <c r="D22" s="74">
        <f>'Master Inputs Start here'!B15</f>
        <v>0.21</v>
      </c>
      <c r="E22" s="123">
        <f>'Master Inputs Start here'!B81</f>
        <v>0.21</v>
      </c>
      <c r="F22" s="126" t="str">
        <f>IF(E22&lt;0.21,"If this is a US company, this tax rate is below the marginal tax rate. Move towards a marginal tax rate"," ")</f>
        <v xml:space="preserve"> </v>
      </c>
      <c r="G22" s="17"/>
      <c r="H22" s="17"/>
      <c r="I22" s="17"/>
      <c r="J22" s="17"/>
      <c r="K22" s="17"/>
      <c r="L22" s="17"/>
      <c r="M22" s="17"/>
      <c r="N22" s="17"/>
      <c r="O22" s="17"/>
      <c r="P22" s="131" t="s">
        <v>416</v>
      </c>
    </row>
    <row r="23" spans="1:16" s="4" customFormat="1" ht="20" customHeight="1">
      <c r="B23" s="4" t="s">
        <v>251</v>
      </c>
      <c r="D23" s="74">
        <f>IF('Master Inputs Start here'!B69="Yes",'Master Inputs Start here'!B70,'Master Inputs Start here'!B67)</f>
        <v>0.13724123771190494</v>
      </c>
      <c r="E23" s="123">
        <f>'Master Inputs Start here'!B84</f>
        <v>9.5399999999999999E-2</v>
      </c>
      <c r="F23" s="126" t="str">
        <f>IF(E23&gt;D58+0.05,"Your return on capital exceeds your cost of capital by more than 5%. That is unusually high. Does your company have that sustainable a competitive advantage?",IF(E23&lt;D58, "Your return on capital is less than your cost of capital forever and you are forcing the firm to destroy value in perpetuity. Push up to the cost of capital"," "))</f>
        <v xml:space="preserve"> </v>
      </c>
      <c r="G23" s="17"/>
      <c r="H23" s="17"/>
      <c r="I23" s="17"/>
      <c r="J23" s="17"/>
      <c r="K23" s="17"/>
      <c r="L23" s="17"/>
      <c r="M23" s="17"/>
      <c r="N23" s="17"/>
      <c r="O23" s="17"/>
      <c r="P23" s="131" t="s">
        <v>417</v>
      </c>
    </row>
    <row r="24" spans="1:16" s="4" customFormat="1" ht="20" customHeight="1" thickBot="1">
      <c r="B24" s="4" t="s">
        <v>168</v>
      </c>
      <c r="D24" s="74">
        <f>IF('Master Inputs Start here'!B69="Yes",'Master Inputs Start here'!B71,'Master Inputs Start here'!B68)</f>
        <v>0.39268662031690132</v>
      </c>
      <c r="E24" s="123">
        <f>IF('Master Inputs Start here'!B83="Yes",'Master Inputs Start here'!B76/'Master Inputs Start here'!B84,(S43-S46)/S43)</f>
        <v>0.30345911949685533</v>
      </c>
      <c r="F24" s="128" t="s">
        <v>5</v>
      </c>
      <c r="G24" s="129"/>
      <c r="H24" s="130">
        <f>IF(E24&lt;0.0001,"Infinite ROC. Not feasible. You need reinvestment to grow",E15/E24)</f>
        <v>9.5399999999999999E-2</v>
      </c>
      <c r="I24" s="129"/>
      <c r="J24" s="129"/>
      <c r="K24" s="129"/>
      <c r="L24" s="129"/>
      <c r="M24" s="129"/>
      <c r="N24" s="129"/>
      <c r="O24" s="129"/>
      <c r="P24" s="132" t="s">
        <v>7</v>
      </c>
    </row>
    <row r="25" spans="1:16" s="4" customFormat="1" ht="20" customHeight="1">
      <c r="D25" s="10"/>
      <c r="E25" s="9"/>
    </row>
    <row r="26" spans="1:16" s="21" customFormat="1" ht="20" customHeight="1">
      <c r="A26" s="1"/>
      <c r="B26" s="20" t="s">
        <v>337</v>
      </c>
      <c r="C26" s="1"/>
      <c r="D26" s="1"/>
      <c r="E26" s="1"/>
      <c r="F26" s="1"/>
      <c r="G26" s="1"/>
      <c r="H26" s="1"/>
      <c r="I26" s="1"/>
    </row>
    <row r="27" spans="1:16" s="4" customFormat="1" ht="20" customHeight="1">
      <c r="B27" s="4" t="s">
        <v>205</v>
      </c>
      <c r="D27" s="89">
        <f>D18+D17*D19</f>
        <v>8.0649999999999999E-2</v>
      </c>
      <c r="E27" s="9"/>
      <c r="F27" s="9"/>
    </row>
    <row r="28" spans="1:16" s="4" customFormat="1" ht="20" customHeight="1">
      <c r="B28" s="4" t="s">
        <v>151</v>
      </c>
      <c r="D28" s="89">
        <f>1-D30</f>
        <v>0.77</v>
      </c>
      <c r="E28" s="9"/>
      <c r="F28" s="9"/>
    </row>
    <row r="29" spans="1:16" s="4" customFormat="1" ht="20" customHeight="1">
      <c r="B29" s="4" t="s">
        <v>152</v>
      </c>
      <c r="D29" s="89">
        <f>D20*(1-D7)</f>
        <v>2.9585500000000001E-2</v>
      </c>
      <c r="E29" s="9"/>
      <c r="F29" s="9"/>
    </row>
    <row r="30" spans="1:16" s="4" customFormat="1" ht="20" customHeight="1">
      <c r="B30" s="4" t="s">
        <v>80</v>
      </c>
      <c r="D30" s="105">
        <f>D16</f>
        <v>0.23</v>
      </c>
      <c r="E30" s="9"/>
      <c r="F30" s="9"/>
    </row>
    <row r="31" spans="1:16" s="4" customFormat="1" ht="20" customHeight="1">
      <c r="B31" s="4" t="s">
        <v>82</v>
      </c>
      <c r="D31" s="89">
        <f>D27*D28+D29*D30</f>
        <v>6.8905165000000004E-2</v>
      </c>
      <c r="E31" s="9"/>
      <c r="F31" s="9"/>
    </row>
    <row r="32" spans="1:16" s="4" customFormat="1" ht="20" customHeight="1">
      <c r="D32" s="17"/>
      <c r="E32" s="9"/>
      <c r="F32" s="9"/>
    </row>
    <row r="33" spans="2:19" s="4" customFormat="1" ht="20" customHeight="1">
      <c r="B33" s="8" t="s">
        <v>207</v>
      </c>
      <c r="E33" s="9"/>
      <c r="F33" s="9"/>
    </row>
    <row r="34" spans="2:19" s="8" customFormat="1" ht="20" customHeight="1">
      <c r="B34" s="4" t="s">
        <v>377</v>
      </c>
      <c r="D34" s="89">
        <f>IF('Master Inputs Start here'!B64="No",'Master Inputs Start here'!B65,IF('Master Inputs Start here'!B69="No",'Master Inputs Start here'!B67*'Master Inputs Start here'!B68,'Master Inputs Start here'!B70*'Master Inputs Start here'!B71))</f>
        <v>5.3892797805196416E-2</v>
      </c>
      <c r="E34" s="18"/>
      <c r="F34" s="18"/>
    </row>
    <row r="35" spans="2:19" s="4" customFormat="1" ht="20" customHeight="1">
      <c r="B35" s="4" t="s">
        <v>430</v>
      </c>
      <c r="D35" s="89">
        <f>IF('Master Inputs Start here'!B61="Yes",'Master Inputs Start here'!B62,'Master Inputs Start here'!B63)</f>
        <v>0.13293570562070359</v>
      </c>
      <c r="E35" s="9" t="s">
        <v>431</v>
      </c>
    </row>
    <row r="36" spans="2:19" s="4" customFormat="1" ht="20" customHeight="1">
      <c r="B36" s="8" t="s">
        <v>323</v>
      </c>
      <c r="E36" s="15"/>
      <c r="F36" s="9"/>
    </row>
    <row r="37" spans="2:19" s="4" customFormat="1" ht="20" customHeight="1">
      <c r="B37" s="65"/>
      <c r="C37" s="101" t="s">
        <v>54</v>
      </c>
      <c r="D37" s="65">
        <f>IF(D14=0," ",1)</f>
        <v>1</v>
      </c>
      <c r="E37" s="65">
        <f>IF(D14&lt;2," ",2)</f>
        <v>2</v>
      </c>
      <c r="F37" s="96">
        <f>IF(D14&lt;3," ",3)</f>
        <v>3</v>
      </c>
      <c r="G37" s="65">
        <f>IF(D14&lt;4," ",4)</f>
        <v>4</v>
      </c>
      <c r="H37" s="65">
        <f>IF(D14&lt;5," ",5)</f>
        <v>5</v>
      </c>
      <c r="I37" s="65" t="str">
        <f>IF(D14&lt;6," ",6)</f>
        <v xml:space="preserve"> </v>
      </c>
      <c r="J37" s="65" t="str">
        <f>IF(D14&lt;7," ",7)</f>
        <v xml:space="preserve"> </v>
      </c>
      <c r="K37" s="65" t="str">
        <f>IF(D14&lt;8," ",8)</f>
        <v xml:space="preserve"> </v>
      </c>
      <c r="L37" s="65" t="str">
        <f>IF(D14&lt;9," ",9)</f>
        <v xml:space="preserve"> </v>
      </c>
      <c r="M37" s="65" t="str">
        <f>IF(D14&lt;10," ",10)</f>
        <v xml:space="preserve"> </v>
      </c>
      <c r="N37" s="65" t="str">
        <f>IF(D14&lt;11," ",11)</f>
        <v xml:space="preserve"> </v>
      </c>
      <c r="O37" s="65" t="str">
        <f>IF(D14&lt;12," ",12)</f>
        <v xml:space="preserve"> </v>
      </c>
      <c r="P37" s="65" t="str">
        <f>IF(D14&lt;13," ",13)</f>
        <v xml:space="preserve"> </v>
      </c>
      <c r="Q37" s="65" t="str">
        <f>IF(D14&lt;14," ",14)</f>
        <v xml:space="preserve"> </v>
      </c>
      <c r="R37" s="65" t="str">
        <f>IF(D14&lt;15," ",15)</f>
        <v xml:space="preserve"> </v>
      </c>
      <c r="S37" s="102" t="s">
        <v>373</v>
      </c>
    </row>
    <row r="38" spans="2:19" s="4" customFormat="1" ht="20" customHeight="1">
      <c r="B38" s="104" t="s">
        <v>377</v>
      </c>
      <c r="C38" s="101"/>
      <c r="D38" s="95">
        <f>IF($D$14&lt;D37," ",IF('Master Inputs Start here'!$B$73="Yes",IF(D37&lt;'Master Inputs Start here'!$B$56/2,$D$15,$D$51+(($D$15-$D$51)/('Master Inputs Start here'!$B$56/2))*('Master Inputs Start here'!$B$56-'Valuation Model'!D37)),$D$15))</f>
        <v>5.3892797805196416E-2</v>
      </c>
      <c r="E38" s="95">
        <f>IF($D$14&lt;E37," ",IF('Master Inputs Start here'!$B$73="Yes",IF(E37&lt;'Master Inputs Start here'!$B$56/2,$D$15,$D$51+(($D$15-$D$51)/('Master Inputs Start here'!$B$56/2))*('Master Inputs Start here'!$B$56-'Valuation Model'!E37)),$D$15))</f>
        <v>5.3892797805196416E-2</v>
      </c>
      <c r="F38" s="95">
        <f>IF($D$14&lt;F37," ",IF('Master Inputs Start here'!$B$73="Yes",IF(F37&lt;'Master Inputs Start here'!$B$56/2,$D$15,$D$51+(($D$15-$D$51)/('Master Inputs Start here'!$B$56/2))*('Master Inputs Start here'!$B$56-'Valuation Model'!F37)),$D$15))</f>
        <v>5.3892797805196416E-2</v>
      </c>
      <c r="G38" s="95">
        <f>IF($D$14&lt;G37," ",IF('Master Inputs Start here'!$B$73="Yes",IF(G37&lt;'Master Inputs Start here'!$B$56/2,$D$15,$D$51+(($D$15-$D$51)/('Master Inputs Start here'!$B$56/2))*('Master Inputs Start here'!$B$56-'Valuation Model'!G37)),$D$15))</f>
        <v>5.3892797805196416E-2</v>
      </c>
      <c r="H38" s="95">
        <f>IF($D$14&lt;H37," ",IF('Master Inputs Start here'!$B$73="Yes",IF(H37&lt;'Master Inputs Start here'!$B$56/2,$D$15,$D$51+(($D$15-$D$51)/('Master Inputs Start here'!$B$56/2))*('Master Inputs Start here'!$B$56-'Valuation Model'!H37)),$D$15))</f>
        <v>5.3892797805196416E-2</v>
      </c>
      <c r="I38" s="95" t="str">
        <f>IF($D$14&lt;I37," ",IF('Master Inputs Start here'!$B$73="Yes",IF(I37&lt;'Master Inputs Start here'!$B$56/2,$D$15,$D$51+(($D$15-$D$51)/('Master Inputs Start here'!$B$56/2))*('Master Inputs Start here'!$B$56-'Valuation Model'!I37)),$D$15))</f>
        <v xml:space="preserve"> </v>
      </c>
      <c r="J38" s="95" t="str">
        <f>IF($D$14&lt;J37," ",IF('Master Inputs Start here'!$B$73="Yes",IF(J37&lt;'Master Inputs Start here'!$B$56/2,$D$15,$D$51+(($D$15-$D$51)/('Master Inputs Start here'!$B$56/2))*('Master Inputs Start here'!$B$56-'Valuation Model'!J37)),$D$15))</f>
        <v xml:space="preserve"> </v>
      </c>
      <c r="K38" s="95" t="str">
        <f>IF($D$14&lt;K37," ",IF('Master Inputs Start here'!$B$73="Yes",IF(K37&lt;'Master Inputs Start here'!$B$56/2,$D$15,$D$51+(($D$15-$D$51)/('Master Inputs Start here'!$B$56/2))*('Master Inputs Start here'!$B$56-'Valuation Model'!K37)),$D$15))</f>
        <v xml:space="preserve"> </v>
      </c>
      <c r="L38" s="95" t="str">
        <f>IF($D$14&lt;L37," ",IF('Master Inputs Start here'!$B$73="Yes",IF(L37&lt;'Master Inputs Start here'!$B$56/2,$D$15,$D$51+(($D$15-$D$51)/('Master Inputs Start here'!$B$56/2))*('Master Inputs Start here'!$B$56-'Valuation Model'!L37)),$D$15))</f>
        <v xml:space="preserve"> </v>
      </c>
      <c r="M38" s="95" t="str">
        <f>IF($D$14&lt;M37," ",IF('Master Inputs Start here'!$B$73="Yes",IF(M37&lt;'Master Inputs Start here'!$B$56/2,$D$15,$D$51+(($D$15-$D$51)/('Master Inputs Start here'!$B$56/2))*('Master Inputs Start here'!$B$56-'Valuation Model'!M37)),$D$15))</f>
        <v xml:space="preserve"> </v>
      </c>
      <c r="N38" s="95" t="str">
        <f>IF($D$14&lt;N37," ",IF('Master Inputs Start here'!$B$73="Yes",IF(N37&lt;'Master Inputs Start here'!$B$56/2,$D$15,$D$51+(($D$15-$D$51)/('Master Inputs Start here'!$B$56/2))*('Master Inputs Start here'!$B$56-'Valuation Model'!N37)),$D$15))</f>
        <v xml:space="preserve"> </v>
      </c>
      <c r="O38" s="95" t="str">
        <f>IF($D$14&lt;O37," ",IF('Master Inputs Start here'!$B$73="Yes",IF(O37&lt;'Master Inputs Start here'!$B$56/2,$D$15,$D$51+(($D$15-$D$51)/('Master Inputs Start here'!$B$56/2))*('Master Inputs Start here'!$B$56-'Valuation Model'!O37)),$D$15))</f>
        <v xml:space="preserve"> </v>
      </c>
      <c r="P38" s="95" t="str">
        <f>IF($D$14&lt;P37," ",IF('Master Inputs Start here'!$B$73="Yes",IF(P37&lt;'Master Inputs Start here'!$B$56/2,$D$15,$D$51+(($D$15-$D$51)/('Master Inputs Start here'!$B$56/2))*('Master Inputs Start here'!$B$56-'Valuation Model'!P37)),$D$15))</f>
        <v xml:space="preserve"> </v>
      </c>
      <c r="Q38" s="95" t="str">
        <f>IF($D$14&lt;Q37," ",IF('Master Inputs Start here'!$B$73="Yes",IF(Q37&lt;'Master Inputs Start here'!$B$56/2,$D$15,$D$51+(($D$15-$D$51)/('Master Inputs Start here'!$B$56/2))*('Master Inputs Start here'!$B$56-'Valuation Model'!Q37)),$D$15))</f>
        <v xml:space="preserve"> </v>
      </c>
      <c r="R38" s="95" t="str">
        <f>IF($D$14&lt;R37," ",IF('Master Inputs Start here'!$B$73="Yes",IF(R37&lt;'Master Inputs Start here'!$B$56/2,$D$15,$D$51+(($D$15-$D$51)/('Master Inputs Start here'!$B$56/2))*('Master Inputs Start here'!$B$56-'Valuation Model'!R37)),$D$15))</f>
        <v xml:space="preserve"> </v>
      </c>
      <c r="S38" s="102"/>
    </row>
    <row r="39" spans="2:19" s="4" customFormat="1" ht="20" customHeight="1">
      <c r="B39" s="104" t="s">
        <v>406</v>
      </c>
      <c r="C39" s="101"/>
      <c r="D39" s="95">
        <f>IF($D$14&lt;D37," ",(1+D38))</f>
        <v>1.0538927978051964</v>
      </c>
      <c r="E39" s="95">
        <f>IF($D$14&lt;E37," ",(1+D38)*(1+E38))</f>
        <v>1.1106900292656645</v>
      </c>
      <c r="F39" s="95">
        <f>IF($D$14&lt;F37," ",(1+D38)*(1+E38)*(1+F38))</f>
        <v>1.1705482224371266</v>
      </c>
      <c r="G39" s="95">
        <f>IF($D$14&lt;G37," ",(1+D38)*(1+E38)*(1+F38)*(1+G38))</f>
        <v>1.2336323411101628</v>
      </c>
      <c r="H39" s="95">
        <f>IF($D$14&lt;H37," ",(1+D38)*(1+E38)*(1+F38)*(1+G38)*(1+H38))</f>
        <v>1.3001162394355639</v>
      </c>
      <c r="I39" s="95" t="str">
        <f>IF($D$14&lt;I37," ",(1+D38)*(1+E38)*(1+F38)*(1+G38)*(1+H38)*(1+I38))</f>
        <v xml:space="preserve"> </v>
      </c>
      <c r="J39" s="95" t="str">
        <f>IF($D$14&lt;J37," ",(1+D38)*(1+E38)*(1+F38)*(1+G38)*(1+H38)*(1+I38)*(1+J38))</f>
        <v xml:space="preserve"> </v>
      </c>
      <c r="K39" s="95" t="str">
        <f>IF($D$14&lt;K37," ",(1+D38)*(1+E38)*(1+F38)*(1+G38)*(1+H38)*(1+I38)*(1+J38)*(1+K38))</f>
        <v xml:space="preserve"> </v>
      </c>
      <c r="L39" s="95" t="str">
        <f>IF($D$14&lt;L37," ",(1+D38)*(1+E38)*(1+F38)*(1+G38)*(1+H38)*(1+I38)*(1+J38)*(1+K38)*(1+L38))</f>
        <v xml:space="preserve"> </v>
      </c>
      <c r="M39" s="95" t="str">
        <f>IF($D$14&lt;M37," ",(1+D38)*(1+E38)*(1+F38)*(1+G38)*(1+H38)*(1+I38)*(1+J38)*(1+K38)*(1+L38)*(1+M38))</f>
        <v xml:space="preserve"> </v>
      </c>
      <c r="N39" s="95" t="str">
        <f>IF($D$14&lt;N37," ",(1+D38)*(1+E38)*(1+F38)*(1+G38)*(1+H38)*(1+I38)*(1+J38)*(1+K38)*(1+L38)*(1+M38)*(1+N38))</f>
        <v xml:space="preserve"> </v>
      </c>
      <c r="O39" s="95" t="str">
        <f>IF($D$14&lt;O37," ",(1+D38)*(1+E38)*(1+F38)*(1+G38)*(1+H38)*(1+I38)*(1+J38)*(1+K38)*(1+L38)*(1+M38)*(1+N38)*(1+O38))</f>
        <v xml:space="preserve"> </v>
      </c>
      <c r="P39" s="95" t="str">
        <f>IF($D$14&lt;P37," ",(1+D38)*(1+E38)*(1+F38)*(1+G38)*(1+H38)*(1+I38)*(1+J38)*(1+K38)*(1+L38)*(1+M38)*(1+N38)*(1+O38)*(1+P38))</f>
        <v xml:space="preserve"> </v>
      </c>
      <c r="Q39" s="95" t="str">
        <f>IF($D$14&lt;Q37," ",(1+D38)*(1+E38)*(1+F38)*(1+G38)*(1+H38)*(1+I38)*(1+J38)*(1+K38)*(1+L38)*(1+M38)*(1+N38)*(1+O38)*(1+P38)*(1+Q38))</f>
        <v xml:space="preserve"> </v>
      </c>
      <c r="R39" s="95" t="str">
        <f>IF($D$14&lt;R37," ",(1+D38)*(1+E38)*(1+F38)*(1+G38)*(1+H38)*(1+I38)*(1+J38)*(1+K38)*(1+L38)*(1+M38)*(1+N38)*(1+O38)*(1+P38)*(1+Q38)*(1+R38))</f>
        <v xml:space="preserve"> </v>
      </c>
      <c r="S39" s="102"/>
    </row>
    <row r="40" spans="2:19" s="4" customFormat="1" ht="20" customHeight="1">
      <c r="B40" s="104" t="s">
        <v>28</v>
      </c>
      <c r="C40" s="101"/>
      <c r="D40" s="95">
        <f>IF($D$14&lt;D37," ",IF('Master Inputs Start here'!$B$73="Yes",IF(D37&lt;'Master Inputs Start here'!$B$56/2,$D$24,$D$52+(($D$24-$D$52)/('Master Inputs Start here'!$B$56/2))*('Master Inputs Start here'!$B$56-'Valuation Model'!D37)),$D$24))</f>
        <v>0.39268662031690132</v>
      </c>
      <c r="E40" s="95">
        <f>IF($D$14&lt;E37," ",IF('Master Inputs Start here'!$B$73="Yes",IF(E37&lt;'Master Inputs Start here'!$B$56/2,$D$24,$D$52+(($D$24-$D$52)/('Master Inputs Start here'!$B$56/2))*('Master Inputs Start here'!$B$56-'Valuation Model'!E37)),$D$24))</f>
        <v>0.39268662031690132</v>
      </c>
      <c r="F40" s="95">
        <f>IF($D$14&lt;F37," ",IF('Master Inputs Start here'!$B$73="Yes",IF(F37&lt;'Master Inputs Start here'!$B$56/2,$D$24,$D$52+(($D$24-$D$52)/('Master Inputs Start here'!$B$56/2))*('Master Inputs Start here'!$B$56-'Valuation Model'!F37)),$D$24))</f>
        <v>0.39268662031690132</v>
      </c>
      <c r="G40" s="95">
        <f>IF($D$14&lt;G37," ",IF('Master Inputs Start here'!$B$73="Yes",IF(G37&lt;'Master Inputs Start here'!$B$56/2,$D$24,$D$52+(($D$24-$D$52)/('Master Inputs Start here'!$B$56/2))*('Master Inputs Start here'!$B$56-'Valuation Model'!G37)),$D$24))</f>
        <v>0.39268662031690132</v>
      </c>
      <c r="H40" s="95">
        <f>IF($D$14&lt;H37," ",IF('Master Inputs Start here'!$B$73="Yes",IF(H37&lt;'Master Inputs Start here'!$B$56/2,$D$24,$D$52+(($D$24-$D$52)/('Master Inputs Start here'!$B$56/2))*('Master Inputs Start here'!$B$56-'Valuation Model'!H37)),$D$24))</f>
        <v>0.39268662031690132</v>
      </c>
      <c r="I40" s="95" t="str">
        <f>IF($D$14&lt;I37," ",IF('Master Inputs Start here'!$B$73="Yes",IF(I37&lt;'Master Inputs Start here'!$B$56/2,$D$24,$D$52+(($D$24-$D$52)/('Master Inputs Start here'!$B$56/2))*('Master Inputs Start here'!$B$56-'Valuation Model'!I37)),$D$24))</f>
        <v xml:space="preserve"> </v>
      </c>
      <c r="J40" s="95" t="str">
        <f>IF($D$14&lt;J37," ",IF('Master Inputs Start here'!$B$73="Yes",IF(J37&lt;'Master Inputs Start here'!$B$56/2,$D$24,$D$52+(($D$24-$D$52)/('Master Inputs Start here'!$B$56/2))*('Master Inputs Start here'!$B$56-'Valuation Model'!J37)),$D$24))</f>
        <v xml:space="preserve"> </v>
      </c>
      <c r="K40" s="95" t="str">
        <f>IF($D$14&lt;K37," ",IF('Master Inputs Start here'!$B$73="Yes",IF(K37&lt;'Master Inputs Start here'!$B$56/2,$D$24,$D$52+(($D$24-$D$52)/('Master Inputs Start here'!$B$56/2))*('Master Inputs Start here'!$B$56-'Valuation Model'!K37)),$D$24))</f>
        <v xml:space="preserve"> </v>
      </c>
      <c r="L40" s="95" t="str">
        <f>IF($D$14&lt;L37," ",IF('Master Inputs Start here'!$B$73="Yes",IF(L37&lt;'Master Inputs Start here'!$B$56/2,$D$24,$D$52+(($D$24-$D$52)/('Master Inputs Start here'!$B$56/2))*('Master Inputs Start here'!$B$56-'Valuation Model'!L37)),$D$24))</f>
        <v xml:space="preserve"> </v>
      </c>
      <c r="M40" s="95" t="str">
        <f>IF($D$14&lt;M37," ",IF('Master Inputs Start here'!$B$73="Yes",IF(M37&lt;'Master Inputs Start here'!$B$56/2,$D$24,$D$52+(($D$24-$D$52)/('Master Inputs Start here'!$B$56/2))*('Master Inputs Start here'!$B$56-'Valuation Model'!M37)),$D$24))</f>
        <v xml:space="preserve"> </v>
      </c>
      <c r="N40" s="95" t="str">
        <f>IF($D$14&lt;N37," ",IF('Master Inputs Start here'!$B$73="Yes",IF(N37&lt;'Master Inputs Start here'!$B$56/2,$D$24,$D$52+(($D$24-$D$52)/('Master Inputs Start here'!$B$56/2))*('Master Inputs Start here'!$B$56-'Valuation Model'!N37)),$D$24))</f>
        <v xml:space="preserve"> </v>
      </c>
      <c r="O40" s="95" t="str">
        <f>IF($D$14&lt;O37," ",IF('Master Inputs Start here'!$B$73="Yes",IF(O37&lt;'Master Inputs Start here'!$B$56/2,$D$24,$D$52+(($D$24-$D$52)/('Master Inputs Start here'!$B$56/2))*('Master Inputs Start here'!$B$56-'Valuation Model'!O37)),$D$24))</f>
        <v xml:space="preserve"> </v>
      </c>
      <c r="P40" s="95" t="str">
        <f>IF($D$14&lt;P37," ",IF('Master Inputs Start here'!$B$73="Yes",IF(P37&lt;'Master Inputs Start here'!$B$56/2,$D$24,$D$52+(($D$24-$D$52)/('Master Inputs Start here'!$B$56/2))*('Master Inputs Start here'!$B$56-'Valuation Model'!P37)),$D$24))</f>
        <v xml:space="preserve"> </v>
      </c>
      <c r="Q40" s="95" t="str">
        <f>IF($D$14&lt;Q37," ",IF('Master Inputs Start here'!$B$73="Yes",IF(Q37&lt;'Master Inputs Start here'!$B$56/2,$D$24,$D$52+(($D$24-$D$52)/('Master Inputs Start here'!$B$56/2))*('Master Inputs Start here'!$B$56-'Valuation Model'!Q37)),$D$24))</f>
        <v xml:space="preserve"> </v>
      </c>
      <c r="R40" s="95" t="str">
        <f>IF($D$14&lt;R37," ",IF('Master Inputs Start here'!$B$73="Yes",IF(R37&lt;'Master Inputs Start here'!$B$56/2,$D$24,$D$52+(($D$24-$D$52)/('Master Inputs Start here'!$B$56/2))*('Master Inputs Start here'!$B$56-'Valuation Model'!R37)),$D$24))</f>
        <v xml:space="preserve"> </v>
      </c>
      <c r="S40" s="102"/>
    </row>
    <row r="41" spans="2:19" s="4" customFormat="1" ht="20" customHeight="1">
      <c r="B41" s="104" t="s">
        <v>200</v>
      </c>
      <c r="C41" s="119">
        <f>IF('Master Inputs Start here'!B4="yes",D3+'R&amp;D converter'!D40,D3)</f>
        <v>24632.089122218258</v>
      </c>
      <c r="D41" s="185">
        <f>IF($D$14&lt;D37," ",C41*(1+D38))</f>
        <v>25959.581320801546</v>
      </c>
      <c r="E41" s="185">
        <f t="shared" ref="E41:R41" si="0">IF($D$14&lt;E37," ",D41*(1+E38))</f>
        <v>27358.615788031057</v>
      </c>
      <c r="F41" s="185">
        <f t="shared" si="0"/>
        <v>28833.048136925467</v>
      </c>
      <c r="G41" s="185">
        <f t="shared" si="0"/>
        <v>30386.941770276284</v>
      </c>
      <c r="H41" s="185">
        <f t="shared" si="0"/>
        <v>32024.579079020059</v>
      </c>
      <c r="I41" s="185" t="str">
        <f t="shared" si="0"/>
        <v xml:space="preserve"> </v>
      </c>
      <c r="J41" s="185" t="str">
        <f t="shared" si="0"/>
        <v xml:space="preserve"> </v>
      </c>
      <c r="K41" s="185" t="str">
        <f t="shared" si="0"/>
        <v xml:space="preserve"> </v>
      </c>
      <c r="L41" s="185" t="str">
        <f t="shared" si="0"/>
        <v xml:space="preserve"> </v>
      </c>
      <c r="M41" s="185" t="str">
        <f t="shared" si="0"/>
        <v xml:space="preserve"> </v>
      </c>
      <c r="N41" s="185" t="str">
        <f t="shared" si="0"/>
        <v xml:space="preserve"> </v>
      </c>
      <c r="O41" s="185" t="str">
        <f t="shared" si="0"/>
        <v xml:space="preserve"> </v>
      </c>
      <c r="P41" s="185" t="str">
        <f t="shared" si="0"/>
        <v xml:space="preserve"> </v>
      </c>
      <c r="Q41" s="185" t="str">
        <f t="shared" si="0"/>
        <v xml:space="preserve"> </v>
      </c>
      <c r="R41" s="185" t="str">
        <f t="shared" si="0"/>
        <v xml:space="preserve"> </v>
      </c>
      <c r="S41" s="102"/>
    </row>
    <row r="42" spans="2:19" s="4" customFormat="1" ht="20" customHeight="1">
      <c r="B42" s="104" t="s">
        <v>636</v>
      </c>
      <c r="C42" s="184">
        <f>'Master Inputs Start here'!B14</f>
        <v>0.1</v>
      </c>
      <c r="D42" s="95">
        <f>IF($D$14&lt;D37," ",$S$42-($D$14-D37)*($S$42-$C$42)/$D$14)</f>
        <v>0.122</v>
      </c>
      <c r="E42" s="95">
        <f t="shared" ref="E42:R42" si="1">IF($D$14&lt;E37," ",$S$42-($D$14-E37)*($S$42-$C$42)/$D$14)</f>
        <v>0.14400000000000002</v>
      </c>
      <c r="F42" s="95">
        <f t="shared" si="1"/>
        <v>0.16599999999999998</v>
      </c>
      <c r="G42" s="95">
        <f t="shared" si="1"/>
        <v>0.188</v>
      </c>
      <c r="H42" s="95">
        <f t="shared" si="1"/>
        <v>0.21</v>
      </c>
      <c r="I42" s="95" t="str">
        <f t="shared" si="1"/>
        <v xml:space="preserve"> </v>
      </c>
      <c r="J42" s="95" t="str">
        <f t="shared" si="1"/>
        <v xml:space="preserve"> </v>
      </c>
      <c r="K42" s="95" t="str">
        <f t="shared" si="1"/>
        <v xml:space="preserve"> </v>
      </c>
      <c r="L42" s="95" t="str">
        <f t="shared" si="1"/>
        <v xml:space="preserve"> </v>
      </c>
      <c r="M42" s="95" t="str">
        <f t="shared" si="1"/>
        <v xml:space="preserve"> </v>
      </c>
      <c r="N42" s="95" t="str">
        <f t="shared" si="1"/>
        <v xml:space="preserve"> </v>
      </c>
      <c r="O42" s="95" t="str">
        <f t="shared" si="1"/>
        <v xml:space="preserve"> </v>
      </c>
      <c r="P42" s="95" t="str">
        <f t="shared" si="1"/>
        <v xml:space="preserve"> </v>
      </c>
      <c r="Q42" s="95" t="str">
        <f t="shared" si="1"/>
        <v xml:space="preserve"> </v>
      </c>
      <c r="R42" s="95" t="str">
        <f t="shared" si="1"/>
        <v xml:space="preserve"> </v>
      </c>
      <c r="S42" s="89">
        <f>'Master Inputs Start here'!B81</f>
        <v>0.21</v>
      </c>
    </row>
    <row r="43" spans="2:19" s="4" customFormat="1" ht="20" customHeight="1">
      <c r="B43" s="104" t="s">
        <v>298</v>
      </c>
      <c r="C43" s="118">
        <f>C41*(1-C42)</f>
        <v>22168.880209996434</v>
      </c>
      <c r="D43" s="118">
        <f>IF($D$14&lt;D37," ",D41*(1-D42))</f>
        <v>22792.512399663756</v>
      </c>
      <c r="E43" s="118">
        <f t="shared" ref="E43:R43" si="2">IF($D$14&lt;E37," ",E41*(1-E42))</f>
        <v>23418.975114554585</v>
      </c>
      <c r="F43" s="118">
        <f t="shared" si="2"/>
        <v>24046.762146195841</v>
      </c>
      <c r="G43" s="118">
        <f t="shared" si="2"/>
        <v>24674.196717464343</v>
      </c>
      <c r="H43" s="118">
        <f t="shared" si="2"/>
        <v>25299.417472425848</v>
      </c>
      <c r="I43" s="118" t="str">
        <f t="shared" si="2"/>
        <v xml:space="preserve"> </v>
      </c>
      <c r="J43" s="118" t="str">
        <f t="shared" si="2"/>
        <v xml:space="preserve"> </v>
      </c>
      <c r="K43" s="118" t="str">
        <f t="shared" si="2"/>
        <v xml:space="preserve"> </v>
      </c>
      <c r="L43" s="118" t="str">
        <f t="shared" si="2"/>
        <v xml:space="preserve"> </v>
      </c>
      <c r="M43" s="118" t="str">
        <f t="shared" si="2"/>
        <v xml:space="preserve"> </v>
      </c>
      <c r="N43" s="118" t="str">
        <f t="shared" si="2"/>
        <v xml:space="preserve"> </v>
      </c>
      <c r="O43" s="118" t="str">
        <f t="shared" si="2"/>
        <v xml:space="preserve"> </v>
      </c>
      <c r="P43" s="118" t="str">
        <f t="shared" si="2"/>
        <v xml:space="preserve"> </v>
      </c>
      <c r="Q43" s="118" t="str">
        <f t="shared" si="2"/>
        <v xml:space="preserve"> </v>
      </c>
      <c r="R43" s="118" t="str">
        <f t="shared" si="2"/>
        <v xml:space="preserve"> </v>
      </c>
      <c r="S43" s="73">
        <f>(MAX(C43:R43)/(1-D22))*(1-E22)*(1+D51)</f>
        <v>26031.835608252579</v>
      </c>
    </row>
    <row r="44" spans="2:19" s="4" customFormat="1" ht="20" customHeight="1">
      <c r="B44" s="104" t="s">
        <v>318</v>
      </c>
      <c r="C44" s="119">
        <f>D5-D6</f>
        <v>7753.3371222182577</v>
      </c>
      <c r="D44" s="118">
        <f>IF($D$14&lt;D37," ",D40*D43-D45)</f>
        <v>8454.2314589581947</v>
      </c>
      <c r="E44" s="118">
        <f t="shared" ref="E44:R44" si="3">IF($D$14&lt;E37," ",E40*E43-E45)</f>
        <v>8673.4996734264496</v>
      </c>
      <c r="F44" s="118">
        <f t="shared" si="3"/>
        <v>8891.8470886107334</v>
      </c>
      <c r="G44" s="118">
        <f t="shared" si="3"/>
        <v>9108.5376056301557</v>
      </c>
      <c r="H44" s="118">
        <f t="shared" si="3"/>
        <v>9322.7584591479517</v>
      </c>
      <c r="I44" s="118" t="str">
        <f t="shared" si="3"/>
        <v xml:space="preserve"> </v>
      </c>
      <c r="J44" s="118" t="str">
        <f t="shared" si="3"/>
        <v xml:space="preserve"> </v>
      </c>
      <c r="K44" s="118" t="str">
        <f t="shared" si="3"/>
        <v xml:space="preserve"> </v>
      </c>
      <c r="L44" s="118" t="str">
        <f t="shared" si="3"/>
        <v xml:space="preserve"> </v>
      </c>
      <c r="M44" s="118" t="str">
        <f t="shared" si="3"/>
        <v xml:space="preserve"> </v>
      </c>
      <c r="N44" s="118" t="str">
        <f t="shared" si="3"/>
        <v xml:space="preserve"> </v>
      </c>
      <c r="O44" s="118" t="str">
        <f t="shared" si="3"/>
        <v xml:space="preserve"> </v>
      </c>
      <c r="P44" s="73" t="str">
        <f t="shared" si="3"/>
        <v xml:space="preserve"> </v>
      </c>
      <c r="Q44" s="73" t="str">
        <f t="shared" si="3"/>
        <v xml:space="preserve"> </v>
      </c>
      <c r="R44" s="73" t="str">
        <f t="shared" si="3"/>
        <v xml:space="preserve"> </v>
      </c>
      <c r="S44" s="73">
        <f>IF('Master Inputs Start here'!B83="yes",'Valuation Model'!E24*S43-S45,('Master Inputs Start here'!B85-1)*D6*(1+'Valuation Model'!D34)^D14*(1+D51))</f>
        <v>7553.1367615302861</v>
      </c>
    </row>
    <row r="45" spans="2:19" s="4" customFormat="1" ht="20" customHeight="1">
      <c r="B45" s="104" t="s">
        <v>236</v>
      </c>
      <c r="C45" s="118">
        <f>D10</f>
        <v>952.08552365547905</v>
      </c>
      <c r="D45" s="118">
        <f>IF($D$14&lt;D37," ",($D$8*(D39-1)*$D$35))</f>
        <v>496.08320379683283</v>
      </c>
      <c r="E45" s="118">
        <f>IF($D$14&lt;E37," ",($D$8*(E39-D39)*$D$35))</f>
        <v>522.81851559360894</v>
      </c>
      <c r="F45" s="118">
        <f t="shared" ref="F45:R45" si="4">IF($D$14&lt;F37," ",($D$8*(F39-E39)*$D$35))</f>
        <v>550.99466814330879</v>
      </c>
      <c r="G45" s="118">
        <f t="shared" si="4"/>
        <v>580.68931238529819</v>
      </c>
      <c r="H45" s="118">
        <f t="shared" si="4"/>
        <v>611.9842840853164</v>
      </c>
      <c r="I45" s="118" t="str">
        <f t="shared" si="4"/>
        <v xml:space="preserve"> </v>
      </c>
      <c r="J45" s="118" t="str">
        <f t="shared" si="4"/>
        <v xml:space="preserve"> </v>
      </c>
      <c r="K45" s="118" t="str">
        <f t="shared" si="4"/>
        <v xml:space="preserve"> </v>
      </c>
      <c r="L45" s="118" t="str">
        <f t="shared" si="4"/>
        <v xml:space="preserve"> </v>
      </c>
      <c r="M45" s="118" t="str">
        <f t="shared" si="4"/>
        <v xml:space="preserve"> </v>
      </c>
      <c r="N45" s="118" t="str">
        <f t="shared" si="4"/>
        <v xml:space="preserve"> </v>
      </c>
      <c r="O45" s="118" t="str">
        <f t="shared" si="4"/>
        <v xml:space="preserve"> </v>
      </c>
      <c r="P45" s="73" t="str">
        <f t="shared" si="4"/>
        <v xml:space="preserve"> </v>
      </c>
      <c r="Q45" s="73" t="str">
        <f t="shared" si="4"/>
        <v xml:space="preserve"> </v>
      </c>
      <c r="R45" s="73" t="str">
        <f t="shared" si="4"/>
        <v xml:space="preserve"> </v>
      </c>
      <c r="S45" s="73">
        <f>(D8*(1+D34)^D14*(1+D51)-D8*(1+D34)^D14)*D35</f>
        <v>346.46115103692659</v>
      </c>
    </row>
    <row r="46" spans="2:19" s="4" customFormat="1" ht="20" customHeight="1">
      <c r="B46" s="104" t="s">
        <v>182</v>
      </c>
      <c r="C46" s="118">
        <f>C43-C44-C45</f>
        <v>13463.457564122697</v>
      </c>
      <c r="D46" s="118">
        <f>IF($D$14&lt;D37," ",D43-D44-D45)</f>
        <v>13842.197736908729</v>
      </c>
      <c r="E46" s="118">
        <f t="shared" ref="E46:R46" si="5">IF($D$14&lt;E37," ",E43-E44-E45)</f>
        <v>14222.656925534528</v>
      </c>
      <c r="F46" s="118">
        <f t="shared" si="5"/>
        <v>14603.920389441799</v>
      </c>
      <c r="G46" s="118">
        <f t="shared" si="5"/>
        <v>14984.969799448889</v>
      </c>
      <c r="H46" s="118">
        <f t="shared" si="5"/>
        <v>15364.67472919258</v>
      </c>
      <c r="I46" s="118" t="str">
        <f t="shared" si="5"/>
        <v xml:space="preserve"> </v>
      </c>
      <c r="J46" s="118" t="str">
        <f t="shared" si="5"/>
        <v xml:space="preserve"> </v>
      </c>
      <c r="K46" s="118" t="str">
        <f t="shared" si="5"/>
        <v xml:space="preserve"> </v>
      </c>
      <c r="L46" s="118" t="str">
        <f t="shared" si="5"/>
        <v xml:space="preserve"> </v>
      </c>
      <c r="M46" s="118" t="str">
        <f t="shared" si="5"/>
        <v xml:space="preserve"> </v>
      </c>
      <c r="N46" s="118" t="str">
        <f t="shared" si="5"/>
        <v xml:space="preserve"> </v>
      </c>
      <c r="O46" s="118" t="str">
        <f t="shared" si="5"/>
        <v xml:space="preserve"> </v>
      </c>
      <c r="P46" s="73" t="str">
        <f t="shared" si="5"/>
        <v xml:space="preserve"> </v>
      </c>
      <c r="Q46" s="73" t="str">
        <f t="shared" si="5"/>
        <v xml:space="preserve"> </v>
      </c>
      <c r="R46" s="73" t="str">
        <f t="shared" si="5"/>
        <v xml:space="preserve"> </v>
      </c>
      <c r="S46" s="93">
        <f>S43-S44-S45</f>
        <v>18132.237695685366</v>
      </c>
    </row>
    <row r="47" spans="2:19" s="4" customFormat="1" ht="20" customHeight="1">
      <c r="B47" s="104" t="s">
        <v>81</v>
      </c>
      <c r="C47" s="73"/>
      <c r="D47" s="95">
        <f>IF($D$14&lt;D37," ",IF('Master Inputs Start here'!$B$73="Yes",IF(D37&lt;'Master Inputs Start here'!$B$56/2,$D$31,$D$58+(($D$31-$D$58)/('Master Inputs Start here'!$B$56/2))*('Master Inputs Start here'!$B$56-'Valuation Model'!D37)),$D$31))</f>
        <v>6.8905165000000004E-2</v>
      </c>
      <c r="E47" s="95">
        <f>IF($D$14&lt;E37," ",IF('Master Inputs Start here'!$B$73="Yes",IF(E37&lt;'Master Inputs Start here'!$B$56/2,$D$31,$D$58+(($D$31-$D$58)/('Master Inputs Start here'!$B$56/2))*('Master Inputs Start here'!$B$56-'Valuation Model'!E37)),$D$31))</f>
        <v>6.8905165000000004E-2</v>
      </c>
      <c r="F47" s="95">
        <f>IF($D$14&lt;F37," ",IF('Master Inputs Start here'!$B$73="Yes",IF(F37&lt;'Master Inputs Start here'!$B$56/2,$D$31,$D$58+(($D$31-$D$58)/('Master Inputs Start here'!$B$56/2))*('Master Inputs Start here'!$B$56-'Valuation Model'!F37)),$D$31))</f>
        <v>6.8905165000000004E-2</v>
      </c>
      <c r="G47" s="95">
        <f>IF($D$14&lt;G37," ",IF('Master Inputs Start here'!$B$73="Yes",IF(G37&lt;'Master Inputs Start here'!$B$56/2,$D$31,$D$58+(($D$31-$D$58)/('Master Inputs Start here'!$B$56/2))*('Master Inputs Start here'!$B$56-'Valuation Model'!G37)),$D$31))</f>
        <v>6.8905165000000004E-2</v>
      </c>
      <c r="H47" s="95">
        <f>IF($D$14&lt;H37," ",IF('Master Inputs Start here'!$B$73="Yes",IF(H37&lt;'Master Inputs Start here'!$B$56/2,$D$31,$D$58+(($D$31-$D$58)/('Master Inputs Start here'!$B$56/2))*('Master Inputs Start here'!$B$56-'Valuation Model'!H37)),$D$31))</f>
        <v>6.8905165000000004E-2</v>
      </c>
      <c r="I47" s="95" t="str">
        <f>IF($D$14&lt;I37," ",IF('Master Inputs Start here'!$B$73="Yes",IF(I37&lt;'Master Inputs Start here'!$B$56/2,$D$31,$D$58+(($D$31-$D$58)/('Master Inputs Start here'!$B$56/2))*('Master Inputs Start here'!$B$56-'Valuation Model'!I37)),$D$31))</f>
        <v xml:space="preserve"> </v>
      </c>
      <c r="J47" s="95" t="str">
        <f>IF($D$14&lt;J37," ",IF('Master Inputs Start here'!$B$73="Yes",IF(J37&lt;'Master Inputs Start here'!$B$56/2,$D$31,$D$58+(($D$31-$D$58)/('Master Inputs Start here'!$B$56/2))*('Master Inputs Start here'!$B$56-'Valuation Model'!J37)),$D$31))</f>
        <v xml:space="preserve"> </v>
      </c>
      <c r="K47" s="95" t="str">
        <f>IF($D$14&lt;K37," ",IF('Master Inputs Start here'!$B$73="Yes",IF(K37&lt;'Master Inputs Start here'!$B$56/2,$D$31,$D$58+(($D$31-$D$58)/('Master Inputs Start here'!$B$56/2))*('Master Inputs Start here'!$B$56-'Valuation Model'!K37)),$D$31))</f>
        <v xml:space="preserve"> </v>
      </c>
      <c r="L47" s="95" t="str">
        <f>IF($D$14&lt;L37," ",IF('Master Inputs Start here'!$B$73="Yes",IF(L37&lt;'Master Inputs Start here'!$B$56/2,$D$31,$D$58+(($D$31-$D$58)/('Master Inputs Start here'!$B$56/2))*('Master Inputs Start here'!$B$56-'Valuation Model'!L37)),$D$31))</f>
        <v xml:space="preserve"> </v>
      </c>
      <c r="M47" s="95" t="str">
        <f>IF($D$14&lt;M37," ",IF('Master Inputs Start here'!$B$73="Yes",IF(M37&lt;'Master Inputs Start here'!$B$56/2,$D$31,$D$58+(($D$31-$D$58)/('Master Inputs Start here'!$B$56/2))*('Master Inputs Start here'!$B$56-'Valuation Model'!M37)),$D$31))</f>
        <v xml:space="preserve"> </v>
      </c>
      <c r="N47" s="95" t="str">
        <f>IF($D$14&lt;N37," ",IF('Master Inputs Start here'!$B$73="Yes",IF(N37&lt;'Master Inputs Start here'!$B$56/2,$D$31,$D$58+(($D$31-$D$58)/('Master Inputs Start here'!$B$56/2))*('Master Inputs Start here'!$B$56-'Valuation Model'!N37)),$D$31))</f>
        <v xml:space="preserve"> </v>
      </c>
      <c r="O47" s="95" t="str">
        <f>IF($D$14&lt;O37," ",IF('Master Inputs Start here'!$B$73="Yes",IF(O37&lt;'Master Inputs Start here'!$B$56/2,$D$31,$D$58+(($D$31-$D$58)/('Master Inputs Start here'!$B$56/2))*('Master Inputs Start here'!$B$56-'Valuation Model'!O37)),$D$31))</f>
        <v xml:space="preserve"> </v>
      </c>
      <c r="P47" s="95" t="str">
        <f>IF($D$14&lt;P37," ",IF('Master Inputs Start here'!$B$73="Yes",IF(P37&lt;'Master Inputs Start here'!$B$56/2,$D$31,$D$58+(($D$31-$D$58)/('Master Inputs Start here'!$B$56/2))*('Master Inputs Start here'!$B$56-'Valuation Model'!P37)),$D$31))</f>
        <v xml:space="preserve"> </v>
      </c>
      <c r="Q47" s="95" t="str">
        <f>IF($D$14&lt;Q37," ",IF('Master Inputs Start here'!$B$73="Yes",IF(Q37&lt;'Master Inputs Start here'!$B$56/2,$D$31,$D$58+(($D$31-$D$58)/('Master Inputs Start here'!$B$56/2))*('Master Inputs Start here'!$B$56-'Valuation Model'!Q37)),$D$31))</f>
        <v xml:space="preserve"> </v>
      </c>
      <c r="R47" s="95" t="str">
        <f>IF($D$14&lt;R37," ",IF('Master Inputs Start here'!$B$73="Yes",IF(R37&lt;'Master Inputs Start here'!$B$56/2,$D$31,$D$58+(($D$31-$D$58)/('Master Inputs Start here'!$B$56/2))*('Master Inputs Start here'!$B$56-'Valuation Model'!R37)),$D$31))</f>
        <v xml:space="preserve"> </v>
      </c>
      <c r="S47" s="93"/>
    </row>
    <row r="48" spans="2:19" s="4" customFormat="1" ht="20" customHeight="1">
      <c r="B48" s="104" t="s">
        <v>89</v>
      </c>
      <c r="C48" s="73"/>
      <c r="D48" s="117">
        <f>IF($D$14&lt;D37," ",(1+D47))</f>
        <v>1.0689051650000001</v>
      </c>
      <c r="E48" s="117">
        <f>IF($D$14&lt;E37," ",(1+D47)*(1+E47))</f>
        <v>1.1425582517636774</v>
      </c>
      <c r="F48" s="117">
        <f>IF($D$14&lt;F37," ",(1+D47)*(1+E47)*(1+F47))</f>
        <v>1.2212864166235653</v>
      </c>
      <c r="G48" s="117">
        <f>IF($D$14&lt;G37," ",(1+D47)*(1+E47)*(1+F47)*(1+G47))</f>
        <v>1.3054393586732709</v>
      </c>
      <c r="H48" s="117">
        <f>IF($D$14&lt;H37," ",(1+D47)*(1+E47)*(1+F47)*(1+G47)*(1+H47))</f>
        <v>1.395390873080147</v>
      </c>
      <c r="I48" s="117" t="str">
        <f>IF($D$14&lt;I37," ",(1+D47)*(1+E47)*(1+F47)*(1+G47)*(1+H47)*(1+I47))</f>
        <v xml:space="preserve"> </v>
      </c>
      <c r="J48" s="117" t="str">
        <f>IF($D$14&lt;J37," ",(1+D47)*(1+E47)*(1+F47)*(1+G47)*(1+H47)*(1+I47)*(1+J47))</f>
        <v xml:space="preserve"> </v>
      </c>
      <c r="K48" s="117" t="str">
        <f>IF($D$14&lt;K37," ",(1+D47)*(1+E47)*(1+F47)*(1+G47)*(1+H47)*(1+I47)*(1+J47)*(1+K47))</f>
        <v xml:space="preserve"> </v>
      </c>
      <c r="L48" s="117" t="str">
        <f>IF($D$14&lt;L37," ",(1+D47)*(1+E47)*(1+F47)*(1+G47)*(1+H47)*(1+I47)*(1+J47)*(1+K47)*(1+L47))</f>
        <v xml:space="preserve"> </v>
      </c>
      <c r="M48" s="117" t="str">
        <f>IF($D$14&lt;M37," ",(1+D47)*(1+E47)*(1+F47)*(1+G47)*(1+H47)*(1+I47)*(1+J47)*(1+K47)*(1+L47)*(1+M47))</f>
        <v xml:space="preserve"> </v>
      </c>
      <c r="N48" s="117" t="str">
        <f>IF($D$14&lt;N37," ",(1+D47)*(1+E47)*(1+F47)*(1+G47)*(1+H47)*(1+I47)*(1+J47)*(1+K47)*(1+L47)*(1+M47)*(1+N47))</f>
        <v xml:space="preserve"> </v>
      </c>
      <c r="O48" s="117" t="str">
        <f>IF($D$14&lt;O37," ",(1+D47)*(1+E47)*(1+F47)*(1+G47)*(1+H47)*(1+I47)*(1+J47)*(1+K47)*(1+L47)*(1+M47)*(1+N47)*(1+O47))</f>
        <v xml:space="preserve"> </v>
      </c>
      <c r="P48" s="95" t="str">
        <f>IF($D$14&lt;P37," ",(1+D47)*(1+E47)*(1+F47)*(1+G47)*(1+H47)*(1+I47)*(1+J47)*(1+K47)*(1+L47)*(1+M47)*(1+N47)*(1+O47)*(1+P47))</f>
        <v xml:space="preserve"> </v>
      </c>
      <c r="Q48" s="95" t="str">
        <f>IF($D$14&lt;Q37," ",(1+D47)*(1+E47)*(1+F47)*(1+G47)*(1+H47)*(1+I47)*(1+J47)*(1+K47)*(1+L47)*(1+M47)*(1+N47)*(1+O47)*(1+P47)*(1+Q47))</f>
        <v xml:space="preserve"> </v>
      </c>
      <c r="R48" s="95" t="str">
        <f>IF($D$14&lt;R37," ",(1+D47)*(1+E47)*(1+F47)*(1+G47)*(1+H47)*(1+I47)*(1+J47)*(1+K47)*(1+L47)*(1+M47)*(1+N47)*(1+O47)*(1+P47)*(1+Q47)*(1+R47))</f>
        <v xml:space="preserve"> </v>
      </c>
      <c r="S48" s="93"/>
    </row>
    <row r="49" spans="1:19" s="4" customFormat="1" ht="20" customHeight="1">
      <c r="B49" s="65" t="s">
        <v>349</v>
      </c>
      <c r="C49" s="103"/>
      <c r="D49" s="120">
        <f>IF($D$14&lt;D37," ",D46/D48)</f>
        <v>12949.883853268431</v>
      </c>
      <c r="E49" s="120">
        <f t="shared" ref="E49:R49" si="6">IF($D$14&lt;E37," ",E46/E48)</f>
        <v>12448.080352647341</v>
      </c>
      <c r="F49" s="120">
        <f t="shared" si="6"/>
        <v>11957.817749104743</v>
      </c>
      <c r="G49" s="120">
        <f t="shared" si="6"/>
        <v>11478.870849028362</v>
      </c>
      <c r="H49" s="120">
        <f t="shared" si="6"/>
        <v>11011.018507865847</v>
      </c>
      <c r="I49" s="120" t="str">
        <f t="shared" si="6"/>
        <v xml:space="preserve"> </v>
      </c>
      <c r="J49" s="120" t="str">
        <f t="shared" si="6"/>
        <v xml:space="preserve"> </v>
      </c>
      <c r="K49" s="120" t="str">
        <f t="shared" si="6"/>
        <v xml:space="preserve"> </v>
      </c>
      <c r="L49" s="120" t="str">
        <f t="shared" si="6"/>
        <v xml:space="preserve"> </v>
      </c>
      <c r="M49" s="120" t="str">
        <f t="shared" si="6"/>
        <v xml:space="preserve"> </v>
      </c>
      <c r="N49" s="120" t="str">
        <f t="shared" si="6"/>
        <v xml:space="preserve"> </v>
      </c>
      <c r="O49" s="120" t="str">
        <f t="shared" si="6"/>
        <v xml:space="preserve"> </v>
      </c>
      <c r="P49" s="103" t="str">
        <f t="shared" si="6"/>
        <v xml:space="preserve"> </v>
      </c>
      <c r="Q49" s="103" t="str">
        <f t="shared" si="6"/>
        <v xml:space="preserve"> </v>
      </c>
      <c r="R49" s="103" t="str">
        <f t="shared" si="6"/>
        <v xml:space="preserve"> </v>
      </c>
      <c r="S49" s="102"/>
    </row>
    <row r="50" spans="1:19" s="4" customFormat="1" ht="20" customHeight="1">
      <c r="D50" s="22"/>
      <c r="E50" s="9"/>
      <c r="F50" s="9"/>
      <c r="S50" s="60"/>
    </row>
    <row r="51" spans="1:19" s="4" customFormat="1" ht="20" customHeight="1">
      <c r="B51" s="4" t="s">
        <v>288</v>
      </c>
      <c r="D51" s="89">
        <f>'Master Inputs Start here'!B76</f>
        <v>2.895E-2</v>
      </c>
      <c r="E51" s="9"/>
    </row>
    <row r="52" spans="1:19" s="4" customFormat="1" ht="20" customHeight="1">
      <c r="B52" s="4" t="s">
        <v>405</v>
      </c>
      <c r="D52" s="89">
        <f>(S44+S45)/S43</f>
        <v>0.30345911949685533</v>
      </c>
      <c r="E52" s="9"/>
    </row>
    <row r="53" spans="1:19" s="4" customFormat="1" ht="20" customHeight="1">
      <c r="B53" s="4" t="s">
        <v>289</v>
      </c>
      <c r="D53" s="73">
        <f>S46</f>
        <v>18132.237695685366</v>
      </c>
      <c r="E53" s="9"/>
    </row>
    <row r="54" spans="1:19" s="4" customFormat="1" ht="20" customHeight="1">
      <c r="B54" s="4" t="s">
        <v>374</v>
      </c>
      <c r="D54" s="89">
        <f>E18+E17*E19</f>
        <v>8.6699999999999999E-2</v>
      </c>
      <c r="E54" s="9"/>
    </row>
    <row r="55" spans="1:19" s="4" customFormat="1" ht="20" customHeight="1">
      <c r="B55" s="4" t="s">
        <v>240</v>
      </c>
      <c r="D55" s="89">
        <f>1-E16</f>
        <v>0.89</v>
      </c>
      <c r="E55" s="9"/>
    </row>
    <row r="56" spans="1:19" s="4" customFormat="1" ht="20" customHeight="1">
      <c r="B56" s="4" t="s">
        <v>378</v>
      </c>
      <c r="D56" s="89">
        <f>E20*(1-E22)</f>
        <v>3.1916E-2</v>
      </c>
      <c r="E56" s="9"/>
    </row>
    <row r="57" spans="1:19" s="4" customFormat="1" ht="20" customHeight="1">
      <c r="B57" s="4" t="s">
        <v>145</v>
      </c>
      <c r="D57" s="89">
        <f>1-D55</f>
        <v>0.10999999999999999</v>
      </c>
      <c r="E57" s="9"/>
    </row>
    <row r="58" spans="1:19" s="4" customFormat="1" ht="37" customHeight="1">
      <c r="B58" s="4" t="s">
        <v>319</v>
      </c>
      <c r="D58" s="89">
        <f>D54*D55+D56*D57</f>
        <v>8.0673759999999997E-2</v>
      </c>
      <c r="E58" s="9"/>
      <c r="G58" s="17"/>
      <c r="H58" s="17"/>
      <c r="I58" s="17"/>
      <c r="J58" s="17"/>
    </row>
    <row r="59" spans="1:19" s="7" customFormat="1" ht="8" hidden="1" customHeight="1">
      <c r="B59" s="7" t="s">
        <v>101</v>
      </c>
      <c r="D59" s="103">
        <f>D53/(D58-D51)</f>
        <v>350559.15686882328</v>
      </c>
      <c r="E59" s="16"/>
      <c r="G59" s="153"/>
      <c r="H59" s="153"/>
      <c r="I59" s="153"/>
      <c r="J59" s="153"/>
    </row>
    <row r="60" spans="1:19" s="4" customFormat="1" ht="34" customHeight="1" thickBot="1">
      <c r="A60" s="283" t="s">
        <v>55</v>
      </c>
      <c r="B60" s="283"/>
      <c r="C60" s="283"/>
      <c r="D60" s="283"/>
      <c r="E60" s="283"/>
      <c r="F60" s="283"/>
      <c r="G60" s="254"/>
      <c r="H60" s="284"/>
      <c r="I60" s="284"/>
      <c r="J60" s="254"/>
      <c r="K60" s="249"/>
    </row>
    <row r="61" spans="1:19" s="4" customFormat="1" ht="20" customHeight="1">
      <c r="B61" s="7" t="s">
        <v>102</v>
      </c>
      <c r="C61" s="7"/>
      <c r="D61" s="7"/>
      <c r="E61" s="16"/>
      <c r="F61" s="258">
        <f>SUM(D49:R49)</f>
        <v>59845.671311914724</v>
      </c>
      <c r="G61" s="17"/>
      <c r="H61" s="250"/>
      <c r="I61" s="255"/>
      <c r="J61" s="211"/>
      <c r="K61" s="248"/>
      <c r="L61"/>
      <c r="M61" s="248"/>
    </row>
    <row r="62" spans="1:19" s="4" customFormat="1" ht="20" customHeight="1">
      <c r="B62" s="7" t="s">
        <v>147</v>
      </c>
      <c r="C62" s="7"/>
      <c r="D62" s="7"/>
      <c r="E62" s="16"/>
      <c r="F62" s="259">
        <f>IF('Master Inputs Start here'!B56=0,'Valuation Model'!D59,D59/MAX(D48:R48))</f>
        <v>251226.4940467962</v>
      </c>
      <c r="G62" s="256"/>
      <c r="H62" s="251"/>
      <c r="I62" s="251"/>
      <c r="J62" s="257"/>
      <c r="K62" s="248"/>
      <c r="L62" s="248"/>
      <c r="M62" s="248"/>
    </row>
    <row r="63" spans="1:19" s="4" customFormat="1" ht="20" customHeight="1">
      <c r="B63" s="7" t="s">
        <v>120</v>
      </c>
      <c r="C63" s="7"/>
      <c r="D63" s="7"/>
      <c r="E63" s="16"/>
      <c r="F63" s="259">
        <f>F61+F62</f>
        <v>311072.16535871092</v>
      </c>
      <c r="G63" s="17"/>
      <c r="H63" s="251"/>
      <c r="I63" s="251"/>
      <c r="J63" s="257"/>
      <c r="K63" s="248"/>
      <c r="L63" s="248"/>
      <c r="M63" s="248"/>
    </row>
    <row r="64" spans="1:19" s="4" customFormat="1" ht="20" customHeight="1">
      <c r="B64" s="7" t="s">
        <v>385</v>
      </c>
      <c r="C64" s="7"/>
      <c r="D64" s="7"/>
      <c r="E64" s="16"/>
      <c r="F64" s="259">
        <f>'Master Inputs Start here'!B22+'Master Inputs Start here'!B23</f>
        <v>5305</v>
      </c>
      <c r="G64" s="17"/>
      <c r="H64" s="251"/>
      <c r="I64" s="251"/>
      <c r="J64" s="257"/>
      <c r="K64" s="248"/>
      <c r="L64" s="248"/>
      <c r="M64" s="248"/>
    </row>
    <row r="65" spans="2:13" s="4" customFormat="1" ht="20" customHeight="1">
      <c r="B65" s="7" t="s">
        <v>270</v>
      </c>
      <c r="C65" s="7"/>
      <c r="D65" s="7"/>
      <c r="E65" s="16"/>
      <c r="F65" s="259">
        <f>F63+F64</f>
        <v>316377.16535871092</v>
      </c>
      <c r="G65" s="17"/>
      <c r="H65" s="251"/>
      <c r="I65" s="251"/>
      <c r="J65" s="257"/>
      <c r="K65" s="248"/>
      <c r="L65" s="248"/>
      <c r="M65" s="248"/>
    </row>
    <row r="66" spans="2:13" s="4" customFormat="1" ht="20" customHeight="1">
      <c r="B66" s="7" t="s">
        <v>148</v>
      </c>
      <c r="C66" s="7"/>
      <c r="D66" s="7"/>
      <c r="E66" s="16"/>
      <c r="F66" s="259">
        <f>IF('Master Inputs Start here'!B5="Yes",IF('Master Inputs Start here'!B27="Yes",'Master Inputs Start here'!B31+'Operating lease converter'!F35,'Master Inputs Start here'!B19+'Operating lease converter'!F35),IF('Master Inputs Start here'!B27="Yes",'Master Inputs Start here'!B31,'Master Inputs Start here'!B19))</f>
        <v>29638.765900035654</v>
      </c>
      <c r="G66" s="17"/>
      <c r="H66" s="251"/>
      <c r="I66" s="251"/>
      <c r="J66" s="257"/>
      <c r="K66" s="248"/>
      <c r="L66" s="248"/>
      <c r="M66" s="248"/>
    </row>
    <row r="67" spans="2:13" s="4" customFormat="1" ht="20" customHeight="1">
      <c r="B67" s="7" t="s">
        <v>456</v>
      </c>
      <c r="C67" s="7"/>
      <c r="D67" s="7"/>
      <c r="E67" s="16"/>
      <c r="F67" s="259">
        <f>'Master Inputs Start here'!B24</f>
        <v>0</v>
      </c>
      <c r="G67" s="17"/>
      <c r="H67" s="251"/>
      <c r="I67" s="251"/>
      <c r="J67" s="257"/>
      <c r="K67" s="248"/>
      <c r="L67" s="248"/>
      <c r="M67" s="248"/>
    </row>
    <row r="68" spans="2:13" s="4" customFormat="1" ht="20" customHeight="1">
      <c r="B68" s="7" t="s">
        <v>149</v>
      </c>
      <c r="C68" s="7"/>
      <c r="D68" s="7"/>
      <c r="E68" s="16"/>
      <c r="F68" s="259">
        <f>F65-F66-F67</f>
        <v>286738.39945867524</v>
      </c>
      <c r="G68" s="17"/>
      <c r="H68" s="251"/>
      <c r="I68" s="251"/>
      <c r="J68" s="257"/>
      <c r="K68" s="248"/>
      <c r="L68" s="248"/>
      <c r="M68" s="248"/>
    </row>
    <row r="69" spans="2:13" s="4" customFormat="1" ht="20" customHeight="1">
      <c r="B69" s="7" t="s">
        <v>203</v>
      </c>
      <c r="C69" s="7"/>
      <c r="D69" s="7"/>
      <c r="E69" s="16"/>
      <c r="F69" s="260">
        <v>1400</v>
      </c>
      <c r="G69" s="17"/>
      <c r="H69" s="251"/>
      <c r="I69" s="251"/>
      <c r="J69" s="257"/>
      <c r="K69" s="248"/>
      <c r="L69" s="248"/>
      <c r="M69" s="248"/>
    </row>
    <row r="70" spans="2:13" s="4" customFormat="1" ht="20" customHeight="1" thickBot="1">
      <c r="B70" s="7" t="s">
        <v>204</v>
      </c>
      <c r="C70" s="7"/>
      <c r="D70" s="7"/>
      <c r="E70" s="16"/>
      <c r="F70" s="260">
        <f>F68-F69</f>
        <v>285338.39945867524</v>
      </c>
      <c r="G70" s="256"/>
      <c r="H70" s="251"/>
      <c r="I70" s="251"/>
      <c r="J70" s="257"/>
      <c r="K70" s="248"/>
      <c r="L70" s="248"/>
      <c r="M70" s="248"/>
    </row>
    <row r="71" spans="2:13" s="4" customFormat="1" ht="20" customHeight="1" thickBot="1">
      <c r="B71" s="7" t="s">
        <v>119</v>
      </c>
      <c r="C71" s="7"/>
      <c r="D71" s="7"/>
      <c r="E71" s="16"/>
      <c r="F71" s="261">
        <f>F70/'Master Inputs Start here'!B30</f>
        <v>61.389500744121179</v>
      </c>
      <c r="G71" s="61"/>
      <c r="I71" s="285" t="s">
        <v>808</v>
      </c>
      <c r="J71" s="286"/>
      <c r="K71" s="286"/>
      <c r="L71" s="287"/>
    </row>
    <row r="72" spans="2:13" ht="20" customHeight="1" thickBot="1">
      <c r="B72" s="2"/>
      <c r="C72" s="2"/>
      <c r="D72" s="2"/>
      <c r="E72" s="3"/>
      <c r="F72" s="3"/>
      <c r="G72" s="2"/>
      <c r="I72" s="271" t="s">
        <v>807</v>
      </c>
      <c r="J72" s="253">
        <v>2</v>
      </c>
      <c r="K72" s="269">
        <v>5</v>
      </c>
      <c r="L72" s="270">
        <v>10</v>
      </c>
    </row>
    <row r="73" spans="2:13" ht="31" customHeight="1">
      <c r="I73" s="262">
        <v>0.25</v>
      </c>
      <c r="J73" s="263">
        <v>44.42</v>
      </c>
      <c r="K73" s="263">
        <v>46.61</v>
      </c>
      <c r="L73" s="264">
        <v>51.9</v>
      </c>
    </row>
    <row r="74" spans="2:13" ht="29" customHeight="1">
      <c r="I74" s="265">
        <v>0.316</v>
      </c>
      <c r="J74" s="263">
        <v>56.73</v>
      </c>
      <c r="K74" s="263">
        <v>60.56</v>
      </c>
      <c r="L74" s="264">
        <v>68.87</v>
      </c>
    </row>
    <row r="75" spans="2:13" ht="29" customHeight="1" thickBot="1">
      <c r="I75" s="266">
        <v>0.36</v>
      </c>
      <c r="J75" s="267">
        <v>64.930000000000007</v>
      </c>
      <c r="K75" s="267">
        <v>69.86</v>
      </c>
      <c r="L75" s="268">
        <v>80.19</v>
      </c>
    </row>
    <row r="76" spans="2:13">
      <c r="F76" s="26"/>
    </row>
    <row r="78" spans="2:13" ht="16">
      <c r="H78" s="252"/>
    </row>
    <row r="79" spans="2:13" ht="16">
      <c r="H79" s="252"/>
    </row>
    <row r="80" spans="2:13" ht="16">
      <c r="H80" s="252"/>
    </row>
    <row r="81" spans="8:8" ht="16">
      <c r="H81" s="252"/>
    </row>
  </sheetData>
  <scenarios current="0" show="0" sqref="F167">
    <scenario name="LifeHighGrowthWhat-if" locked="1" count="1" user="Aswath Damodaran" comment="Created by Aswath Damodaran on 6/21/99">
      <inputCells r="E26" undone="1" val="10" numFmtId="1"/>
    </scenario>
  </scenarios>
  <mergeCells count="5">
    <mergeCell ref="B1:J1"/>
    <mergeCell ref="F13:O13"/>
    <mergeCell ref="A60:F60"/>
    <mergeCell ref="H60:I60"/>
    <mergeCell ref="I71:L71"/>
  </mergeCells>
  <phoneticPr fontId="29" type="noConversion"/>
  <conditionalFormatting sqref="J73:L75">
    <cfRule type="colorScale" priority="1">
      <colorScale>
        <cfvo type="min"/>
        <cfvo type="percentile" val="50"/>
        <cfvo type="max"/>
        <color rgb="FFF8696B"/>
        <color rgb="FFFFEB84"/>
        <color rgb="FF63BE7B"/>
      </colorScale>
    </cfRule>
  </conditionalFormatting>
  <printOptions gridLinesSet="0"/>
  <pageMargins left="0.75" right="0.75" top="1" bottom="1" header="0.5" footer="0.5"/>
  <pageSetup scale="80" orientation="landscape" horizontalDpi="4294967292" verticalDpi="4294967292"/>
  <headerFooter alignWithMargins="0">
    <oddHeader>&amp;C Two-Stage FCFF Discount Model</oddHeader>
    <oddFooter>Page &amp;p</oddFooter>
  </headerFooter>
  <rowBreaks count="1" manualBreakCount="1">
    <brk id="25" max="16383" man="1"/>
  </rowBreaks>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2"/>
  <sheetViews>
    <sheetView topLeftCell="I1" zoomScale="125" workbookViewId="0">
      <selection activeCell="B11" sqref="B11"/>
    </sheetView>
  </sheetViews>
  <sheetFormatPr baseColWidth="10" defaultColWidth="11.42578125" defaultRowHeight="14"/>
  <cols>
    <col min="4" max="4" width="22.5703125" customWidth="1"/>
    <col min="5" max="5" width="36.5703125" customWidth="1"/>
    <col min="6" max="6" width="13.85546875" bestFit="1" customWidth="1"/>
  </cols>
  <sheetData>
    <row r="1" spans="1:10" s="24" customFormat="1" ht="19">
      <c r="A1" s="20" t="s">
        <v>292</v>
      </c>
      <c r="B1" s="20"/>
      <c r="C1" s="20"/>
      <c r="D1" s="20"/>
      <c r="E1" s="20"/>
      <c r="F1" s="20"/>
      <c r="G1" s="20"/>
      <c r="H1" s="20"/>
      <c r="I1" s="20"/>
      <c r="J1" s="20"/>
    </row>
    <row r="2" spans="1:10" s="4" customFormat="1">
      <c r="A2" s="4" t="s">
        <v>72</v>
      </c>
    </row>
    <row r="3" spans="1:10" s="4" customFormat="1">
      <c r="A3" s="4" t="s">
        <v>45</v>
      </c>
    </row>
    <row r="4" spans="1:10" s="4" customFormat="1"/>
    <row r="5" spans="1:10" s="4" customFormat="1">
      <c r="A5" s="7" t="s">
        <v>11</v>
      </c>
    </row>
    <row r="6" spans="1:10" s="4" customFormat="1">
      <c r="A6" s="4" t="s">
        <v>282</v>
      </c>
      <c r="F6" s="78">
        <v>5</v>
      </c>
      <c r="G6" s="4" t="s">
        <v>8</v>
      </c>
    </row>
    <row r="7" spans="1:10" s="4" customFormat="1">
      <c r="A7" s="4" t="s">
        <v>249</v>
      </c>
      <c r="F7" s="84">
        <v>13384</v>
      </c>
      <c r="G7" s="4" t="s">
        <v>142</v>
      </c>
    </row>
    <row r="8" spans="1:10" s="4" customFormat="1">
      <c r="A8" s="4" t="s">
        <v>296</v>
      </c>
    </row>
    <row r="9" spans="1:10" s="4" customFormat="1">
      <c r="A9" s="4" t="s">
        <v>291</v>
      </c>
    </row>
    <row r="10" spans="1:10" s="23" customFormat="1">
      <c r="A10" s="41" t="s">
        <v>277</v>
      </c>
      <c r="B10" s="41" t="s">
        <v>348</v>
      </c>
      <c r="C10" s="42"/>
      <c r="D10" s="42"/>
      <c r="E10" s="42"/>
      <c r="F10" s="42"/>
      <c r="G10" s="42"/>
      <c r="H10" s="42"/>
      <c r="I10" s="42"/>
    </row>
    <row r="11" spans="1:10" s="23" customFormat="1">
      <c r="A11" s="43">
        <v>-1</v>
      </c>
      <c r="B11" s="85">
        <v>12740</v>
      </c>
      <c r="C11" s="42" t="s">
        <v>250</v>
      </c>
      <c r="D11" s="42"/>
      <c r="E11" s="42"/>
      <c r="F11" s="42"/>
      <c r="G11" s="42"/>
      <c r="H11" s="42"/>
      <c r="I11" s="42"/>
    </row>
    <row r="12" spans="1:10" s="23" customFormat="1">
      <c r="A12" s="43">
        <f>IF((0-A11)&lt;$F$6,IF(A11&gt;-1,,A11-1),)</f>
        <v>-2</v>
      </c>
      <c r="B12" s="85">
        <v>12128</v>
      </c>
      <c r="C12" s="42" t="s">
        <v>263</v>
      </c>
      <c r="D12" s="42"/>
      <c r="E12" s="42"/>
      <c r="F12" s="42"/>
      <c r="G12" s="42"/>
      <c r="H12" s="42"/>
      <c r="I12" s="42"/>
    </row>
    <row r="13" spans="1:10" s="23" customFormat="1">
      <c r="A13" s="43">
        <f t="shared" ref="A13:A20" si="0">IF((0-A12)&lt;$F$6,IF(A12&gt;-1,,A12-1),)</f>
        <v>-3</v>
      </c>
      <c r="B13" s="85">
        <v>11537</v>
      </c>
      <c r="C13" s="42"/>
      <c r="D13" s="42"/>
      <c r="E13" s="42"/>
      <c r="F13" s="42"/>
      <c r="G13" s="42"/>
      <c r="H13" s="42"/>
      <c r="I13" s="42"/>
    </row>
    <row r="14" spans="1:10" s="23" customFormat="1">
      <c r="A14" s="43">
        <f t="shared" si="0"/>
        <v>-4</v>
      </c>
      <c r="B14" s="85">
        <v>10611</v>
      </c>
      <c r="C14" s="42"/>
      <c r="D14" s="42"/>
      <c r="E14" s="42"/>
      <c r="F14" s="42"/>
      <c r="G14" s="42"/>
      <c r="H14" s="42"/>
      <c r="I14" s="42"/>
    </row>
    <row r="15" spans="1:10" s="23" customFormat="1">
      <c r="A15" s="43">
        <f t="shared" si="0"/>
        <v>-5</v>
      </c>
      <c r="B15" s="85">
        <v>10148</v>
      </c>
      <c r="C15" s="42"/>
      <c r="D15" s="42"/>
      <c r="E15" s="42"/>
      <c r="F15" s="42"/>
      <c r="G15" s="42"/>
      <c r="H15" s="42"/>
      <c r="I15" s="42"/>
    </row>
    <row r="16" spans="1:10" s="23" customFormat="1">
      <c r="A16" s="43">
        <f t="shared" si="0"/>
        <v>0</v>
      </c>
      <c r="B16" s="85"/>
      <c r="C16" s="42"/>
      <c r="D16" s="42"/>
      <c r="E16" s="42"/>
      <c r="F16" s="42"/>
      <c r="G16" s="42"/>
      <c r="H16" s="42"/>
      <c r="I16" s="42"/>
    </row>
    <row r="17" spans="1:9" s="23" customFormat="1">
      <c r="A17" s="43">
        <f t="shared" si="0"/>
        <v>0</v>
      </c>
      <c r="B17" s="85"/>
      <c r="C17" s="42"/>
      <c r="D17" s="42"/>
      <c r="E17" s="42"/>
      <c r="F17" s="42"/>
      <c r="G17" s="42"/>
      <c r="H17" s="42"/>
      <c r="I17" s="42"/>
    </row>
    <row r="18" spans="1:9" s="23" customFormat="1">
      <c r="A18" s="43">
        <f t="shared" si="0"/>
        <v>0</v>
      </c>
      <c r="B18" s="85"/>
      <c r="C18" s="42"/>
      <c r="D18" s="42"/>
      <c r="E18" s="42"/>
      <c r="F18" s="42"/>
      <c r="G18" s="42"/>
      <c r="H18" s="42"/>
      <c r="I18" s="42"/>
    </row>
    <row r="19" spans="1:9" s="23" customFormat="1">
      <c r="A19" s="43">
        <f t="shared" si="0"/>
        <v>0</v>
      </c>
      <c r="B19" s="85"/>
      <c r="C19" s="42"/>
      <c r="D19" s="42"/>
      <c r="E19" s="42"/>
      <c r="F19" s="42"/>
      <c r="G19" s="42"/>
      <c r="H19" s="42"/>
      <c r="I19" s="42"/>
    </row>
    <row r="20" spans="1:9" s="23" customFormat="1">
      <c r="A20" s="43">
        <f t="shared" si="0"/>
        <v>0</v>
      </c>
      <c r="B20" s="85"/>
      <c r="C20" s="42"/>
      <c r="D20" s="42"/>
      <c r="E20" s="42"/>
      <c r="F20" s="42"/>
      <c r="G20" s="42"/>
      <c r="H20" s="42"/>
      <c r="I20" s="42"/>
    </row>
    <row r="21" spans="1:9" s="23" customFormat="1">
      <c r="A21" s="42"/>
      <c r="B21" s="42"/>
      <c r="C21" s="42"/>
      <c r="D21" s="42"/>
      <c r="E21" s="42"/>
      <c r="F21" s="42"/>
      <c r="G21" s="42"/>
      <c r="H21" s="42"/>
      <c r="I21" s="42"/>
    </row>
    <row r="22" spans="1:9" s="23" customFormat="1">
      <c r="A22" s="44" t="s">
        <v>233</v>
      </c>
      <c r="B22" s="42"/>
      <c r="C22" s="42"/>
      <c r="D22" s="42"/>
      <c r="E22" s="42"/>
      <c r="F22" s="42"/>
      <c r="G22" s="42"/>
      <c r="H22" s="42"/>
      <c r="I22" s="42"/>
    </row>
    <row r="23" spans="1:9" s="23" customFormat="1">
      <c r="A23" s="41" t="s">
        <v>277</v>
      </c>
      <c r="B23" s="41" t="s">
        <v>287</v>
      </c>
      <c r="C23" s="45" t="s">
        <v>237</v>
      </c>
      <c r="D23" s="46"/>
      <c r="E23" s="42" t="s">
        <v>367</v>
      </c>
      <c r="F23" s="42"/>
      <c r="G23" s="42"/>
      <c r="H23" s="42"/>
      <c r="I23" s="42"/>
    </row>
    <row r="24" spans="1:9" s="23" customFormat="1">
      <c r="A24" s="41" t="s">
        <v>54</v>
      </c>
      <c r="B24" s="41">
        <f>F7</f>
        <v>13384</v>
      </c>
      <c r="C24" s="41">
        <f>1</f>
        <v>1</v>
      </c>
      <c r="D24" s="41">
        <f>B24*C24</f>
        <v>13384</v>
      </c>
      <c r="E24" s="42"/>
      <c r="F24" s="42"/>
      <c r="G24" s="42"/>
      <c r="H24" s="42"/>
      <c r="I24" s="42"/>
    </row>
    <row r="25" spans="1:9" s="23" customFormat="1">
      <c r="A25" s="43">
        <f>A11</f>
        <v>-1</v>
      </c>
      <c r="B25" s="41">
        <f>B11</f>
        <v>12740</v>
      </c>
      <c r="C25" s="41">
        <f>IF(A25&lt;0,($F$6+A25)/$F$6,0)</f>
        <v>0.8</v>
      </c>
      <c r="D25" s="41">
        <f>B25*C25</f>
        <v>10192</v>
      </c>
      <c r="E25" s="114">
        <f t="shared" ref="E25:E34" si="1">IF(A25&lt;0,B25/$F$6,0)</f>
        <v>2548</v>
      </c>
      <c r="F25" s="42"/>
      <c r="G25" s="42"/>
      <c r="H25" s="42"/>
      <c r="I25" s="42"/>
    </row>
    <row r="26" spans="1:9" s="23" customFormat="1">
      <c r="A26" s="43">
        <f t="shared" ref="A26:B34" si="2">A12</f>
        <v>-2</v>
      </c>
      <c r="B26" s="41">
        <f t="shared" si="2"/>
        <v>12128</v>
      </c>
      <c r="C26" s="41">
        <f>IF(A26&lt;0,($F$6+A26)/$F$6,0)</f>
        <v>0.6</v>
      </c>
      <c r="D26" s="41">
        <f t="shared" ref="D26:D34" si="3">B26*C26</f>
        <v>7276.8</v>
      </c>
      <c r="E26" s="114">
        <f t="shared" si="1"/>
        <v>2425.6</v>
      </c>
      <c r="F26" s="42"/>
      <c r="G26" s="42"/>
      <c r="H26" s="42"/>
      <c r="I26" s="42"/>
    </row>
    <row r="27" spans="1:9" s="23" customFormat="1">
      <c r="A27" s="43">
        <f t="shared" si="2"/>
        <v>-3</v>
      </c>
      <c r="B27" s="41">
        <f t="shared" si="2"/>
        <v>11537</v>
      </c>
      <c r="C27" s="41">
        <f>IF(A27&lt;0,($F$6+A27)/$F$6,0)</f>
        <v>0.4</v>
      </c>
      <c r="D27" s="41">
        <f t="shared" si="3"/>
        <v>4614.8</v>
      </c>
      <c r="E27" s="114">
        <f t="shared" si="1"/>
        <v>2307.4</v>
      </c>
      <c r="F27" s="42"/>
      <c r="G27" s="42"/>
      <c r="H27" s="42"/>
      <c r="I27" s="42"/>
    </row>
    <row r="28" spans="1:9" s="23" customFormat="1">
      <c r="A28" s="43">
        <f t="shared" si="2"/>
        <v>-4</v>
      </c>
      <c r="B28" s="41">
        <f t="shared" si="2"/>
        <v>10611</v>
      </c>
      <c r="C28" s="41">
        <f t="shared" ref="C28:C34" si="4">IF(A28&lt;0,($F$6+A28)/$F$6,0)</f>
        <v>0.2</v>
      </c>
      <c r="D28" s="41">
        <f t="shared" si="3"/>
        <v>2122.2000000000003</v>
      </c>
      <c r="E28" s="114">
        <f t="shared" si="1"/>
        <v>2122.1999999999998</v>
      </c>
      <c r="F28" s="42"/>
      <c r="G28" s="42"/>
      <c r="H28" s="42"/>
      <c r="I28" s="42"/>
    </row>
    <row r="29" spans="1:9" s="23" customFormat="1">
      <c r="A29" s="43">
        <f t="shared" si="2"/>
        <v>-5</v>
      </c>
      <c r="B29" s="41">
        <f t="shared" si="2"/>
        <v>10148</v>
      </c>
      <c r="C29" s="41">
        <f t="shared" si="4"/>
        <v>0</v>
      </c>
      <c r="D29" s="41">
        <f t="shared" si="3"/>
        <v>0</v>
      </c>
      <c r="E29" s="114">
        <f t="shared" si="1"/>
        <v>2029.6</v>
      </c>
      <c r="F29" s="42"/>
      <c r="G29" s="42"/>
      <c r="H29" s="42"/>
      <c r="I29" s="42"/>
    </row>
    <row r="30" spans="1:9" s="23" customFormat="1">
      <c r="A30" s="43">
        <f t="shared" si="2"/>
        <v>0</v>
      </c>
      <c r="B30" s="41">
        <f t="shared" si="2"/>
        <v>0</v>
      </c>
      <c r="C30" s="41">
        <f t="shared" si="4"/>
        <v>0</v>
      </c>
      <c r="D30" s="41">
        <f t="shared" si="3"/>
        <v>0</v>
      </c>
      <c r="E30" s="114">
        <f t="shared" si="1"/>
        <v>0</v>
      </c>
      <c r="F30" s="42"/>
      <c r="G30" s="42"/>
      <c r="H30" s="42"/>
      <c r="I30" s="42"/>
    </row>
    <row r="31" spans="1:9" s="23" customFormat="1">
      <c r="A31" s="43">
        <f t="shared" si="2"/>
        <v>0</v>
      </c>
      <c r="B31" s="41">
        <f t="shared" si="2"/>
        <v>0</v>
      </c>
      <c r="C31" s="41">
        <f t="shared" si="4"/>
        <v>0</v>
      </c>
      <c r="D31" s="41">
        <f t="shared" si="3"/>
        <v>0</v>
      </c>
      <c r="E31" s="114">
        <f t="shared" si="1"/>
        <v>0</v>
      </c>
      <c r="F31" s="42"/>
      <c r="G31" s="42"/>
      <c r="H31" s="42"/>
      <c r="I31" s="42"/>
    </row>
    <row r="32" spans="1:9" s="23" customFormat="1">
      <c r="A32" s="43">
        <f t="shared" si="2"/>
        <v>0</v>
      </c>
      <c r="B32" s="41">
        <f t="shared" si="2"/>
        <v>0</v>
      </c>
      <c r="C32" s="41">
        <f t="shared" si="4"/>
        <v>0</v>
      </c>
      <c r="D32" s="41">
        <f t="shared" si="3"/>
        <v>0</v>
      </c>
      <c r="E32" s="114">
        <f t="shared" si="1"/>
        <v>0</v>
      </c>
      <c r="F32" s="42"/>
      <c r="G32" s="42"/>
      <c r="H32" s="42"/>
      <c r="I32" s="42"/>
    </row>
    <row r="33" spans="1:9" s="23" customFormat="1">
      <c r="A33" s="43">
        <f t="shared" si="2"/>
        <v>0</v>
      </c>
      <c r="B33" s="41">
        <f t="shared" si="2"/>
        <v>0</v>
      </c>
      <c r="C33" s="41">
        <f t="shared" si="4"/>
        <v>0</v>
      </c>
      <c r="D33" s="41">
        <f t="shared" si="3"/>
        <v>0</v>
      </c>
      <c r="E33" s="114">
        <f t="shared" si="1"/>
        <v>0</v>
      </c>
      <c r="F33" s="42"/>
      <c r="G33" s="42"/>
      <c r="H33" s="42"/>
      <c r="I33" s="42"/>
    </row>
    <row r="34" spans="1:9" s="23" customFormat="1" ht="16" customHeight="1" thickBot="1">
      <c r="A34" s="43">
        <f t="shared" si="2"/>
        <v>0</v>
      </c>
      <c r="B34" s="41">
        <f t="shared" si="2"/>
        <v>0</v>
      </c>
      <c r="C34" s="41">
        <f t="shared" si="4"/>
        <v>0</v>
      </c>
      <c r="D34" s="47">
        <f t="shared" si="3"/>
        <v>0</v>
      </c>
      <c r="E34" s="115">
        <f t="shared" si="1"/>
        <v>0</v>
      </c>
      <c r="F34" s="42"/>
      <c r="G34" s="42"/>
      <c r="H34" s="42"/>
      <c r="I34" s="42"/>
    </row>
    <row r="35" spans="1:9" s="4" customFormat="1" ht="15" thickBot="1">
      <c r="A35" s="4" t="s">
        <v>121</v>
      </c>
      <c r="D35" s="40">
        <f>SUM(D24:D34)</f>
        <v>37589.799999999996</v>
      </c>
      <c r="E35" s="112">
        <f>SUM(E25:E34)</f>
        <v>11432.800000000001</v>
      </c>
    </row>
    <row r="36" spans="1:9" ht="15" thickBot="1"/>
    <row r="37" spans="1:9" s="4" customFormat="1" ht="15" thickBot="1">
      <c r="A37" s="4" t="s">
        <v>33</v>
      </c>
      <c r="D37" s="40">
        <f>E35</f>
        <v>11432.800000000001</v>
      </c>
    </row>
    <row r="38" spans="1:9" s="4" customFormat="1" ht="15" thickBot="1"/>
    <row r="39" spans="1:9" s="4" customFormat="1">
      <c r="A39" s="4" t="s">
        <v>361</v>
      </c>
      <c r="D39" s="58">
        <f>F7-D37</f>
        <v>1951.1999999999989</v>
      </c>
      <c r="E39" s="4" t="s">
        <v>421</v>
      </c>
    </row>
    <row r="40" spans="1:9">
      <c r="A40" t="s">
        <v>391</v>
      </c>
      <c r="D40" s="59">
        <f>(F7-D37)*'Master Inputs Start here'!B15</f>
        <v>409.75199999999978</v>
      </c>
      <c r="E40" s="4"/>
    </row>
    <row r="43" spans="1:9" s="39" customFormat="1" ht="12">
      <c r="A43" s="39" t="s">
        <v>199</v>
      </c>
    </row>
    <row r="44" spans="1:9" s="4" customFormat="1">
      <c r="A44" s="8" t="s">
        <v>173</v>
      </c>
      <c r="B44" s="8" t="s">
        <v>343</v>
      </c>
    </row>
    <row r="45" spans="1:9" s="4" customFormat="1">
      <c r="A45" s="4" t="s">
        <v>174</v>
      </c>
      <c r="B45" s="4">
        <v>2</v>
      </c>
    </row>
    <row r="46" spans="1:9" s="4" customFormat="1">
      <c r="A46" s="4" t="s">
        <v>388</v>
      </c>
      <c r="B46" s="4">
        <v>10</v>
      </c>
      <c r="D46" s="4" t="s">
        <v>95</v>
      </c>
      <c r="F46" s="4" t="s">
        <v>258</v>
      </c>
    </row>
    <row r="47" spans="1:9" s="4" customFormat="1">
      <c r="A47" s="4" t="s">
        <v>273</v>
      </c>
      <c r="B47" s="4">
        <v>10</v>
      </c>
      <c r="D47" s="4" t="s">
        <v>259</v>
      </c>
      <c r="F47" s="4" t="s">
        <v>103</v>
      </c>
    </row>
    <row r="48" spans="1:9" s="4" customFormat="1">
      <c r="A48" s="4" t="s">
        <v>274</v>
      </c>
      <c r="B48" s="4">
        <v>5</v>
      </c>
      <c r="D48" s="4" t="s">
        <v>140</v>
      </c>
      <c r="F48" s="4" t="s">
        <v>141</v>
      </c>
    </row>
    <row r="49" spans="1:6" s="4" customFormat="1">
      <c r="A49" s="4" t="s">
        <v>275</v>
      </c>
      <c r="B49" s="4">
        <v>3</v>
      </c>
      <c r="D49" s="4" t="s">
        <v>355</v>
      </c>
      <c r="F49" s="4" t="s">
        <v>186</v>
      </c>
    </row>
    <row r="50" spans="1:6" s="4" customFormat="1">
      <c r="A50" s="4" t="s">
        <v>325</v>
      </c>
      <c r="B50" s="4">
        <v>10</v>
      </c>
      <c r="D50" s="4" t="s">
        <v>104</v>
      </c>
      <c r="F50" s="4" t="s">
        <v>186</v>
      </c>
    </row>
    <row r="51" spans="1:6" s="4" customFormat="1">
      <c r="A51" s="4" t="s">
        <v>293</v>
      </c>
      <c r="B51" s="4">
        <v>5</v>
      </c>
      <c r="D51" s="4" t="s">
        <v>105</v>
      </c>
      <c r="F51" s="4" t="s">
        <v>186</v>
      </c>
    </row>
    <row r="52" spans="1:6" s="4" customFormat="1">
      <c r="A52" s="4" t="s">
        <v>156</v>
      </c>
      <c r="B52" s="4">
        <v>5</v>
      </c>
    </row>
    <row r="53" spans="1:6" s="4" customFormat="1">
      <c r="A53" s="4" t="s">
        <v>157</v>
      </c>
      <c r="B53" s="4">
        <v>2</v>
      </c>
    </row>
    <row r="54" spans="1:6" s="4" customFormat="1">
      <c r="A54" s="4" t="s">
        <v>158</v>
      </c>
      <c r="B54" s="4">
        <v>2</v>
      </c>
    </row>
    <row r="55" spans="1:6" s="4" customFormat="1">
      <c r="A55" s="4" t="s">
        <v>423</v>
      </c>
      <c r="B55" s="4">
        <v>2</v>
      </c>
    </row>
    <row r="56" spans="1:6" s="4" customFormat="1">
      <c r="A56" s="4" t="s">
        <v>424</v>
      </c>
      <c r="B56" s="4">
        <v>2</v>
      </c>
    </row>
    <row r="57" spans="1:6" s="4" customFormat="1">
      <c r="A57" s="4" t="s">
        <v>317</v>
      </c>
      <c r="B57" s="4">
        <v>3</v>
      </c>
    </row>
    <row r="58" spans="1:6" s="4" customFormat="1">
      <c r="A58" s="4" t="s">
        <v>294</v>
      </c>
      <c r="B58" s="4">
        <v>3</v>
      </c>
    </row>
    <row r="59" spans="1:6" s="4" customFormat="1">
      <c r="A59" s="4" t="s">
        <v>295</v>
      </c>
      <c r="B59" s="4">
        <v>5</v>
      </c>
    </row>
    <row r="60" spans="1:6" s="4" customFormat="1">
      <c r="A60" s="4" t="s">
        <v>425</v>
      </c>
      <c r="B60" s="4">
        <v>10</v>
      </c>
    </row>
    <row r="61" spans="1:6" s="4" customFormat="1">
      <c r="A61" s="4" t="s">
        <v>426</v>
      </c>
      <c r="B61" s="4">
        <v>10</v>
      </c>
    </row>
    <row r="62" spans="1:6" s="4" customFormat="1">
      <c r="A62" s="4" t="s">
        <v>427</v>
      </c>
      <c r="B62" s="4">
        <v>10</v>
      </c>
    </row>
    <row r="63" spans="1:6" s="4" customFormat="1">
      <c r="A63" s="4" t="s">
        <v>334</v>
      </c>
      <c r="B63" s="4">
        <v>10</v>
      </c>
    </row>
    <row r="64" spans="1:6" s="4" customFormat="1">
      <c r="A64" s="4" t="s">
        <v>335</v>
      </c>
      <c r="B64" s="4">
        <v>10</v>
      </c>
    </row>
    <row r="65" spans="1:2" s="4" customFormat="1">
      <c r="A65" s="4" t="s">
        <v>23</v>
      </c>
      <c r="B65" s="4">
        <v>10</v>
      </c>
    </row>
    <row r="66" spans="1:2" s="4" customFormat="1">
      <c r="A66" s="4" t="s">
        <v>24</v>
      </c>
      <c r="B66" s="4">
        <v>5</v>
      </c>
    </row>
    <row r="67" spans="1:2" s="4" customFormat="1">
      <c r="A67" s="4" t="s">
        <v>25</v>
      </c>
      <c r="B67" s="4">
        <v>5</v>
      </c>
    </row>
    <row r="68" spans="1:2" s="4" customFormat="1">
      <c r="A68" s="4" t="s">
        <v>26</v>
      </c>
      <c r="B68" s="4">
        <v>3</v>
      </c>
    </row>
    <row r="69" spans="1:2" s="4" customFormat="1">
      <c r="A69" s="4" t="s">
        <v>27</v>
      </c>
      <c r="B69" s="4">
        <v>5</v>
      </c>
    </row>
    <row r="70" spans="1:2" s="4" customFormat="1">
      <c r="A70" s="4" t="s">
        <v>66</v>
      </c>
      <c r="B70" s="4">
        <v>5</v>
      </c>
    </row>
    <row r="71" spans="1:2" s="4" customFormat="1">
      <c r="A71" s="4" t="s">
        <v>67</v>
      </c>
      <c r="B71" s="4">
        <v>10</v>
      </c>
    </row>
    <row r="72" spans="1:2" s="4" customFormat="1">
      <c r="A72" s="4" t="s">
        <v>68</v>
      </c>
      <c r="B72" s="4">
        <v>3</v>
      </c>
    </row>
    <row r="73" spans="1:2" s="4" customFormat="1">
      <c r="A73" s="4" t="s">
        <v>69</v>
      </c>
      <c r="B73" s="4">
        <v>3</v>
      </c>
    </row>
    <row r="74" spans="1:2" s="4" customFormat="1">
      <c r="A74" s="4" t="s">
        <v>209</v>
      </c>
      <c r="B74" s="4">
        <v>10</v>
      </c>
    </row>
    <row r="75" spans="1:2" s="4" customFormat="1">
      <c r="A75" s="4" t="s">
        <v>44</v>
      </c>
      <c r="B75" s="4">
        <v>10</v>
      </c>
    </row>
    <row r="76" spans="1:2" s="4" customFormat="1">
      <c r="A76" s="4" t="s">
        <v>1</v>
      </c>
      <c r="B76" s="4">
        <v>10</v>
      </c>
    </row>
    <row r="77" spans="1:2" s="4" customFormat="1">
      <c r="A77" s="4" t="s">
        <v>85</v>
      </c>
      <c r="B77" s="4">
        <v>10</v>
      </c>
    </row>
    <row r="78" spans="1:2" s="4" customFormat="1">
      <c r="A78" s="4" t="s">
        <v>272</v>
      </c>
      <c r="B78" s="4">
        <v>5</v>
      </c>
    </row>
    <row r="79" spans="1:2" s="4" customFormat="1">
      <c r="A79" s="4" t="s">
        <v>418</v>
      </c>
      <c r="B79" s="4">
        <v>3</v>
      </c>
    </row>
    <row r="80" spans="1:2" s="4" customFormat="1">
      <c r="A80" s="4" t="s">
        <v>419</v>
      </c>
      <c r="B80" s="4">
        <v>5</v>
      </c>
    </row>
    <row r="81" spans="1:2" s="4" customFormat="1">
      <c r="A81" s="4" t="s">
        <v>97</v>
      </c>
      <c r="B81" s="4">
        <v>2</v>
      </c>
    </row>
    <row r="82" spans="1:2" s="4" customFormat="1">
      <c r="A82" s="4" t="s">
        <v>386</v>
      </c>
      <c r="B82" s="4">
        <v>3</v>
      </c>
    </row>
    <row r="83" spans="1:2" s="4" customFormat="1">
      <c r="A83" s="4" t="s">
        <v>387</v>
      </c>
      <c r="B83" s="4">
        <v>3</v>
      </c>
    </row>
    <row r="84" spans="1:2" s="4" customFormat="1">
      <c r="A84" s="4" t="s">
        <v>420</v>
      </c>
      <c r="B84" s="4">
        <v>5</v>
      </c>
    </row>
    <row r="85" spans="1:2" s="4" customFormat="1">
      <c r="A85" s="4" t="s">
        <v>402</v>
      </c>
      <c r="B85" s="4">
        <v>10</v>
      </c>
    </row>
    <row r="86" spans="1:2" s="4" customFormat="1">
      <c r="A86" s="4" t="s">
        <v>403</v>
      </c>
      <c r="B86" s="4">
        <v>3</v>
      </c>
    </row>
    <row r="87" spans="1:2" s="4" customFormat="1">
      <c r="A87" s="4" t="s">
        <v>345</v>
      </c>
      <c r="B87" s="4">
        <v>5</v>
      </c>
    </row>
    <row r="88" spans="1:2" s="4" customFormat="1">
      <c r="A88" s="4" t="s">
        <v>346</v>
      </c>
      <c r="B88" s="4">
        <v>2</v>
      </c>
    </row>
    <row r="89" spans="1:2" s="4" customFormat="1">
      <c r="A89" s="4" t="s">
        <v>347</v>
      </c>
      <c r="B89" s="4">
        <v>3</v>
      </c>
    </row>
    <row r="90" spans="1:2" s="4" customFormat="1">
      <c r="A90" s="4" t="s">
        <v>316</v>
      </c>
      <c r="B90" s="4">
        <v>5</v>
      </c>
    </row>
    <row r="91" spans="1:2" s="4" customFormat="1">
      <c r="A91" s="4" t="s">
        <v>329</v>
      </c>
      <c r="B91" s="4">
        <v>5</v>
      </c>
    </row>
    <row r="92" spans="1:2" s="4" customFormat="1">
      <c r="A92" s="4" t="s">
        <v>330</v>
      </c>
      <c r="B92" s="4">
        <v>3</v>
      </c>
    </row>
    <row r="93" spans="1:2" s="4" customFormat="1">
      <c r="A93" s="4" t="s">
        <v>342</v>
      </c>
      <c r="B93" s="4">
        <v>3</v>
      </c>
    </row>
    <row r="94" spans="1:2" s="4" customFormat="1">
      <c r="A94" s="4" t="s">
        <v>357</v>
      </c>
      <c r="B94" s="4">
        <v>3</v>
      </c>
    </row>
    <row r="95" spans="1:2" s="4" customFormat="1">
      <c r="A95" s="4" t="s">
        <v>62</v>
      </c>
      <c r="B95" s="4">
        <v>3</v>
      </c>
    </row>
    <row r="96" spans="1:2" s="4" customFormat="1">
      <c r="A96" s="4" t="s">
        <v>234</v>
      </c>
      <c r="B96" s="4">
        <v>3</v>
      </c>
    </row>
    <row r="97" spans="1:2" s="4" customFormat="1">
      <c r="A97" s="4" t="s">
        <v>130</v>
      </c>
      <c r="B97" s="4">
        <v>3</v>
      </c>
    </row>
    <row r="98" spans="1:2" s="4" customFormat="1">
      <c r="A98" s="4" t="s">
        <v>131</v>
      </c>
      <c r="B98" s="4">
        <v>3</v>
      </c>
    </row>
    <row r="99" spans="1:2" s="4" customFormat="1">
      <c r="A99" s="4" t="s">
        <v>132</v>
      </c>
      <c r="B99" s="4">
        <v>3</v>
      </c>
    </row>
    <row r="100" spans="1:2" s="4" customFormat="1">
      <c r="A100" s="4" t="s">
        <v>133</v>
      </c>
      <c r="B100" s="4">
        <v>3</v>
      </c>
    </row>
    <row r="101" spans="1:2" s="4" customFormat="1">
      <c r="A101" s="4" t="s">
        <v>134</v>
      </c>
      <c r="B101" s="4">
        <v>3</v>
      </c>
    </row>
    <row r="102" spans="1:2" s="4" customFormat="1">
      <c r="A102" s="4" t="s">
        <v>135</v>
      </c>
      <c r="B102" s="4">
        <v>10</v>
      </c>
    </row>
    <row r="103" spans="1:2" s="4" customFormat="1">
      <c r="A103" s="4" t="s">
        <v>43</v>
      </c>
      <c r="B103" s="4">
        <v>5</v>
      </c>
    </row>
    <row r="104" spans="1:2" s="4" customFormat="1">
      <c r="A104" s="4" t="s">
        <v>399</v>
      </c>
      <c r="B104" s="4">
        <v>10</v>
      </c>
    </row>
    <row r="105" spans="1:2" s="4" customFormat="1">
      <c r="A105" s="4" t="s">
        <v>184</v>
      </c>
      <c r="B105" s="4">
        <v>3</v>
      </c>
    </row>
    <row r="106" spans="1:2" s="4" customFormat="1">
      <c r="A106" s="4" t="s">
        <v>15</v>
      </c>
      <c r="B106" s="4">
        <v>5</v>
      </c>
    </row>
    <row r="107" spans="1:2" s="4" customFormat="1">
      <c r="A107" s="4" t="s">
        <v>117</v>
      </c>
      <c r="B107" s="4">
        <v>10</v>
      </c>
    </row>
    <row r="108" spans="1:2" s="4" customFormat="1">
      <c r="A108" s="4" t="s">
        <v>118</v>
      </c>
      <c r="B108" s="4">
        <v>5</v>
      </c>
    </row>
    <row r="109" spans="1:2" s="4" customFormat="1">
      <c r="A109" s="4" t="s">
        <v>368</v>
      </c>
      <c r="B109" s="4">
        <v>10</v>
      </c>
    </row>
    <row r="110" spans="1:2" s="4" customFormat="1">
      <c r="A110" s="4" t="s">
        <v>219</v>
      </c>
      <c r="B110" s="4">
        <v>10</v>
      </c>
    </row>
    <row r="111" spans="1:2" s="4" customFormat="1">
      <c r="A111" s="4" t="s">
        <v>220</v>
      </c>
      <c r="B111" s="4">
        <v>3</v>
      </c>
    </row>
    <row r="112" spans="1:2" s="4" customFormat="1">
      <c r="A112" s="4" t="s">
        <v>42</v>
      </c>
      <c r="B112" s="4">
        <v>5</v>
      </c>
    </row>
    <row r="113" spans="1:2" s="4" customFormat="1">
      <c r="A113" s="4" t="s">
        <v>65</v>
      </c>
      <c r="B113" s="4">
        <v>5</v>
      </c>
    </row>
    <row r="114" spans="1:2" s="4" customFormat="1">
      <c r="A114" s="4" t="s">
        <v>324</v>
      </c>
      <c r="B114" s="4">
        <v>5</v>
      </c>
    </row>
    <row r="115" spans="1:2" s="4" customFormat="1">
      <c r="A115" s="4" t="s">
        <v>77</v>
      </c>
      <c r="B115" s="4">
        <v>10</v>
      </c>
    </row>
    <row r="116" spans="1:2" s="4" customFormat="1">
      <c r="A116" s="4" t="s">
        <v>107</v>
      </c>
      <c r="B116" s="4">
        <v>5</v>
      </c>
    </row>
    <row r="117" spans="1:2" s="4" customFormat="1">
      <c r="A117" s="4" t="s">
        <v>137</v>
      </c>
      <c r="B117" s="4">
        <v>5</v>
      </c>
    </row>
    <row r="118" spans="1:2" s="4" customFormat="1">
      <c r="A118" s="4" t="s">
        <v>159</v>
      </c>
      <c r="B118" s="4">
        <v>5</v>
      </c>
    </row>
    <row r="119" spans="1:2" s="4" customFormat="1">
      <c r="A119" s="4" t="s">
        <v>160</v>
      </c>
      <c r="B119" s="4">
        <v>3</v>
      </c>
    </row>
    <row r="120" spans="1:2" s="4" customFormat="1">
      <c r="A120" s="4" t="s">
        <v>214</v>
      </c>
      <c r="B120" s="4">
        <v>3</v>
      </c>
    </row>
    <row r="121" spans="1:2" s="4" customFormat="1">
      <c r="A121" s="4" t="s">
        <v>215</v>
      </c>
      <c r="B121" s="4">
        <v>5</v>
      </c>
    </row>
    <row r="122" spans="1:2" s="4" customFormat="1">
      <c r="A122" s="4" t="s">
        <v>216</v>
      </c>
      <c r="B122" s="4">
        <v>5</v>
      </c>
    </row>
    <row r="123" spans="1:2" s="4" customFormat="1">
      <c r="A123" s="4" t="s">
        <v>198</v>
      </c>
      <c r="B123" s="4">
        <v>2</v>
      </c>
    </row>
    <row r="124" spans="1:2" s="4" customFormat="1">
      <c r="A124" s="4" t="s">
        <v>260</v>
      </c>
      <c r="B124" s="4">
        <v>2</v>
      </c>
    </row>
    <row r="125" spans="1:2" s="4" customFormat="1">
      <c r="A125" s="4" t="s">
        <v>261</v>
      </c>
      <c r="B125" s="4">
        <v>2</v>
      </c>
    </row>
    <row r="126" spans="1:2" s="4" customFormat="1">
      <c r="A126" s="4" t="s">
        <v>262</v>
      </c>
      <c r="B126" s="4">
        <v>2</v>
      </c>
    </row>
    <row r="127" spans="1:2" s="4" customFormat="1">
      <c r="A127" s="4" t="s">
        <v>276</v>
      </c>
      <c r="B127" s="4">
        <v>2</v>
      </c>
    </row>
    <row r="128" spans="1:2" s="4" customFormat="1">
      <c r="A128" s="145" t="s">
        <v>221</v>
      </c>
      <c r="B128" s="145">
        <v>5</v>
      </c>
    </row>
    <row r="129" spans="1:2" s="4" customFormat="1">
      <c r="A129" s="4" t="s">
        <v>222</v>
      </c>
      <c r="B129" s="4">
        <v>5</v>
      </c>
    </row>
    <row r="130" spans="1:2" s="4" customFormat="1">
      <c r="A130" s="4" t="s">
        <v>340</v>
      </c>
      <c r="B130" s="4">
        <v>3</v>
      </c>
    </row>
    <row r="131" spans="1:2" s="4" customFormat="1">
      <c r="A131" s="4" t="s">
        <v>341</v>
      </c>
      <c r="B131" s="4">
        <v>5</v>
      </c>
    </row>
    <row r="132" spans="1:2" s="4" customFormat="1">
      <c r="A132" s="4" t="s">
        <v>231</v>
      </c>
      <c r="B132" s="4">
        <v>5</v>
      </c>
    </row>
    <row r="133" spans="1:2" s="4" customFormat="1">
      <c r="A133" s="4" t="s">
        <v>17</v>
      </c>
      <c r="B133" s="4">
        <v>10</v>
      </c>
    </row>
    <row r="134" spans="1:2" s="4" customFormat="1">
      <c r="A134" s="4" t="s">
        <v>75</v>
      </c>
      <c r="B134" s="4">
        <v>5</v>
      </c>
    </row>
    <row r="135" spans="1:2" s="4" customFormat="1">
      <c r="A135" s="4" t="s">
        <v>407</v>
      </c>
      <c r="B135" s="4">
        <v>5</v>
      </c>
    </row>
    <row r="136" spans="1:2" s="4" customFormat="1">
      <c r="A136" s="4" t="s">
        <v>73</v>
      </c>
      <c r="B136" s="4">
        <v>2</v>
      </c>
    </row>
    <row r="137" spans="1:2" s="4" customFormat="1">
      <c r="A137" s="4" t="s">
        <v>398</v>
      </c>
      <c r="B137" s="4">
        <v>5</v>
      </c>
    </row>
    <row r="138" spans="1:2" s="4" customFormat="1">
      <c r="A138" s="4" t="s">
        <v>278</v>
      </c>
      <c r="B138" s="4">
        <v>5</v>
      </c>
    </row>
    <row r="139" spans="1:2" s="4" customFormat="1">
      <c r="A139" s="4" t="s">
        <v>397</v>
      </c>
      <c r="B139" s="4">
        <v>3</v>
      </c>
    </row>
    <row r="140" spans="1:2" s="4" customFormat="1">
      <c r="A140" s="4" t="s">
        <v>226</v>
      </c>
      <c r="B140" s="4">
        <v>5</v>
      </c>
    </row>
    <row r="141" spans="1:2" s="4" customFormat="1">
      <c r="A141" s="4" t="s">
        <v>227</v>
      </c>
      <c r="B141" s="4">
        <v>10</v>
      </c>
    </row>
    <row r="142" spans="1:2" s="4" customFormat="1">
      <c r="A142" s="4" t="s">
        <v>138</v>
      </c>
      <c r="B142" s="4">
        <v>10</v>
      </c>
    </row>
  </sheetData>
  <phoneticPr fontId="29" type="noConversion"/>
  <conditionalFormatting sqref="B11:B20">
    <cfRule type="cellIs" dxfId="0" priority="1" stopIfTrue="1" operator="equal">
      <formula>0</formula>
    </cfRule>
  </conditionalFormatting>
  <pageMargins left="0.75" right="0.75" top="1" bottom="1" header="0.5" footer="0.5"/>
  <pageSetup orientation="landscape" horizontalDpi="4294967292" verticalDpi="4294967292"/>
  <headerFooter alignWithMargins="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topLeftCell="A2" workbookViewId="0">
      <selection activeCell="D18" sqref="D18"/>
    </sheetView>
  </sheetViews>
  <sheetFormatPr baseColWidth="10" defaultColWidth="11.42578125" defaultRowHeight="14"/>
  <cols>
    <col min="4" max="4" width="18.28515625" customWidth="1"/>
  </cols>
  <sheetData>
    <row r="1" spans="1:11" s="24" customFormat="1" ht="19">
      <c r="A1" s="20" t="s">
        <v>10</v>
      </c>
      <c r="B1" s="20"/>
      <c r="C1" s="20"/>
      <c r="D1" s="20"/>
      <c r="E1" s="20"/>
      <c r="F1" s="20"/>
      <c r="G1" s="20"/>
      <c r="H1" s="20"/>
      <c r="I1" s="20"/>
      <c r="J1" s="20"/>
      <c r="K1" s="20"/>
    </row>
    <row r="2" spans="1:11" s="7" customFormat="1">
      <c r="A2" s="7" t="s">
        <v>11</v>
      </c>
    </row>
    <row r="3" spans="1:11" s="4" customFormat="1">
      <c r="A3" s="4" t="s">
        <v>201</v>
      </c>
      <c r="E3" s="84">
        <v>215</v>
      </c>
    </row>
    <row r="4" spans="1:11" s="8" customFormat="1">
      <c r="A4" s="8" t="s">
        <v>336</v>
      </c>
    </row>
    <row r="5" spans="1:11" s="4" customFormat="1">
      <c r="A5" s="13" t="s">
        <v>277</v>
      </c>
      <c r="B5" s="13" t="s">
        <v>280</v>
      </c>
      <c r="C5" s="4" t="s">
        <v>281</v>
      </c>
    </row>
    <row r="6" spans="1:11" s="4" customFormat="1">
      <c r="A6" s="13">
        <v>1</v>
      </c>
      <c r="B6" s="86">
        <v>116</v>
      </c>
    </row>
    <row r="7" spans="1:11" s="4" customFormat="1">
      <c r="A7" s="13">
        <v>2</v>
      </c>
      <c r="B7" s="86">
        <v>116</v>
      </c>
    </row>
    <row r="8" spans="1:11" s="4" customFormat="1">
      <c r="A8" s="13">
        <v>3</v>
      </c>
      <c r="B8" s="86">
        <v>116</v>
      </c>
    </row>
    <row r="9" spans="1:11" s="4" customFormat="1">
      <c r="A9" s="13">
        <v>4</v>
      </c>
      <c r="B9" s="86">
        <v>120.5</v>
      </c>
    </row>
    <row r="10" spans="1:11" s="4" customFormat="1">
      <c r="A10" s="13">
        <v>5</v>
      </c>
      <c r="B10" s="86">
        <v>120.5</v>
      </c>
    </row>
    <row r="11" spans="1:11" s="4" customFormat="1">
      <c r="A11" s="13" t="s">
        <v>139</v>
      </c>
      <c r="B11" s="86">
        <v>441</v>
      </c>
    </row>
    <row r="12" spans="1:11" s="4" customFormat="1"/>
    <row r="13" spans="1:11" s="48" customFormat="1" ht="17" thickBot="1">
      <c r="A13" s="48" t="s">
        <v>233</v>
      </c>
    </row>
    <row r="14" spans="1:11" s="4" customFormat="1" ht="15" thickBot="1">
      <c r="A14" s="4" t="s">
        <v>284</v>
      </c>
      <c r="C14" s="63">
        <f>IF('Master Inputs Start here'!B41="Yes",'Ratings estimator'!D10,'Master Inputs Start here'!B44)</f>
        <v>3.7449999999999997E-2</v>
      </c>
      <c r="D14" s="4" t="s">
        <v>175</v>
      </c>
    </row>
    <row r="15" spans="1:11" s="4" customFormat="1"/>
    <row r="16" spans="1:11" s="8" customFormat="1">
      <c r="A16" s="8" t="s">
        <v>176</v>
      </c>
    </row>
    <row r="17" spans="1:5" s="4" customFormat="1">
      <c r="A17" s="4" t="s">
        <v>177</v>
      </c>
      <c r="D17" s="64">
        <f>'Master Inputs Start here'!B10</f>
        <v>22152</v>
      </c>
      <c r="E17" s="4" t="s">
        <v>393</v>
      </c>
    </row>
    <row r="18" spans="1:5" s="4" customFormat="1">
      <c r="A18" s="4" t="s">
        <v>16</v>
      </c>
      <c r="D18" s="64">
        <f>'Master Inputs Start here'!B31</f>
        <v>28776</v>
      </c>
      <c r="E18" s="4" t="s">
        <v>181</v>
      </c>
    </row>
    <row r="19" spans="1:5" s="4" customFormat="1">
      <c r="D19" s="37"/>
    </row>
    <row r="20" spans="1:5" s="4" customFormat="1">
      <c r="A20" s="4" t="s">
        <v>116</v>
      </c>
      <c r="D20" s="65">
        <f>IF(B11&gt;0,ROUND(B11/AVERAGE(B6:B10),0),0)</f>
        <v>4</v>
      </c>
      <c r="E20" s="4" t="s">
        <v>183</v>
      </c>
    </row>
    <row r="21" spans="1:5" s="7" customFormat="1">
      <c r="E21" s="4" t="s">
        <v>12</v>
      </c>
    </row>
    <row r="22" spans="1:5" s="8" customFormat="1">
      <c r="A22" s="8" t="s">
        <v>223</v>
      </c>
    </row>
    <row r="23" spans="1:5" s="4" customFormat="1">
      <c r="A23" s="13" t="s">
        <v>277</v>
      </c>
      <c r="B23" s="13" t="s">
        <v>280</v>
      </c>
      <c r="C23" s="13" t="s">
        <v>349</v>
      </c>
    </row>
    <row r="24" spans="1:5" s="4" customFormat="1">
      <c r="A24" s="12">
        <f>A6</f>
        <v>1</v>
      </c>
      <c r="B24" s="66">
        <f>B6</f>
        <v>116</v>
      </c>
      <c r="C24" s="64">
        <f>B24/(1+$C$14)^A24</f>
        <v>111.81261747554099</v>
      </c>
    </row>
    <row r="25" spans="1:5" s="4" customFormat="1">
      <c r="A25" s="12">
        <f t="shared" ref="A25:B28" si="0">A7</f>
        <v>2</v>
      </c>
      <c r="B25" s="66">
        <f t="shared" si="0"/>
        <v>116</v>
      </c>
      <c r="C25" s="64">
        <f>B25/(1+$C$14)^A25</f>
        <v>107.77639160975565</v>
      </c>
    </row>
    <row r="26" spans="1:5" s="4" customFormat="1">
      <c r="A26" s="12">
        <f t="shared" si="0"/>
        <v>3</v>
      </c>
      <c r="B26" s="66">
        <f t="shared" si="0"/>
        <v>116</v>
      </c>
      <c r="C26" s="64">
        <f>B26/(1+$C$14)^A26</f>
        <v>103.88586593065271</v>
      </c>
    </row>
    <row r="27" spans="1:5" s="4" customFormat="1">
      <c r="A27" s="12">
        <f t="shared" si="0"/>
        <v>4</v>
      </c>
      <c r="B27" s="66">
        <f t="shared" si="0"/>
        <v>120.5</v>
      </c>
      <c r="C27" s="64">
        <f>B27/(1+$C$14)^A27</f>
        <v>104.02035864332184</v>
      </c>
    </row>
    <row r="28" spans="1:5" s="4" customFormat="1">
      <c r="A28" s="12">
        <f t="shared" si="0"/>
        <v>5</v>
      </c>
      <c r="B28" s="66">
        <f t="shared" si="0"/>
        <v>120.5</v>
      </c>
      <c r="C28" s="64">
        <f>B28/(1+$C$14)^A28</f>
        <v>100.26541871253733</v>
      </c>
    </row>
    <row r="29" spans="1:5" s="4" customFormat="1" ht="15" thickBot="1">
      <c r="A29" s="38" t="str">
        <f>A11</f>
        <v>6 and beyond</v>
      </c>
      <c r="B29" s="67">
        <f>IF(B11&gt;0,IF(D20&gt;0,B11/D20,B11),0)</f>
        <v>110.25</v>
      </c>
      <c r="C29" s="68">
        <f>IF(D20&gt;0,(B29*(1-(1+C14)^(-D20))/C14)/(1+$C$14)^5,B29/(1+C14)^6)</f>
        <v>335.00524766384501</v>
      </c>
      <c r="D29" s="4" t="s">
        <v>86</v>
      </c>
    </row>
    <row r="30" spans="1:5" s="4" customFormat="1" ht="15" thickBot="1">
      <c r="A30" s="25" t="s">
        <v>4</v>
      </c>
      <c r="B30" s="69"/>
      <c r="C30" s="70">
        <f>SUM(C24:C29)</f>
        <v>862.76590003565354</v>
      </c>
    </row>
    <row r="31" spans="1:5" s="4" customFormat="1"/>
    <row r="32" spans="1:5" s="4" customFormat="1">
      <c r="A32" s="8" t="s">
        <v>57</v>
      </c>
    </row>
    <row r="33" spans="1:7" s="4" customFormat="1">
      <c r="A33" s="4" t="s">
        <v>93</v>
      </c>
      <c r="F33" s="64">
        <f>C30/(5+D20)</f>
        <v>95.862877781739286</v>
      </c>
      <c r="G33" s="4" t="s">
        <v>94</v>
      </c>
    </row>
    <row r="34" spans="1:7" s="4" customFormat="1" ht="15" thickBot="1">
      <c r="A34" s="4" t="s">
        <v>252</v>
      </c>
      <c r="F34" s="71">
        <f>E3-F33</f>
        <v>119.13712221826071</v>
      </c>
      <c r="G34" s="4" t="s">
        <v>0</v>
      </c>
    </row>
    <row r="35" spans="1:7" s="4" customFormat="1" ht="15" thickBot="1">
      <c r="A35" s="4" t="s">
        <v>253</v>
      </c>
      <c r="F35" s="72">
        <f>C30</f>
        <v>862.76590003565354</v>
      </c>
    </row>
  </sheetData>
  <phoneticPr fontId="29" type="noConversion"/>
  <pageMargins left="0.75" right="0.75" top="1" bottom="1" header="0.5" footer="0.5"/>
  <pageSetup paperSize="0"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7"/>
  <sheetViews>
    <sheetView workbookViewId="0">
      <selection activeCell="D2" sqref="D2"/>
    </sheetView>
  </sheetViews>
  <sheetFormatPr baseColWidth="10" defaultColWidth="11.42578125" defaultRowHeight="14"/>
  <cols>
    <col min="1" max="3" width="11.42578125" customWidth="1"/>
    <col min="4" max="4" width="15.42578125" bestFit="1" customWidth="1"/>
  </cols>
  <sheetData>
    <row r="1" spans="1:7" s="51" customFormat="1" ht="19">
      <c r="A1" s="24" t="s">
        <v>210</v>
      </c>
      <c r="B1" s="24"/>
    </row>
    <row r="2" spans="1:7">
      <c r="A2" s="4" t="s">
        <v>301</v>
      </c>
      <c r="B2" s="4"/>
      <c r="D2" s="92">
        <f>IF('Master Inputs Start here'!B52="Current Price",'Master Inputs Start here'!B29,'Valuation Model'!F71)</f>
        <v>61.389500744121179</v>
      </c>
    </row>
    <row r="3" spans="1:7">
      <c r="A3" s="4" t="s">
        <v>302</v>
      </c>
      <c r="B3" s="4"/>
      <c r="D3" s="64">
        <f>'Master Inputs Start here'!B49</f>
        <v>0</v>
      </c>
    </row>
    <row r="4" spans="1:7">
      <c r="A4" s="4" t="s">
        <v>60</v>
      </c>
      <c r="B4" s="4"/>
      <c r="D4" s="102">
        <f>'Master Inputs Start here'!B50</f>
        <v>0</v>
      </c>
    </row>
    <row r="5" spans="1:7">
      <c r="A5" s="4" t="s">
        <v>76</v>
      </c>
      <c r="B5" s="4"/>
      <c r="D5" s="106"/>
      <c r="E5" s="4" t="s">
        <v>428</v>
      </c>
    </row>
    <row r="6" spans="1:7">
      <c r="A6" s="4" t="s">
        <v>321</v>
      </c>
      <c r="B6" s="4"/>
      <c r="D6" s="107">
        <v>0</v>
      </c>
    </row>
    <row r="7" spans="1:7">
      <c r="A7" s="4" t="s">
        <v>322</v>
      </c>
      <c r="B7" s="4"/>
      <c r="D7" s="107">
        <f>'Master Inputs Start here'!B37</f>
        <v>2.895E-2</v>
      </c>
    </row>
    <row r="8" spans="1:7">
      <c r="A8" s="4" t="s">
        <v>286</v>
      </c>
      <c r="B8" s="4"/>
      <c r="D8" s="108">
        <f>'Master Inputs Start here'!B48</f>
        <v>0</v>
      </c>
    </row>
    <row r="9" spans="1:7">
      <c r="A9" s="4" t="s">
        <v>248</v>
      </c>
      <c r="B9" s="4"/>
      <c r="D9" s="109">
        <f>'Master Inputs Start here'!B30</f>
        <v>4648</v>
      </c>
    </row>
    <row r="10" spans="1:7">
      <c r="A10" s="4"/>
      <c r="B10" s="4"/>
    </row>
    <row r="11" spans="1:7" s="52" customFormat="1">
      <c r="A11" s="6" t="s">
        <v>432</v>
      </c>
      <c r="B11" s="8"/>
    </row>
    <row r="12" spans="1:7" s="4" customFormat="1">
      <c r="A12" s="7" t="s">
        <v>235</v>
      </c>
    </row>
    <row r="13" spans="1:7" s="4" customFormat="1">
      <c r="A13" s="4" t="s">
        <v>113</v>
      </c>
      <c r="C13" s="53">
        <f>D2</f>
        <v>61.389500744121179</v>
      </c>
      <c r="D13" s="4" t="s">
        <v>88</v>
      </c>
      <c r="F13" s="12">
        <f>D8</f>
        <v>0</v>
      </c>
      <c r="G13" s="54"/>
    </row>
    <row r="14" spans="1:7" s="4" customFormat="1">
      <c r="A14" s="4" t="s">
        <v>150</v>
      </c>
      <c r="C14" s="53">
        <f>D3</f>
        <v>0</v>
      </c>
      <c r="D14" s="4" t="s">
        <v>154</v>
      </c>
      <c r="F14" s="55">
        <f>D9</f>
        <v>4648</v>
      </c>
      <c r="G14" s="54"/>
    </row>
    <row r="15" spans="1:7" s="4" customFormat="1">
      <c r="A15" s="4" t="s">
        <v>110</v>
      </c>
      <c r="C15" s="53" t="e">
        <f ca="1">(C13*F14+C26*F13)/(F14+F13)</f>
        <v>#VALUE!</v>
      </c>
      <c r="D15" s="4" t="s">
        <v>155</v>
      </c>
      <c r="F15" s="56">
        <f>D7</f>
        <v>2.895E-2</v>
      </c>
    </row>
    <row r="16" spans="1:7" s="4" customFormat="1">
      <c r="A16" s="4" t="s">
        <v>111</v>
      </c>
      <c r="C16" s="53">
        <f>C14</f>
        <v>0</v>
      </c>
      <c r="D16" s="4" t="s">
        <v>264</v>
      </c>
      <c r="F16" s="57">
        <f>D5^2</f>
        <v>0</v>
      </c>
    </row>
    <row r="17" spans="1:7" s="4" customFormat="1">
      <c r="A17" s="4" t="s">
        <v>265</v>
      </c>
      <c r="C17" s="53">
        <f>D4</f>
        <v>0</v>
      </c>
      <c r="D17" s="4" t="s">
        <v>161</v>
      </c>
      <c r="F17" s="56">
        <f>D6</f>
        <v>0</v>
      </c>
    </row>
    <row r="18" spans="1:7" s="4" customFormat="1">
      <c r="C18" s="7"/>
      <c r="D18" s="4" t="s">
        <v>162</v>
      </c>
      <c r="F18" s="36">
        <f>F15-F17</f>
        <v>2.895E-2</v>
      </c>
    </row>
    <row r="19" spans="1:7" s="4" customFormat="1"/>
    <row r="20" spans="1:7" s="4" customFormat="1">
      <c r="A20" s="4" t="s">
        <v>163</v>
      </c>
      <c r="B20" s="12" t="e">
        <f ca="1">(LN(C15/C16)+(F18+(F16/2))*C17)/(((F16)^(0.5))*(C17^0.5))</f>
        <v>#VALUE!</v>
      </c>
    </row>
    <row r="21" spans="1:7" s="4" customFormat="1">
      <c r="A21" s="4" t="s">
        <v>257</v>
      </c>
      <c r="B21" s="12" t="e">
        <f ca="1">NORMSDIST(B20)</f>
        <v>#VALUE!</v>
      </c>
    </row>
    <row r="22" spans="1:7" s="4" customFormat="1"/>
    <row r="23" spans="1:7" s="4" customFormat="1" ht="16" customHeight="1">
      <c r="A23" s="4" t="s">
        <v>267</v>
      </c>
      <c r="B23" s="12" t="e">
        <f ca="1">B20-((F16^0.5)*(C17^(0.5)))</f>
        <v>#VALUE!</v>
      </c>
    </row>
    <row r="24" spans="1:7" s="4" customFormat="1">
      <c r="A24" s="4" t="s">
        <v>268</v>
      </c>
      <c r="B24" s="12" t="e">
        <f ca="1">NORMSDIST(B23)</f>
        <v>#VALUE!</v>
      </c>
    </row>
    <row r="25" spans="1:7" ht="15" thickBot="1">
      <c r="A25" s="4"/>
      <c r="B25" s="4"/>
    </row>
    <row r="26" spans="1:7" s="4" customFormat="1" ht="15" thickBot="1">
      <c r="A26" s="4" t="s">
        <v>211</v>
      </c>
      <c r="C26" s="112" t="e">
        <f ca="1">((EXP((0-F17)*C17))*C15*B21-C16*(EXP((0-F15)*C17))*B24)</f>
        <v>#VALUE!</v>
      </c>
      <c r="G26" s="62"/>
    </row>
    <row r="27" spans="1:7" s="4" customFormat="1" ht="15" thickBot="1">
      <c r="A27" s="4" t="s">
        <v>212</v>
      </c>
      <c r="D27" s="33" t="e">
        <f ca="1">C26*D8</f>
        <v>#VALUE!</v>
      </c>
    </row>
  </sheetData>
  <phoneticPr fontId="29" type="noConversion"/>
  <pageMargins left="0.75" right="0.75" top="1" bottom="1" header="0.5" footer="0.5"/>
  <pageSetup orientation="portrait" horizontalDpi="4294967292" verticalDpi="429496729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8"/>
  <sheetViews>
    <sheetView workbookViewId="0">
      <selection activeCell="D27" sqref="D27"/>
    </sheetView>
  </sheetViews>
  <sheetFormatPr baseColWidth="10" defaultColWidth="11.42578125" defaultRowHeight="14"/>
  <sheetData>
    <row r="1" spans="1:16" ht="20" thickBot="1">
      <c r="A1" s="24" t="s">
        <v>99</v>
      </c>
    </row>
    <row r="2" spans="1:16" s="26" customFormat="1" ht="15" thickBot="1">
      <c r="A2" s="4" t="s">
        <v>53</v>
      </c>
      <c r="B2" s="4"/>
      <c r="C2" s="69">
        <f>'Master Inputs Start here'!B42</f>
        <v>1</v>
      </c>
      <c r="D2" s="4" t="s">
        <v>83</v>
      </c>
      <c r="E2" s="4"/>
      <c r="F2" s="4"/>
      <c r="G2" s="4"/>
      <c r="H2" s="4"/>
      <c r="I2" s="4"/>
      <c r="J2" s="4"/>
      <c r="M2"/>
      <c r="N2"/>
      <c r="O2"/>
      <c r="P2"/>
    </row>
    <row r="3" spans="1:16" s="26" customFormat="1" ht="15" thickBot="1">
      <c r="A3" s="4" t="s">
        <v>266</v>
      </c>
      <c r="B3" s="4"/>
      <c r="C3" s="4"/>
      <c r="D3" s="4"/>
      <c r="E3" s="17"/>
      <c r="F3" s="33">
        <f>IF('Master Inputs Start here'!B5="Yes",('Master Inputs Start here'!B10+'Operating lease converter'!C30*'Operating lease converter'!C14),'Master Inputs Start here'!B10)</f>
        <v>22184.310582956336</v>
      </c>
      <c r="G3" s="4" t="s">
        <v>271</v>
      </c>
      <c r="H3" s="4"/>
      <c r="I3" s="4"/>
      <c r="J3" s="4"/>
      <c r="M3"/>
      <c r="N3"/>
      <c r="O3"/>
      <c r="P3"/>
    </row>
    <row r="4" spans="1:16" s="26" customFormat="1" ht="15" thickBot="1">
      <c r="A4" s="4" t="s">
        <v>320</v>
      </c>
      <c r="B4" s="4"/>
      <c r="C4" s="4"/>
      <c r="D4" s="4"/>
      <c r="E4" s="4"/>
      <c r="F4" s="33">
        <f>IF('Master Inputs Start here'!B5="Yes",('Master Inputs Start here'!B11+'Operating lease converter'!C30*'Operating lease converter'!C14),'Master Inputs Start here'!B11)</f>
        <v>-313.68941704366478</v>
      </c>
      <c r="G4" s="4" t="s">
        <v>375</v>
      </c>
      <c r="H4" s="4"/>
      <c r="I4" s="4"/>
      <c r="J4" s="4"/>
      <c r="M4"/>
      <c r="N4"/>
      <c r="O4"/>
      <c r="P4"/>
    </row>
    <row r="5" spans="1:16" s="26" customFormat="1" ht="15" thickBot="1">
      <c r="A5" s="4" t="s">
        <v>344</v>
      </c>
      <c r="B5" s="4"/>
      <c r="C5" s="4"/>
      <c r="D5" s="4"/>
      <c r="E5" s="4"/>
      <c r="F5" s="27">
        <f>'Master Inputs Start here'!B37</f>
        <v>2.895E-2</v>
      </c>
      <c r="G5" s="4"/>
      <c r="H5" s="4"/>
      <c r="I5" s="4"/>
      <c r="J5" s="4"/>
      <c r="M5"/>
      <c r="N5"/>
      <c r="O5"/>
      <c r="P5"/>
    </row>
    <row r="6" spans="1:16" s="26" customFormat="1" ht="15" thickBot="1">
      <c r="A6" s="7" t="s">
        <v>233</v>
      </c>
      <c r="B6" s="4"/>
      <c r="C6" s="4"/>
      <c r="D6" s="4"/>
      <c r="E6" s="4"/>
      <c r="F6" s="17"/>
      <c r="G6" s="4"/>
      <c r="H6" s="4"/>
      <c r="I6" s="4"/>
      <c r="J6" s="4"/>
      <c r="M6"/>
      <c r="N6"/>
      <c r="O6"/>
      <c r="P6"/>
    </row>
    <row r="7" spans="1:16" s="26" customFormat="1" ht="15" thickBot="1">
      <c r="A7" s="4" t="s">
        <v>2</v>
      </c>
      <c r="B7" s="4"/>
      <c r="C7" s="4"/>
      <c r="D7" s="28">
        <f>IF(F4&gt;0,F3/F4,(IF(F3&gt;0,100000,0)))</f>
        <v>100000</v>
      </c>
      <c r="E7" s="4"/>
      <c r="F7" s="17"/>
      <c r="G7" s="4"/>
      <c r="H7" s="4"/>
      <c r="I7" s="4"/>
      <c r="J7" s="4"/>
      <c r="M7"/>
      <c r="N7"/>
      <c r="O7"/>
      <c r="P7"/>
    </row>
    <row r="8" spans="1:16" s="26" customFormat="1" ht="15" thickBot="1">
      <c r="A8" s="4" t="s">
        <v>122</v>
      </c>
      <c r="D8" s="204" t="s">
        <v>704</v>
      </c>
      <c r="M8"/>
      <c r="N8"/>
      <c r="O8"/>
      <c r="P8"/>
    </row>
    <row r="9" spans="1:16" s="26" customFormat="1" ht="15" thickBot="1">
      <c r="A9" s="4" t="s">
        <v>32</v>
      </c>
      <c r="D9" s="34">
        <v>8.5000000000000006E-3</v>
      </c>
      <c r="M9"/>
      <c r="N9"/>
      <c r="O9"/>
      <c r="P9"/>
    </row>
    <row r="10" spans="1:16" s="4" customFormat="1" ht="15" thickBot="1">
      <c r="A10" s="4" t="s">
        <v>382</v>
      </c>
      <c r="D10" s="29">
        <f>F5+D9</f>
        <v>3.7449999999999997E-2</v>
      </c>
      <c r="M10"/>
      <c r="N10"/>
      <c r="O10"/>
      <c r="P10"/>
    </row>
    <row r="11" spans="1:16" s="4" customFormat="1">
      <c r="D11" s="30"/>
      <c r="M11"/>
      <c r="N11"/>
      <c r="O11"/>
      <c r="P11"/>
    </row>
    <row r="12" spans="1:16" s="26" customFormat="1">
      <c r="A12" s="7" t="s">
        <v>383</v>
      </c>
      <c r="B12" s="7"/>
      <c r="C12" s="7"/>
      <c r="D12"/>
      <c r="F12" s="7" t="s">
        <v>74</v>
      </c>
      <c r="M12"/>
      <c r="N12"/>
      <c r="O12"/>
      <c r="P12"/>
    </row>
    <row r="13" spans="1:16" s="26" customFormat="1">
      <c r="A13" s="31" t="s">
        <v>409</v>
      </c>
      <c r="B13" s="136"/>
      <c r="C13" s="137"/>
      <c r="D13" s="137"/>
      <c r="F13" s="32" t="s">
        <v>339</v>
      </c>
      <c r="G13" s="5"/>
      <c r="H13" s="4"/>
      <c r="I13" s="4"/>
      <c r="J13" s="4"/>
      <c r="M13"/>
      <c r="N13"/>
      <c r="O13"/>
      <c r="P13"/>
    </row>
    <row r="14" spans="1:16" s="26" customFormat="1">
      <c r="A14" s="138" t="s">
        <v>164</v>
      </c>
      <c r="B14" s="139" t="s">
        <v>165</v>
      </c>
      <c r="C14" s="139" t="s">
        <v>224</v>
      </c>
      <c r="D14" s="139" t="s">
        <v>225</v>
      </c>
      <c r="F14" s="13" t="s">
        <v>51</v>
      </c>
      <c r="G14" s="13" t="s">
        <v>165</v>
      </c>
      <c r="H14" s="13" t="s">
        <v>224</v>
      </c>
      <c r="I14" s="13" t="s">
        <v>225</v>
      </c>
      <c r="J14" s="13" t="s">
        <v>14</v>
      </c>
      <c r="M14"/>
      <c r="N14"/>
      <c r="O14"/>
      <c r="P14"/>
    </row>
    <row r="15" spans="1:16" s="26" customFormat="1">
      <c r="A15" s="140">
        <v>-100000</v>
      </c>
      <c r="B15" s="141">
        <v>0.19999900000000001</v>
      </c>
      <c r="C15" s="188" t="s">
        <v>660</v>
      </c>
      <c r="D15" s="14">
        <v>0.12</v>
      </c>
      <c r="F15" s="13">
        <v>-100000</v>
      </c>
      <c r="G15" s="13">
        <v>4.9999000000000002E-2</v>
      </c>
      <c r="H15" s="188" t="s">
        <v>660</v>
      </c>
      <c r="I15" s="14">
        <v>0.12</v>
      </c>
      <c r="J15" s="187">
        <v>-0.5</v>
      </c>
      <c r="M15"/>
      <c r="N15"/>
      <c r="O15"/>
      <c r="P15"/>
    </row>
    <row r="16" spans="1:16" s="26" customFormat="1">
      <c r="A16" s="140">
        <v>0.2</v>
      </c>
      <c r="B16" s="141">
        <v>0.64999899999999999</v>
      </c>
      <c r="C16" s="188" t="s">
        <v>661</v>
      </c>
      <c r="D16" s="186">
        <v>0.105</v>
      </c>
      <c r="F16" s="13">
        <v>0.05</v>
      </c>
      <c r="G16" s="13">
        <v>9.9999000000000005E-2</v>
      </c>
      <c r="H16" s="188" t="s">
        <v>661</v>
      </c>
      <c r="I16" s="186">
        <v>0.105</v>
      </c>
      <c r="J16" s="187">
        <v>-0.4</v>
      </c>
      <c r="M16"/>
      <c r="N16"/>
      <c r="O16"/>
      <c r="P16"/>
    </row>
    <row r="17" spans="1:16" s="26" customFormat="1">
      <c r="A17" s="140">
        <v>0.65</v>
      </c>
      <c r="B17" s="141">
        <v>0.79999900000000002</v>
      </c>
      <c r="C17" s="188" t="s">
        <v>662</v>
      </c>
      <c r="D17" s="186">
        <v>9.5000000000000001E-2</v>
      </c>
      <c r="F17" s="13">
        <v>0.1</v>
      </c>
      <c r="G17" s="13">
        <v>0.19999900000000001</v>
      </c>
      <c r="H17" s="188" t="s">
        <v>662</v>
      </c>
      <c r="I17" s="186">
        <v>9.5000000000000001E-2</v>
      </c>
      <c r="J17" s="187">
        <v>-0.4</v>
      </c>
      <c r="M17"/>
      <c r="N17"/>
      <c r="O17"/>
      <c r="P17"/>
    </row>
    <row r="18" spans="1:16" s="26" customFormat="1">
      <c r="A18" s="140">
        <v>0.8</v>
      </c>
      <c r="B18" s="141">
        <v>1.2499990000000001</v>
      </c>
      <c r="C18" s="188" t="s">
        <v>663</v>
      </c>
      <c r="D18" s="186">
        <v>8.7499999999999994E-2</v>
      </c>
      <c r="F18" s="13">
        <v>0.2</v>
      </c>
      <c r="G18" s="13">
        <v>0.29999900000000002</v>
      </c>
      <c r="H18" s="188" t="s">
        <v>663</v>
      </c>
      <c r="I18" s="186">
        <v>8.7499999999999994E-2</v>
      </c>
      <c r="J18" s="187">
        <v>-0.4</v>
      </c>
      <c r="M18"/>
      <c r="N18"/>
      <c r="O18"/>
      <c r="P18"/>
    </row>
    <row r="19" spans="1:16" s="26" customFormat="1">
      <c r="A19" s="140">
        <v>1.25</v>
      </c>
      <c r="B19" s="141">
        <v>1.4999990000000001</v>
      </c>
      <c r="C19" s="188" t="s">
        <v>664</v>
      </c>
      <c r="D19" s="186">
        <v>7.2499999999999995E-2</v>
      </c>
      <c r="F19" s="13">
        <v>0.3</v>
      </c>
      <c r="G19" s="13">
        <v>0.39999899999999999</v>
      </c>
      <c r="H19" s="188" t="s">
        <v>664</v>
      </c>
      <c r="I19" s="186">
        <v>7.2499999999999995E-2</v>
      </c>
      <c r="J19" s="187">
        <v>-0.25</v>
      </c>
      <c r="M19"/>
      <c r="N19"/>
      <c r="O19"/>
      <c r="P19"/>
    </row>
    <row r="20" spans="1:16" s="26" customFormat="1">
      <c r="A20" s="140">
        <v>1.5</v>
      </c>
      <c r="B20" s="141">
        <v>1.7499990000000001</v>
      </c>
      <c r="C20" s="188" t="s">
        <v>665</v>
      </c>
      <c r="D20" s="186">
        <v>6.5000000000000002E-2</v>
      </c>
      <c r="F20" s="13">
        <v>0.4</v>
      </c>
      <c r="G20" s="13">
        <v>0.49999900000000003</v>
      </c>
      <c r="H20" s="188" t="s">
        <v>665</v>
      </c>
      <c r="I20" s="186">
        <v>6.5000000000000002E-2</v>
      </c>
      <c r="J20" s="187">
        <v>-0.2</v>
      </c>
      <c r="M20"/>
      <c r="N20"/>
      <c r="O20"/>
      <c r="P20"/>
    </row>
    <row r="21" spans="1:16" s="26" customFormat="1">
      <c r="A21" s="140">
        <v>1.75</v>
      </c>
      <c r="B21" s="141">
        <v>1.9999990000000001</v>
      </c>
      <c r="C21" s="188" t="s">
        <v>666</v>
      </c>
      <c r="D21" s="186">
        <v>5.5E-2</v>
      </c>
      <c r="F21" s="13">
        <v>0.5</v>
      </c>
      <c r="G21" s="13">
        <v>0.59999899999999995</v>
      </c>
      <c r="H21" s="188" t="s">
        <v>666</v>
      </c>
      <c r="I21" s="186">
        <v>5.5E-2</v>
      </c>
      <c r="J21" s="187">
        <v>-0.2</v>
      </c>
      <c r="M21"/>
      <c r="N21"/>
      <c r="O21"/>
      <c r="P21"/>
    </row>
    <row r="22" spans="1:16" s="26" customFormat="1">
      <c r="A22" s="140">
        <v>2</v>
      </c>
      <c r="B22" s="141">
        <v>2.2499999000000002</v>
      </c>
      <c r="C22" s="188" t="s">
        <v>667</v>
      </c>
      <c r="D22" s="186">
        <v>0.04</v>
      </c>
      <c r="F22" s="13">
        <v>0.6</v>
      </c>
      <c r="G22" s="13">
        <v>0.74999899999999997</v>
      </c>
      <c r="H22" s="188" t="s">
        <v>667</v>
      </c>
      <c r="I22" s="186">
        <v>0.04</v>
      </c>
      <c r="J22" s="187">
        <v>-0.2</v>
      </c>
      <c r="M22"/>
      <c r="N22"/>
      <c r="O22"/>
      <c r="P22"/>
    </row>
    <row r="23" spans="1:16" s="26" customFormat="1">
      <c r="A23" s="140">
        <v>2.25</v>
      </c>
      <c r="B23" s="141">
        <v>2.4999899999999999</v>
      </c>
      <c r="C23" s="188" t="s">
        <v>668</v>
      </c>
      <c r="D23" s="186">
        <v>0.03</v>
      </c>
      <c r="F23" s="13">
        <v>0.75</v>
      </c>
      <c r="G23" s="13">
        <v>0.89999899999999999</v>
      </c>
      <c r="H23" s="188" t="s">
        <v>668</v>
      </c>
      <c r="I23" s="186">
        <v>0.03</v>
      </c>
      <c r="J23" s="187">
        <v>-0.2</v>
      </c>
      <c r="M23"/>
      <c r="N23"/>
      <c r="O23"/>
      <c r="P23"/>
    </row>
    <row r="24" spans="1:16" s="26" customFormat="1">
      <c r="A24" s="140">
        <v>2.5</v>
      </c>
      <c r="B24" s="141">
        <v>2.9999989999999999</v>
      </c>
      <c r="C24" s="188" t="s">
        <v>669</v>
      </c>
      <c r="D24" s="186">
        <v>0.02</v>
      </c>
      <c r="F24" s="13">
        <v>0.9</v>
      </c>
      <c r="G24" s="13">
        <v>1.199999</v>
      </c>
      <c r="H24" s="188" t="s">
        <v>669</v>
      </c>
      <c r="I24" s="186">
        <v>0.02</v>
      </c>
      <c r="J24" s="187">
        <v>-0.2</v>
      </c>
      <c r="M24"/>
      <c r="N24"/>
      <c r="O24"/>
      <c r="P24"/>
    </row>
    <row r="25" spans="1:16" s="26" customFormat="1">
      <c r="A25" s="140">
        <v>3</v>
      </c>
      <c r="B25" s="141">
        <v>4.2499989999999999</v>
      </c>
      <c r="C25" s="188" t="s">
        <v>670</v>
      </c>
      <c r="D25" s="186">
        <v>1.2999999999999999E-2</v>
      </c>
      <c r="F25" s="13">
        <v>1.2</v>
      </c>
      <c r="G25" s="13">
        <v>1.4999899999999999</v>
      </c>
      <c r="H25" s="188" t="s">
        <v>670</v>
      </c>
      <c r="I25" s="186">
        <v>1.2999999999999999E-2</v>
      </c>
      <c r="J25" s="187">
        <v>-0.17499999999999999</v>
      </c>
      <c r="M25"/>
      <c r="N25"/>
      <c r="O25"/>
      <c r="P25"/>
    </row>
    <row r="26" spans="1:16" s="26" customFormat="1">
      <c r="A26" s="140">
        <v>4.25</v>
      </c>
      <c r="B26" s="141">
        <v>5.4999989999999999</v>
      </c>
      <c r="C26" s="188" t="s">
        <v>671</v>
      </c>
      <c r="D26" s="186">
        <v>0.01</v>
      </c>
      <c r="F26" s="13">
        <v>1.5</v>
      </c>
      <c r="G26" s="13">
        <v>1.9999899999999999</v>
      </c>
      <c r="H26" s="188" t="s">
        <v>671</v>
      </c>
      <c r="I26" s="186">
        <v>0.01</v>
      </c>
      <c r="J26" s="187">
        <v>-0.15</v>
      </c>
      <c r="M26"/>
      <c r="N26"/>
      <c r="O26"/>
      <c r="P26"/>
    </row>
    <row r="27" spans="1:16" s="26" customFormat="1">
      <c r="A27" s="140">
        <v>5.5</v>
      </c>
      <c r="B27" s="141">
        <v>6.4999989999999999</v>
      </c>
      <c r="C27" s="188" t="s">
        <v>672</v>
      </c>
      <c r="D27" s="186">
        <v>8.5000000000000006E-3</v>
      </c>
      <c r="F27" s="13">
        <v>2</v>
      </c>
      <c r="G27" s="13">
        <v>2.4999899999999999</v>
      </c>
      <c r="H27" s="188" t="s">
        <v>672</v>
      </c>
      <c r="I27" s="186">
        <v>8.5000000000000006E-3</v>
      </c>
      <c r="J27" s="187">
        <v>-0.1</v>
      </c>
      <c r="M27"/>
      <c r="N27"/>
      <c r="O27"/>
      <c r="P27"/>
    </row>
    <row r="28" spans="1:16" s="26" customFormat="1">
      <c r="A28" s="140">
        <v>6.5</v>
      </c>
      <c r="B28" s="141">
        <v>8.4999990000000007</v>
      </c>
      <c r="C28" s="188" t="s">
        <v>673</v>
      </c>
      <c r="D28" s="186">
        <v>7.0000000000000001E-3</v>
      </c>
      <c r="F28" s="13">
        <v>2.5</v>
      </c>
      <c r="G28" s="13">
        <v>2.9999899999999999</v>
      </c>
      <c r="H28" s="188" t="s">
        <v>673</v>
      </c>
      <c r="I28" s="186">
        <v>7.0000000000000001E-3</v>
      </c>
      <c r="J28" s="187">
        <v>-0.05</v>
      </c>
      <c r="M28"/>
      <c r="N28"/>
      <c r="O28"/>
      <c r="P28"/>
    </row>
    <row r="29" spans="1:16" s="26" customFormat="1">
      <c r="A29" s="142">
        <v>8.5</v>
      </c>
      <c r="B29" s="141">
        <v>100000</v>
      </c>
      <c r="C29" s="188" t="s">
        <v>674</v>
      </c>
      <c r="D29" s="186">
        <v>4.0000000000000001E-3</v>
      </c>
      <c r="F29" s="13">
        <v>3</v>
      </c>
      <c r="G29" s="13">
        <v>100000</v>
      </c>
      <c r="H29" s="188" t="s">
        <v>674</v>
      </c>
      <c r="I29" s="186">
        <v>4.0000000000000001E-3</v>
      </c>
      <c r="J29" s="187">
        <v>0</v>
      </c>
      <c r="M29"/>
      <c r="N29"/>
      <c r="O29"/>
      <c r="P29"/>
    </row>
    <row r="30" spans="1:16" s="26" customFormat="1">
      <c r="M30"/>
      <c r="N30"/>
      <c r="O30"/>
      <c r="P30"/>
    </row>
    <row r="31" spans="1:16" s="26" customFormat="1">
      <c r="A31" s="7" t="s">
        <v>380</v>
      </c>
      <c r="B31" s="7"/>
      <c r="C31"/>
      <c r="D31"/>
      <c r="M31"/>
      <c r="N31"/>
      <c r="O31"/>
      <c r="P31"/>
    </row>
    <row r="32" spans="1:16" s="26" customFormat="1">
      <c r="A32" s="31" t="s">
        <v>409</v>
      </c>
      <c r="B32" s="143"/>
      <c r="C32" s="144"/>
      <c r="D32" s="144"/>
      <c r="M32"/>
      <c r="N32"/>
      <c r="O32"/>
      <c r="P32"/>
    </row>
    <row r="33" spans="1:16" s="26" customFormat="1">
      <c r="A33" s="140" t="s">
        <v>51</v>
      </c>
      <c r="B33" s="141" t="s">
        <v>165</v>
      </c>
      <c r="C33" s="141" t="s">
        <v>224</v>
      </c>
      <c r="D33" s="141" t="s">
        <v>225</v>
      </c>
      <c r="M33"/>
      <c r="N33"/>
      <c r="O33"/>
      <c r="P33"/>
    </row>
    <row r="34" spans="1:16" s="26" customFormat="1">
      <c r="A34" s="140">
        <v>-100000</v>
      </c>
      <c r="B34" s="141">
        <v>0.49999900000000003</v>
      </c>
      <c r="C34" s="188" t="s">
        <v>660</v>
      </c>
      <c r="D34" s="14">
        <v>0.12</v>
      </c>
      <c r="M34"/>
      <c r="N34"/>
      <c r="O34"/>
      <c r="P34"/>
    </row>
    <row r="35" spans="1:16" s="26" customFormat="1">
      <c r="A35" s="140">
        <v>0.5</v>
      </c>
      <c r="B35" s="141">
        <v>0.79999900000000002</v>
      </c>
      <c r="C35" s="188" t="s">
        <v>661</v>
      </c>
      <c r="D35" s="186">
        <v>0.105</v>
      </c>
      <c r="M35"/>
      <c r="N35"/>
      <c r="O35"/>
      <c r="P35"/>
    </row>
    <row r="36" spans="1:16" s="26" customFormat="1">
      <c r="A36" s="140">
        <v>0.8</v>
      </c>
      <c r="B36" s="141">
        <v>1.2499990000000001</v>
      </c>
      <c r="C36" s="188" t="s">
        <v>662</v>
      </c>
      <c r="D36" s="186">
        <v>9.5000000000000001E-2</v>
      </c>
      <c r="M36"/>
      <c r="N36"/>
      <c r="O36"/>
      <c r="P36"/>
    </row>
    <row r="37" spans="1:16" s="26" customFormat="1">
      <c r="A37" s="140">
        <v>1.25</v>
      </c>
      <c r="B37" s="141">
        <v>1.4999990000000001</v>
      </c>
      <c r="C37" s="188" t="s">
        <v>663</v>
      </c>
      <c r="D37" s="186">
        <v>8.7499999999999994E-2</v>
      </c>
      <c r="M37"/>
      <c r="N37"/>
      <c r="O37"/>
      <c r="P37"/>
    </row>
    <row r="38" spans="1:16" s="26" customFormat="1">
      <c r="A38" s="140">
        <v>1.5</v>
      </c>
      <c r="B38" s="141">
        <v>1.9999990000000001</v>
      </c>
      <c r="C38" s="188" t="s">
        <v>664</v>
      </c>
      <c r="D38" s="186">
        <v>7.2499999999999995E-2</v>
      </c>
      <c r="M38"/>
      <c r="N38"/>
      <c r="O38"/>
      <c r="P38"/>
    </row>
    <row r="39" spans="1:16" s="26" customFormat="1">
      <c r="A39" s="140">
        <v>2</v>
      </c>
      <c r="B39" s="141">
        <v>2.4999989999999999</v>
      </c>
      <c r="C39" s="188" t="s">
        <v>665</v>
      </c>
      <c r="D39" s="186">
        <v>6.5000000000000002E-2</v>
      </c>
      <c r="M39"/>
      <c r="N39"/>
      <c r="O39"/>
      <c r="P39"/>
    </row>
    <row r="40" spans="1:16" s="26" customFormat="1">
      <c r="A40" s="140">
        <v>2.5</v>
      </c>
      <c r="B40" s="141">
        <v>2.9999989999999999</v>
      </c>
      <c r="C40" s="188" t="s">
        <v>666</v>
      </c>
      <c r="D40" s="186">
        <v>5.5E-2</v>
      </c>
      <c r="M40"/>
      <c r="N40"/>
      <c r="O40"/>
      <c r="P40"/>
    </row>
    <row r="41" spans="1:16" s="26" customFormat="1">
      <c r="A41" s="140">
        <v>3</v>
      </c>
      <c r="B41" s="141">
        <v>3.4999989999999999</v>
      </c>
      <c r="C41" s="188" t="s">
        <v>667</v>
      </c>
      <c r="D41" s="186">
        <v>0.04</v>
      </c>
      <c r="M41"/>
      <c r="N41"/>
      <c r="O41"/>
      <c r="P41"/>
    </row>
    <row r="42" spans="1:16" s="26" customFormat="1">
      <c r="A42" s="140">
        <v>3.5</v>
      </c>
      <c r="B42" s="141">
        <v>3.9999999000000002</v>
      </c>
      <c r="C42" s="188" t="s">
        <v>668</v>
      </c>
      <c r="D42" s="186">
        <v>0.03</v>
      </c>
      <c r="M42"/>
      <c r="N42"/>
      <c r="O42"/>
      <c r="P42"/>
    </row>
    <row r="43" spans="1:16" s="26" customFormat="1">
      <c r="A43" s="140">
        <v>4</v>
      </c>
      <c r="B43" s="141">
        <v>4.4999989999999999</v>
      </c>
      <c r="C43" s="188" t="s">
        <v>669</v>
      </c>
      <c r="D43" s="186">
        <v>0.02</v>
      </c>
      <c r="M43"/>
      <c r="N43"/>
      <c r="O43"/>
      <c r="P43"/>
    </row>
    <row r="44" spans="1:16" s="26" customFormat="1">
      <c r="A44" s="140">
        <v>4.5</v>
      </c>
      <c r="B44" s="141">
        <v>5.9999989999999999</v>
      </c>
      <c r="C44" s="188" t="s">
        <v>670</v>
      </c>
      <c r="D44" s="186">
        <v>1.2999999999999999E-2</v>
      </c>
      <c r="M44"/>
      <c r="N44"/>
      <c r="O44"/>
      <c r="P44"/>
    </row>
    <row r="45" spans="1:16" s="26" customFormat="1">
      <c r="A45" s="140">
        <v>6</v>
      </c>
      <c r="B45" s="141">
        <v>7.4999989999999999</v>
      </c>
      <c r="C45" s="188" t="s">
        <v>671</v>
      </c>
      <c r="D45" s="186">
        <v>0.01</v>
      </c>
      <c r="M45"/>
      <c r="N45"/>
      <c r="O45"/>
      <c r="P45"/>
    </row>
    <row r="46" spans="1:16" s="26" customFormat="1">
      <c r="A46" s="140">
        <v>7.5</v>
      </c>
      <c r="B46" s="141">
        <v>9.4999990000000007</v>
      </c>
      <c r="C46" s="188" t="s">
        <v>672</v>
      </c>
      <c r="D46" s="186">
        <v>8.5000000000000006E-3</v>
      </c>
      <c r="M46"/>
      <c r="N46"/>
      <c r="O46"/>
      <c r="P46"/>
    </row>
    <row r="47" spans="1:16">
      <c r="A47" s="140">
        <v>9.5</v>
      </c>
      <c r="B47" s="141">
        <v>12.499999000000001</v>
      </c>
      <c r="C47" s="188" t="s">
        <v>673</v>
      </c>
      <c r="D47" s="186">
        <v>7.0000000000000001E-3</v>
      </c>
      <c r="F47" s="26"/>
      <c r="G47" s="26"/>
      <c r="H47" s="26"/>
      <c r="I47" s="26"/>
      <c r="J47" s="26"/>
    </row>
    <row r="48" spans="1:16">
      <c r="A48" s="140">
        <v>12.5</v>
      </c>
      <c r="B48" s="141">
        <v>100000</v>
      </c>
      <c r="C48" s="188" t="s">
        <v>674</v>
      </c>
      <c r="D48" s="186">
        <v>4.0000000000000001E-3</v>
      </c>
    </row>
  </sheetData>
  <phoneticPr fontId="23"/>
  <pageMargins left="0.75" right="0.75" top="1" bottom="1" header="0.5" footer="0.5"/>
  <pageSetup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S99"/>
  <sheetViews>
    <sheetView topLeftCell="A103" workbookViewId="0">
      <selection activeCell="G88" sqref="G88"/>
    </sheetView>
  </sheetViews>
  <sheetFormatPr baseColWidth="10" defaultColWidth="11.42578125" defaultRowHeight="14"/>
  <cols>
    <col min="1" max="1" width="20.7109375" style="4" bestFit="1" customWidth="1"/>
    <col min="2" max="2" width="13" style="9" bestFit="1" customWidth="1"/>
    <col min="3" max="3" width="10.85546875" style="9" bestFit="1" customWidth="1"/>
    <col min="4" max="4" width="12.140625" style="9" bestFit="1" customWidth="1"/>
    <col min="5" max="5" width="12.42578125" style="9" bestFit="1" customWidth="1"/>
    <col min="6" max="6" width="9.85546875" style="9" bestFit="1" customWidth="1"/>
    <col min="7" max="7" width="15.5703125" style="9" bestFit="1" customWidth="1"/>
    <col min="8" max="9" width="8.140625" style="9" bestFit="1" customWidth="1"/>
    <col min="10" max="10" width="14.42578125" style="9" bestFit="1" customWidth="1"/>
    <col min="11" max="11" width="19" style="9" bestFit="1" customWidth="1"/>
    <col min="12" max="12" width="20.28515625" style="9" bestFit="1" customWidth="1"/>
    <col min="13" max="13" width="9.42578125" style="9" bestFit="1" customWidth="1"/>
    <col min="14" max="14" width="16" style="9" bestFit="1" customWidth="1"/>
    <col min="15" max="15" width="18" style="9" bestFit="1" customWidth="1"/>
    <col min="16" max="16" width="10.5703125" style="9" bestFit="1" customWidth="1"/>
    <col min="17" max="17" width="14.42578125" bestFit="1" customWidth="1"/>
    <col min="18" max="18" width="11.140625" bestFit="1" customWidth="1"/>
  </cols>
  <sheetData>
    <row r="1" spans="1:19" s="181" customFormat="1" ht="12">
      <c r="A1" s="121" t="s">
        <v>173</v>
      </c>
      <c r="B1" s="179" t="s">
        <v>70</v>
      </c>
      <c r="C1" s="178" t="s">
        <v>499</v>
      </c>
      <c r="D1" s="179" t="s">
        <v>71</v>
      </c>
      <c r="E1" s="178" t="s">
        <v>500</v>
      </c>
      <c r="F1" s="179" t="s">
        <v>501</v>
      </c>
      <c r="G1" s="179" t="s">
        <v>379</v>
      </c>
      <c r="H1" s="179" t="s">
        <v>502</v>
      </c>
      <c r="I1" s="179" t="s">
        <v>503</v>
      </c>
      <c r="J1" s="179" t="s">
        <v>504</v>
      </c>
      <c r="K1" s="179" t="s">
        <v>505</v>
      </c>
      <c r="L1" s="179" t="s">
        <v>127</v>
      </c>
      <c r="M1" s="179" t="s">
        <v>506</v>
      </c>
      <c r="N1" s="180" t="s">
        <v>136</v>
      </c>
      <c r="O1" s="179" t="s">
        <v>362</v>
      </c>
      <c r="P1" s="179" t="s">
        <v>507</v>
      </c>
      <c r="Q1" s="179" t="s">
        <v>508</v>
      </c>
      <c r="R1" s="179" t="s">
        <v>509</v>
      </c>
      <c r="S1" s="179" t="s">
        <v>510</v>
      </c>
    </row>
    <row r="2" spans="1:19" hidden="1">
      <c r="A2" t="s">
        <v>174</v>
      </c>
      <c r="B2" s="50">
        <v>31</v>
      </c>
      <c r="C2" s="189">
        <v>4.5954999999999989E-2</v>
      </c>
      <c r="D2" s="189">
        <v>0.11442807163475993</v>
      </c>
      <c r="E2" s="189">
        <v>0.11586644926766379</v>
      </c>
      <c r="F2" s="189">
        <v>0.1680906451612903</v>
      </c>
      <c r="G2" s="190">
        <v>1.1258558946631088</v>
      </c>
      <c r="H2" s="190">
        <v>1.3005263157894738</v>
      </c>
      <c r="I2" s="189">
        <v>9.5426315789473692E-2</v>
      </c>
      <c r="J2" s="189">
        <v>0.83024347826086997</v>
      </c>
      <c r="K2" s="189">
        <v>5.5400000000000005E-2</v>
      </c>
      <c r="L2" s="189">
        <v>0.26354976554848508</v>
      </c>
      <c r="M2" s="189">
        <v>7.9037126842833844E-2</v>
      </c>
      <c r="N2" s="190">
        <v>1.3945714375956517</v>
      </c>
      <c r="O2" s="190">
        <v>1.6748290047479237</v>
      </c>
      <c r="P2" s="190">
        <v>10.905187878819207</v>
      </c>
      <c r="Q2" s="190">
        <v>14.636522147238207</v>
      </c>
      <c r="R2" s="190">
        <v>3.238334913218587</v>
      </c>
      <c r="S2" s="190">
        <v>49.369167990671393</v>
      </c>
    </row>
    <row r="3" spans="1:19" hidden="1">
      <c r="A3" t="s">
        <v>388</v>
      </c>
      <c r="B3" s="50">
        <v>66</v>
      </c>
      <c r="C3" s="189">
        <v>0.12333333333333335</v>
      </c>
      <c r="D3" s="189">
        <v>9.9933057078019652E-2</v>
      </c>
      <c r="E3" s="189">
        <v>0.18079887062064062</v>
      </c>
      <c r="F3" s="189">
        <v>0.23029984848484852</v>
      </c>
      <c r="G3" s="190">
        <v>0.86921660387026634</v>
      </c>
      <c r="H3" s="190">
        <v>0.91660377358490552</v>
      </c>
      <c r="I3" s="189">
        <v>7.6230188679245275E-2</v>
      </c>
      <c r="J3" s="189">
        <v>0.44750181818181828</v>
      </c>
      <c r="K3" s="189">
        <v>4.0399999999999998E-2</v>
      </c>
      <c r="L3" s="189">
        <v>0.16459048694681688</v>
      </c>
      <c r="M3" s="189">
        <v>6.7673098208071408E-2</v>
      </c>
      <c r="N3" s="190">
        <v>2.6677242329124193</v>
      </c>
      <c r="O3" s="190">
        <v>1.3070044610265905</v>
      </c>
      <c r="P3" s="190">
        <v>10.537576656505291</v>
      </c>
      <c r="Q3" s="190">
        <v>13.078799941106444</v>
      </c>
      <c r="R3" s="190">
        <v>4.581071889635302</v>
      </c>
      <c r="S3" s="190">
        <v>24.318542187418888</v>
      </c>
    </row>
    <row r="4" spans="1:19" hidden="1">
      <c r="A4" t="s">
        <v>273</v>
      </c>
      <c r="B4" s="50">
        <v>35</v>
      </c>
      <c r="C4" s="189">
        <v>6.5137500000000015E-2</v>
      </c>
      <c r="D4" s="189">
        <v>8.0445944412484247E-2</v>
      </c>
      <c r="E4" s="189">
        <v>0.1680018530070084</v>
      </c>
      <c r="F4" s="189">
        <v>0.26028571428571429</v>
      </c>
      <c r="G4" s="190">
        <v>0.92077866375310358</v>
      </c>
      <c r="H4" s="190">
        <v>1.0668965517241378</v>
      </c>
      <c r="I4" s="189">
        <v>8.3744827586206896E-2</v>
      </c>
      <c r="J4" s="189">
        <v>0.63956774193548405</v>
      </c>
      <c r="K4" s="189">
        <v>4.5399999999999996E-2</v>
      </c>
      <c r="L4" s="189">
        <v>0.30309071927311459</v>
      </c>
      <c r="M4" s="189">
        <v>6.6618738750700124E-2</v>
      </c>
      <c r="N4" s="190">
        <v>2.7177683727815154</v>
      </c>
      <c r="O4" s="190">
        <v>1.0106692624147904</v>
      </c>
      <c r="P4" s="190">
        <v>7.8919615186460765</v>
      </c>
      <c r="Q4" s="190">
        <v>12.563333923120016</v>
      </c>
      <c r="R4" s="190">
        <v>4.9990165284684274</v>
      </c>
      <c r="S4" s="190">
        <v>16.16224108869471</v>
      </c>
    </row>
    <row r="5" spans="1:19" hidden="1">
      <c r="A5" t="s">
        <v>275</v>
      </c>
      <c r="B5" s="50">
        <v>46</v>
      </c>
      <c r="C5" s="189">
        <v>7.4786842105263138E-2</v>
      </c>
      <c r="D5" s="189">
        <v>0.10702273659910529</v>
      </c>
      <c r="E5" s="189">
        <v>0.14622188781834669</v>
      </c>
      <c r="F5" s="189">
        <v>0.18851934782608695</v>
      </c>
      <c r="G5" s="190">
        <v>1.1712392854194695</v>
      </c>
      <c r="H5" s="190">
        <v>1.2035897435897434</v>
      </c>
      <c r="I5" s="189">
        <v>9.0579487179487175E-2</v>
      </c>
      <c r="J5" s="189">
        <v>0.67004102564102563</v>
      </c>
      <c r="K5" s="189">
        <v>5.04E-2</v>
      </c>
      <c r="L5" s="189">
        <v>8.5749562410936786E-2</v>
      </c>
      <c r="M5" s="189">
        <v>8.5405402557745813E-2</v>
      </c>
      <c r="N5" s="190">
        <v>1.9183803077591857</v>
      </c>
      <c r="O5" s="190">
        <v>2.0784712915737988</v>
      </c>
      <c r="P5" s="190">
        <v>15.703637168853191</v>
      </c>
      <c r="Q5" s="190">
        <v>19.420838577128805</v>
      </c>
      <c r="R5" s="190">
        <v>4.5987030786539842</v>
      </c>
      <c r="S5" s="190">
        <v>21.966396433922405</v>
      </c>
    </row>
    <row r="6" spans="1:19" hidden="1">
      <c r="A6" t="s">
        <v>304</v>
      </c>
      <c r="B6" s="50">
        <v>54</v>
      </c>
      <c r="C6" s="189">
        <v>9.0000000000000011E-3</v>
      </c>
      <c r="D6" s="189">
        <v>6.8846109627435537E-2</v>
      </c>
      <c r="E6" s="189">
        <v>0.14062475877534353</v>
      </c>
      <c r="F6" s="189">
        <v>0.17879513468013469</v>
      </c>
      <c r="G6" s="190">
        <v>1.5049836833225858</v>
      </c>
      <c r="H6" s="190">
        <v>1.6613636363636366</v>
      </c>
      <c r="I6" s="189">
        <v>0.11346818181818183</v>
      </c>
      <c r="J6" s="189">
        <v>0.5150039999999998</v>
      </c>
      <c r="K6" s="189">
        <v>4.5399999999999996E-2</v>
      </c>
      <c r="L6" s="189">
        <v>0.18114800553096766</v>
      </c>
      <c r="M6" s="189">
        <v>9.7848118661256547E-2</v>
      </c>
      <c r="N6" s="190">
        <v>2.5283067748652157</v>
      </c>
      <c r="O6" s="190">
        <v>0.92801145191843648</v>
      </c>
      <c r="P6" s="190">
        <v>9.5616701098549761</v>
      </c>
      <c r="Q6" s="190">
        <v>13.479504607310723</v>
      </c>
      <c r="R6" s="190">
        <v>2.8953685286648474</v>
      </c>
      <c r="S6" s="190">
        <v>23.264440687940869</v>
      </c>
    </row>
    <row r="7" spans="1:19" hidden="1">
      <c r="A7" t="s">
        <v>434</v>
      </c>
      <c r="B7" s="50">
        <v>11</v>
      </c>
      <c r="C7" s="189">
        <v>9.6581818181818213E-2</v>
      </c>
      <c r="D7" s="189">
        <v>6.549842969724802E-2</v>
      </c>
      <c r="E7" s="189">
        <v>6.0982915488660451E-2</v>
      </c>
      <c r="F7" s="189">
        <v>0.17788636363636365</v>
      </c>
      <c r="G7" s="190">
        <v>1.1354538648224781</v>
      </c>
      <c r="H7" s="190">
        <v>1.69625</v>
      </c>
      <c r="I7" s="189">
        <v>0.11521250000000001</v>
      </c>
      <c r="J7" s="189">
        <v>0.49507272727272722</v>
      </c>
      <c r="K7" s="189">
        <v>4.0399999999999998E-2</v>
      </c>
      <c r="L7" s="189">
        <v>0.46617435996763745</v>
      </c>
      <c r="M7" s="189">
        <v>7.2803453037844107E-2</v>
      </c>
      <c r="N7" s="190">
        <v>1.3176111758279845</v>
      </c>
      <c r="O7" s="190">
        <v>0.98385758270636359</v>
      </c>
      <c r="P7" s="190">
        <v>8.7624135094310027</v>
      </c>
      <c r="Q7" s="190">
        <v>15.021086570380806</v>
      </c>
      <c r="R7" s="190">
        <v>1.5933273240221189</v>
      </c>
      <c r="S7" s="190">
        <v>12.649591405253796</v>
      </c>
    </row>
    <row r="8" spans="1:19" hidden="1">
      <c r="A8" t="s">
        <v>157</v>
      </c>
      <c r="B8" s="50">
        <v>375</v>
      </c>
      <c r="C8" s="189">
        <v>0</v>
      </c>
      <c r="D8" s="189" t="s">
        <v>303</v>
      </c>
      <c r="E8" s="189" t="s">
        <v>303</v>
      </c>
      <c r="F8" s="189">
        <v>0.17907770666666667</v>
      </c>
      <c r="G8" s="190">
        <v>0.62006581912985104</v>
      </c>
      <c r="H8" s="190">
        <v>0.88184952978056397</v>
      </c>
      <c r="I8" s="189">
        <v>7.4492476489028195E-2</v>
      </c>
      <c r="J8" s="189">
        <v>0.43182477611940312</v>
      </c>
      <c r="K8" s="189">
        <v>4.0399999999999998E-2</v>
      </c>
      <c r="L8" s="189">
        <v>0.45739142807013888</v>
      </c>
      <c r="M8" s="189">
        <v>5.1507424503650513E-2</v>
      </c>
      <c r="N8" s="190" t="s">
        <v>303</v>
      </c>
      <c r="O8" s="190" t="s">
        <v>303</v>
      </c>
      <c r="P8" s="190">
        <v>5.4009422074625979</v>
      </c>
      <c r="Q8" s="190">
        <v>5.4009422074625979</v>
      </c>
      <c r="R8" s="190">
        <v>1.2059868375447365</v>
      </c>
      <c r="S8" s="190">
        <v>18.140057485878234</v>
      </c>
    </row>
    <row r="9" spans="1:19" hidden="1">
      <c r="A9" t="s">
        <v>424</v>
      </c>
      <c r="B9" s="50">
        <v>86</v>
      </c>
      <c r="C9" s="189">
        <v>0</v>
      </c>
      <c r="D9" s="189" t="s">
        <v>303</v>
      </c>
      <c r="E9" s="189" t="s">
        <v>303</v>
      </c>
      <c r="F9" s="189">
        <v>0.21875558139534887</v>
      </c>
      <c r="G9" s="190">
        <v>0.85989181029207429</v>
      </c>
      <c r="H9" s="190">
        <v>0.95164556962025304</v>
      </c>
      <c r="I9" s="189">
        <v>7.7982278481012648E-2</v>
      </c>
      <c r="J9" s="189">
        <v>0.32121012658227838</v>
      </c>
      <c r="K9" s="189">
        <v>4.0399999999999998E-2</v>
      </c>
      <c r="L9" s="189">
        <v>0.24385320239335406</v>
      </c>
      <c r="M9" s="189">
        <v>6.4877051769502272E-2</v>
      </c>
      <c r="N9" s="190" t="s">
        <v>303</v>
      </c>
      <c r="O9" s="190" t="s">
        <v>303</v>
      </c>
      <c r="P9" s="190">
        <v>5.4328400137908153</v>
      </c>
      <c r="Q9" s="190">
        <v>5.4328400137908153</v>
      </c>
      <c r="R9" s="190">
        <v>1.5850629960766822</v>
      </c>
      <c r="S9" s="190">
        <v>18.569014820394099</v>
      </c>
    </row>
    <row r="10" spans="1:19" hidden="1">
      <c r="A10" t="s">
        <v>363</v>
      </c>
      <c r="B10" s="50">
        <v>36</v>
      </c>
      <c r="C10" s="189">
        <v>3.2425000000000002E-2</v>
      </c>
      <c r="D10" s="189">
        <v>0.20461580383721154</v>
      </c>
      <c r="E10" s="189">
        <v>0.13871009336482043</v>
      </c>
      <c r="F10" s="189">
        <v>0.17037444444444447</v>
      </c>
      <c r="G10" s="190">
        <v>0.71369675779727471</v>
      </c>
      <c r="H10" s="190">
        <v>0.80851851851851841</v>
      </c>
      <c r="I10" s="189">
        <v>7.0825925925925917E-2</v>
      </c>
      <c r="J10" s="189">
        <v>0.47978064516129032</v>
      </c>
      <c r="K10" s="189">
        <v>4.0399999999999998E-2</v>
      </c>
      <c r="L10" s="189">
        <v>0.18116584536604385</v>
      </c>
      <c r="M10" s="189">
        <v>6.2386147273395649E-2</v>
      </c>
      <c r="N10" s="190">
        <v>0.86164430054014318</v>
      </c>
      <c r="O10" s="190">
        <v>3.5930844127302213</v>
      </c>
      <c r="P10" s="190">
        <v>14.357790428644446</v>
      </c>
      <c r="Q10" s="190">
        <v>17.56015100177116</v>
      </c>
      <c r="R10" s="190">
        <v>4.7931973355852371</v>
      </c>
      <c r="S10" s="190">
        <v>28.963324278262593</v>
      </c>
    </row>
    <row r="11" spans="1:19" hidden="1">
      <c r="A11" t="s">
        <v>305</v>
      </c>
      <c r="B11" s="50">
        <v>232</v>
      </c>
      <c r="C11" s="189">
        <v>0.23919495798319323</v>
      </c>
      <c r="D11" s="189">
        <v>0.22273711574457786</v>
      </c>
      <c r="E11" s="189">
        <v>0.16570478877816588</v>
      </c>
      <c r="F11" s="189">
        <v>2.627478448275862E-2</v>
      </c>
      <c r="G11" s="190">
        <v>1.2730969228127766</v>
      </c>
      <c r="H11" s="190">
        <v>1.2361111111111109</v>
      </c>
      <c r="I11" s="189">
        <v>9.2205555555555554E-2</v>
      </c>
      <c r="J11" s="189">
        <v>0.83672400000000036</v>
      </c>
      <c r="K11" s="189">
        <v>5.5400000000000005E-2</v>
      </c>
      <c r="L11" s="189">
        <v>0.11162729271636407</v>
      </c>
      <c r="M11" s="189">
        <v>8.5623390225372534E-2</v>
      </c>
      <c r="N11" s="190">
        <v>0.92647426771925223</v>
      </c>
      <c r="O11" s="190">
        <v>8.1741988955421352</v>
      </c>
      <c r="P11" s="190">
        <v>28.373574517347418</v>
      </c>
      <c r="Q11" s="190">
        <v>36.698862999177187</v>
      </c>
      <c r="R11" s="190">
        <v>6.4608736996526046</v>
      </c>
      <c r="S11" s="190">
        <v>63.707235745752989</v>
      </c>
    </row>
    <row r="12" spans="1:19" hidden="1">
      <c r="A12" t="s">
        <v>295</v>
      </c>
      <c r="B12" s="50">
        <v>42</v>
      </c>
      <c r="C12" s="189">
        <v>4.8636363636363623E-2</v>
      </c>
      <c r="D12" s="189">
        <v>5.4963353579462184E-3</v>
      </c>
      <c r="E12" s="189">
        <v>-3.8420810684657932E-3</v>
      </c>
      <c r="F12" s="189">
        <v>0.11269571428571429</v>
      </c>
      <c r="G12" s="190">
        <v>1.2845248687400135</v>
      </c>
      <c r="H12" s="190">
        <v>1.6926470588235289</v>
      </c>
      <c r="I12" s="189">
        <v>0.11503235294117645</v>
      </c>
      <c r="J12" s="189">
        <v>0.76767647058823507</v>
      </c>
      <c r="K12" s="189">
        <v>5.04E-2</v>
      </c>
      <c r="L12" s="189">
        <v>0.30245695043755283</v>
      </c>
      <c r="M12" s="189">
        <v>8.9386316450163553E-2</v>
      </c>
      <c r="N12" s="190">
        <v>1.0697563706082647</v>
      </c>
      <c r="O12" s="190">
        <v>1.6408004116442483</v>
      </c>
      <c r="P12" s="190">
        <v>26.981182166410996</v>
      </c>
      <c r="Q12" s="190">
        <v>298.52625518420984</v>
      </c>
      <c r="R12" s="190">
        <v>2.4213162085075859</v>
      </c>
      <c r="S12" s="190">
        <v>755.50283778138248</v>
      </c>
    </row>
    <row r="13" spans="1:19" hidden="1">
      <c r="A13" t="s">
        <v>425</v>
      </c>
      <c r="B13" s="50">
        <v>18</v>
      </c>
      <c r="C13" s="189">
        <v>8.7352941176470578E-2</v>
      </c>
      <c r="D13" s="189">
        <v>0.19144690320173954</v>
      </c>
      <c r="E13" s="189">
        <v>0.11435377468717609</v>
      </c>
      <c r="F13" s="189">
        <v>0.20745555555555556</v>
      </c>
      <c r="G13" s="190">
        <v>0.70936857784395502</v>
      </c>
      <c r="H13" s="190">
        <v>0.95705882352941196</v>
      </c>
      <c r="I13" s="189">
        <v>7.8252941176470595E-2</v>
      </c>
      <c r="J13" s="189">
        <v>0.37319999999999998</v>
      </c>
      <c r="K13" s="189">
        <v>4.0399999999999998E-2</v>
      </c>
      <c r="L13" s="189">
        <v>0.35245875834597518</v>
      </c>
      <c r="M13" s="189">
        <v>5.9215606994797568E-2</v>
      </c>
      <c r="N13" s="190">
        <v>0.85992272093736544</v>
      </c>
      <c r="O13" s="190">
        <v>2.6189843578489831</v>
      </c>
      <c r="P13" s="190">
        <v>8.0329770384538826</v>
      </c>
      <c r="Q13" s="190">
        <v>13.679951537733654</v>
      </c>
      <c r="R13" s="190">
        <v>5.2432480881506454</v>
      </c>
      <c r="S13" s="190">
        <v>25.951556684903853</v>
      </c>
    </row>
    <row r="14" spans="1:19" hidden="1">
      <c r="A14" t="s">
        <v>334</v>
      </c>
      <c r="B14" s="50">
        <v>18</v>
      </c>
      <c r="C14" s="189">
        <v>-6.2447058823529397E-2</v>
      </c>
      <c r="D14" s="189">
        <v>0.1415471207946877</v>
      </c>
      <c r="E14" s="189">
        <v>0.152958947019842</v>
      </c>
      <c r="F14" s="189">
        <v>0.21555861705500079</v>
      </c>
      <c r="G14" s="190">
        <v>1.1980938266661822</v>
      </c>
      <c r="H14" s="190">
        <v>1.3173333333333332</v>
      </c>
      <c r="I14" s="189">
        <v>9.6266666666666667E-2</v>
      </c>
      <c r="J14" s="189">
        <v>0.3816133333333333</v>
      </c>
      <c r="K14" s="189">
        <v>4.0399999999999998E-2</v>
      </c>
      <c r="L14" s="189">
        <v>0.18885377187345631</v>
      </c>
      <c r="M14" s="189">
        <v>8.2664158991194531E-2</v>
      </c>
      <c r="N14" s="190">
        <v>1.4168201107882625</v>
      </c>
      <c r="O14" s="190">
        <v>1.5918713116444017</v>
      </c>
      <c r="P14" s="190">
        <v>8.3742876779015507</v>
      </c>
      <c r="Q14" s="190">
        <v>11.246228836780022</v>
      </c>
      <c r="R14" s="190">
        <v>2.7622775665862349</v>
      </c>
      <c r="S14" s="190">
        <v>14.55224637364244</v>
      </c>
    </row>
    <row r="15" spans="1:19" hidden="1">
      <c r="A15" t="s">
        <v>335</v>
      </c>
      <c r="B15" s="50">
        <v>32</v>
      </c>
      <c r="C15" s="189">
        <v>9.0217857142857141E-2</v>
      </c>
      <c r="D15" s="189">
        <v>0.15728826869638765</v>
      </c>
      <c r="E15" s="189">
        <v>0.15211342432835301</v>
      </c>
      <c r="F15" s="189">
        <v>0.2114559375</v>
      </c>
      <c r="G15" s="190">
        <v>1.2405943589784865</v>
      </c>
      <c r="H15" s="190">
        <v>1.3169230769230766</v>
      </c>
      <c r="I15" s="189">
        <v>9.6246153846153829E-2</v>
      </c>
      <c r="J15" s="189">
        <v>0.44719629629629631</v>
      </c>
      <c r="K15" s="189">
        <v>4.0399999999999998E-2</v>
      </c>
      <c r="L15" s="189">
        <v>0.14843033916441206</v>
      </c>
      <c r="M15" s="189">
        <v>8.5558256008844383E-2</v>
      </c>
      <c r="N15" s="190">
        <v>1.377252400596249</v>
      </c>
      <c r="O15" s="190">
        <v>2.0697062140066858</v>
      </c>
      <c r="P15" s="190">
        <v>10.11337305120851</v>
      </c>
      <c r="Q15" s="190">
        <v>13.158681389022242</v>
      </c>
      <c r="R15" s="190">
        <v>3.4656901508377005</v>
      </c>
      <c r="S15" s="190">
        <v>22.157343393512143</v>
      </c>
    </row>
    <row r="16" spans="1:19" hidden="1">
      <c r="A16" t="s">
        <v>23</v>
      </c>
      <c r="B16" s="50">
        <v>73</v>
      </c>
      <c r="C16" s="189">
        <v>0.11685737704918032</v>
      </c>
      <c r="D16" s="189">
        <v>0.11657767141736787</v>
      </c>
      <c r="E16" s="189">
        <v>0.14168736935590781</v>
      </c>
      <c r="F16" s="189">
        <v>0.15518876712328766</v>
      </c>
      <c r="G16" s="190">
        <v>1.0260039614082239</v>
      </c>
      <c r="H16" s="190">
        <v>1.1336842105263154</v>
      </c>
      <c r="I16" s="189">
        <v>8.7084210526315778E-2</v>
      </c>
      <c r="J16" s="189">
        <v>0.60603809523809538</v>
      </c>
      <c r="K16" s="189">
        <v>4.5399999999999996E-2</v>
      </c>
      <c r="L16" s="189">
        <v>0.16363676831333096</v>
      </c>
      <c r="M16" s="189">
        <v>7.7291497313526844E-2</v>
      </c>
      <c r="N16" s="190">
        <v>1.7013781308253768</v>
      </c>
      <c r="O16" s="190">
        <v>1.7118281051224484</v>
      </c>
      <c r="P16" s="190">
        <v>10.919840351552882</v>
      </c>
      <c r="Q16" s="190">
        <v>14.684013536295582</v>
      </c>
      <c r="R16" s="190">
        <v>3.9134412961488958</v>
      </c>
      <c r="S16" s="190">
        <v>30.182830490972613</v>
      </c>
    </row>
    <row r="17" spans="1:19" hidden="1">
      <c r="A17" t="s">
        <v>306</v>
      </c>
      <c r="B17" s="50">
        <v>19</v>
      </c>
      <c r="C17" s="189">
        <v>5.7915789473684212E-2</v>
      </c>
      <c r="D17" s="189">
        <v>0.10200344317309222</v>
      </c>
      <c r="E17" s="189">
        <v>7.6512189567619224E-2</v>
      </c>
      <c r="F17" s="189">
        <v>9.4717241824646428E-2</v>
      </c>
      <c r="G17" s="190">
        <v>0.89491710935307933</v>
      </c>
      <c r="H17" s="190">
        <v>1.4441666666666668</v>
      </c>
      <c r="I17" s="189">
        <v>0.10260833333333334</v>
      </c>
      <c r="J17" s="189">
        <v>0.46065</v>
      </c>
      <c r="K17" s="189">
        <v>4.0399999999999998E-2</v>
      </c>
      <c r="L17" s="189">
        <v>0.43666733340606856</v>
      </c>
      <c r="M17" s="189">
        <v>6.8387442193188763E-2</v>
      </c>
      <c r="N17" s="190">
        <v>0.86789450368389987</v>
      </c>
      <c r="O17" s="190">
        <v>1.4010154898014471</v>
      </c>
      <c r="P17" s="190">
        <v>6.9695184426229506</v>
      </c>
      <c r="Q17" s="190">
        <v>13.73498233215548</v>
      </c>
      <c r="R17" s="190">
        <v>1.4264189023267233</v>
      </c>
      <c r="S17" s="190">
        <v>36.355087512269392</v>
      </c>
    </row>
    <row r="18" spans="1:19" hidden="1">
      <c r="A18" t="s">
        <v>439</v>
      </c>
      <c r="B18" s="50">
        <v>181</v>
      </c>
      <c r="C18" s="189">
        <v>0.10341407407407406</v>
      </c>
      <c r="D18" s="189">
        <v>0.26927595947326632</v>
      </c>
      <c r="E18" s="189">
        <v>0.25517096601566158</v>
      </c>
      <c r="F18" s="189">
        <v>0.13430558011049726</v>
      </c>
      <c r="G18" s="190">
        <v>0.90011364518604753</v>
      </c>
      <c r="H18" s="190">
        <v>0.84773437500000004</v>
      </c>
      <c r="I18" s="189">
        <v>7.2786718750000007E-2</v>
      </c>
      <c r="J18" s="189">
        <v>0.671378102189781</v>
      </c>
      <c r="K18" s="189">
        <v>5.04E-2</v>
      </c>
      <c r="L18" s="189">
        <v>7.0522648821137457E-2</v>
      </c>
      <c r="M18" s="189">
        <v>6.9786211445102053E-2</v>
      </c>
      <c r="N18" s="190">
        <v>1.2576035133990107</v>
      </c>
      <c r="O18" s="190">
        <v>4.0941965034146577</v>
      </c>
      <c r="P18" s="190">
        <v>12.983571785837537</v>
      </c>
      <c r="Q18" s="190">
        <v>15.204463522935209</v>
      </c>
      <c r="R18" s="190">
        <v>4.2762332056908212</v>
      </c>
      <c r="S18" s="190">
        <v>65.03180971148943</v>
      </c>
    </row>
    <row r="19" spans="1:19" hidden="1">
      <c r="A19" t="s">
        <v>307</v>
      </c>
      <c r="B19" s="50">
        <v>68</v>
      </c>
      <c r="C19" s="189">
        <v>-7.7333333333333308E-3</v>
      </c>
      <c r="D19" s="189">
        <v>0.15878198419786518</v>
      </c>
      <c r="E19" s="189">
        <v>0.2906729083906302</v>
      </c>
      <c r="F19" s="189">
        <v>7.6268235294117637E-2</v>
      </c>
      <c r="G19" s="190">
        <v>1.2938059959262698</v>
      </c>
      <c r="H19" s="190">
        <v>1.2827586206896551</v>
      </c>
      <c r="I19" s="189">
        <v>9.4537931034482756E-2</v>
      </c>
      <c r="J19" s="189">
        <v>0.77258852459016414</v>
      </c>
      <c r="K19" s="189">
        <v>5.04E-2</v>
      </c>
      <c r="L19" s="189">
        <v>7.8853490409147797E-2</v>
      </c>
      <c r="M19" s="189">
        <v>8.9467814746327132E-2</v>
      </c>
      <c r="N19" s="190">
        <v>2.4470952085876596</v>
      </c>
      <c r="O19" s="190">
        <v>1.6722309872865717</v>
      </c>
      <c r="P19" s="190">
        <v>8.6896531141990963</v>
      </c>
      <c r="Q19" s="190">
        <v>10.531616642368768</v>
      </c>
      <c r="R19" s="190">
        <v>4.0602206115244961</v>
      </c>
      <c r="S19" s="190">
        <v>51.523502918163864</v>
      </c>
    </row>
    <row r="20" spans="1:19" hidden="1">
      <c r="A20" t="s">
        <v>66</v>
      </c>
      <c r="B20" s="50">
        <v>123</v>
      </c>
      <c r="C20" s="189">
        <v>0.11321399999999997</v>
      </c>
      <c r="D20" s="189">
        <v>0.13182005875121158</v>
      </c>
      <c r="E20" s="189">
        <v>8.832760304034934E-2</v>
      </c>
      <c r="F20" s="189">
        <v>0.20270463414634152</v>
      </c>
      <c r="G20" s="190">
        <v>0.88246150114580935</v>
      </c>
      <c r="H20" s="190">
        <v>1.1506481481481483</v>
      </c>
      <c r="I20" s="189">
        <v>8.7932407407407417E-2</v>
      </c>
      <c r="J20" s="189">
        <v>0.57214513274336287</v>
      </c>
      <c r="K20" s="189">
        <v>4.5399999999999996E-2</v>
      </c>
      <c r="L20" s="189">
        <v>0.37794408501134213</v>
      </c>
      <c r="M20" s="189">
        <v>6.499407102267922E-2</v>
      </c>
      <c r="N20" s="190">
        <v>0.85667892734537743</v>
      </c>
      <c r="O20" s="190">
        <v>2.1811062114073865</v>
      </c>
      <c r="P20" s="190">
        <v>12.678326290131038</v>
      </c>
      <c r="Q20" s="190">
        <v>16.546087386623469</v>
      </c>
      <c r="R20" s="190">
        <v>2.9100063695915774</v>
      </c>
      <c r="S20" s="190">
        <v>28.678852685333393</v>
      </c>
    </row>
    <row r="21" spans="1:19" hidden="1">
      <c r="A21" t="s">
        <v>67</v>
      </c>
      <c r="B21" s="50">
        <v>199</v>
      </c>
      <c r="C21" s="189">
        <v>0.23484297520661154</v>
      </c>
      <c r="D21" s="189">
        <v>0.25652594541773183</v>
      </c>
      <c r="E21" s="189">
        <v>0.16784455120202263</v>
      </c>
      <c r="F21" s="189">
        <v>5.8932914572864314E-2</v>
      </c>
      <c r="G21" s="190">
        <v>0.99132917957201649</v>
      </c>
      <c r="H21" s="190">
        <v>1.0411724137931035</v>
      </c>
      <c r="I21" s="189">
        <v>8.2458620689655177E-2</v>
      </c>
      <c r="J21" s="189">
        <v>0.84776666666666645</v>
      </c>
      <c r="K21" s="189">
        <v>5.5400000000000005E-2</v>
      </c>
      <c r="L21" s="189">
        <v>0.11618784378216318</v>
      </c>
      <c r="M21" s="189">
        <v>7.6740015277791965E-2</v>
      </c>
      <c r="N21" s="190">
        <v>0.82194885811118334</v>
      </c>
      <c r="O21" s="190">
        <v>4.0571864696333311</v>
      </c>
      <c r="P21" s="190">
        <v>11.841584579537139</v>
      </c>
      <c r="Q21" s="190">
        <v>15.815891304977084</v>
      </c>
      <c r="R21" s="190">
        <v>3.8521357811023447</v>
      </c>
      <c r="S21" s="190">
        <v>49.112295530900511</v>
      </c>
    </row>
    <row r="22" spans="1:19" hidden="1">
      <c r="A22" t="s">
        <v>308</v>
      </c>
      <c r="B22" s="50">
        <v>66</v>
      </c>
      <c r="C22" s="189">
        <v>0.13826666666666668</v>
      </c>
      <c r="D22" s="189">
        <v>0.12172471099235814</v>
      </c>
      <c r="E22" s="189">
        <v>9.1051301841125809E-2</v>
      </c>
      <c r="F22" s="189">
        <v>0.10237454545454543</v>
      </c>
      <c r="G22" s="190">
        <v>0.81666419546098734</v>
      </c>
      <c r="H22" s="190">
        <v>0.81897435897435888</v>
      </c>
      <c r="I22" s="189">
        <v>7.1348717948717943E-2</v>
      </c>
      <c r="J22" s="189">
        <v>0.724487234042553</v>
      </c>
      <c r="K22" s="189">
        <v>5.04E-2</v>
      </c>
      <c r="L22" s="189">
        <v>7.3035292897853488E-2</v>
      </c>
      <c r="M22" s="189">
        <v>6.8346330692678092E-2</v>
      </c>
      <c r="N22" s="190">
        <v>0.99957190549973618</v>
      </c>
      <c r="O22" s="190">
        <v>6.0052128444999857</v>
      </c>
      <c r="P22" s="190">
        <v>30.968768977089471</v>
      </c>
      <c r="Q22" s="190">
        <v>49.334377510881851</v>
      </c>
      <c r="R22" s="190">
        <v>6.3315288077192839</v>
      </c>
      <c r="S22" s="190">
        <v>150.17158018075486</v>
      </c>
    </row>
    <row r="23" spans="1:19" hidden="1">
      <c r="A23" t="s">
        <v>69</v>
      </c>
      <c r="B23" s="50">
        <v>33</v>
      </c>
      <c r="C23" s="189">
        <v>3.5872413793103436E-2</v>
      </c>
      <c r="D23" s="189">
        <v>0.12701312317954019</v>
      </c>
      <c r="E23" s="189">
        <v>0.2571131342022076</v>
      </c>
      <c r="F23" s="189">
        <v>0.21439393939393936</v>
      </c>
      <c r="G23" s="190">
        <v>0.8511647054640471</v>
      </c>
      <c r="H23" s="190">
        <v>0.77703703703703719</v>
      </c>
      <c r="I23" s="189">
        <v>6.9251851851851856E-2</v>
      </c>
      <c r="J23" s="189">
        <v>0.810367741935484</v>
      </c>
      <c r="K23" s="189">
        <v>5.5400000000000005E-2</v>
      </c>
      <c r="L23" s="189">
        <v>0.12528920030188184</v>
      </c>
      <c r="M23" s="189">
        <v>6.4739955731943494E-2</v>
      </c>
      <c r="N23" s="190">
        <v>3.302212755886877</v>
      </c>
      <c r="O23" s="190">
        <v>1.0185462940685643</v>
      </c>
      <c r="P23" s="190">
        <v>5.9476497418389638</v>
      </c>
      <c r="Q23" s="190">
        <v>8.0192209164779911</v>
      </c>
      <c r="R23" s="190">
        <v>2.9342454761773005</v>
      </c>
      <c r="S23" s="190">
        <v>24.09762545072067</v>
      </c>
    </row>
    <row r="24" spans="1:19" hidden="1">
      <c r="A24" t="s">
        <v>209</v>
      </c>
      <c r="B24" s="50">
        <v>20</v>
      </c>
      <c r="C24" s="189">
        <v>-2.2514999999999997E-2</v>
      </c>
      <c r="D24" s="189">
        <v>0.18576263274594468</v>
      </c>
      <c r="E24" s="189">
        <v>6.2854044483229662E-2</v>
      </c>
      <c r="F24" s="189">
        <v>0.28849399999999997</v>
      </c>
      <c r="G24" s="190">
        <v>0.35190398563856312</v>
      </c>
      <c r="H24" s="190">
        <v>0.54649999999999976</v>
      </c>
      <c r="I24" s="189">
        <v>5.7724999999999985E-2</v>
      </c>
      <c r="J24" s="189">
        <v>0.14798499999999998</v>
      </c>
      <c r="K24" s="189">
        <v>3.5400000000000001E-2</v>
      </c>
      <c r="L24" s="189">
        <v>0.44436905965951867</v>
      </c>
      <c r="M24" s="189">
        <v>4.151219485832245E-2</v>
      </c>
      <c r="N24" s="190">
        <v>0.488582701739813</v>
      </c>
      <c r="O24" s="190">
        <v>2.6074589554759817</v>
      </c>
      <c r="P24" s="190">
        <v>8.5104083972832321</v>
      </c>
      <c r="Q24" s="190">
        <v>14.036509479503511</v>
      </c>
      <c r="R24" s="190">
        <v>1.6209304318608775</v>
      </c>
      <c r="S24" s="190">
        <v>16.687393228680754</v>
      </c>
    </row>
    <row r="25" spans="1:19" hidden="1">
      <c r="A25" t="s">
        <v>44</v>
      </c>
      <c r="B25" s="50">
        <v>17</v>
      </c>
      <c r="C25" s="189">
        <v>-9.7949999999999995E-2</v>
      </c>
      <c r="D25" s="189">
        <v>0.20004469493527943</v>
      </c>
      <c r="E25" s="189">
        <v>5.4510012034320564E-2</v>
      </c>
      <c r="F25" s="189">
        <v>0.31063705882352943</v>
      </c>
      <c r="G25" s="190">
        <v>0.25608527064267772</v>
      </c>
      <c r="H25" s="190">
        <v>0.390625</v>
      </c>
      <c r="I25" s="189">
        <v>4.9931249999999996E-2</v>
      </c>
      <c r="J25" s="189">
        <v>0.1307625</v>
      </c>
      <c r="K25" s="189">
        <v>3.5400000000000001E-2</v>
      </c>
      <c r="L25" s="189">
        <v>0.44168563494468471</v>
      </c>
      <c r="M25" s="189">
        <v>3.7258737026393311E-2</v>
      </c>
      <c r="N25" s="190">
        <v>0.40385389877293681</v>
      </c>
      <c r="O25" s="190">
        <v>3.0921879727049637</v>
      </c>
      <c r="P25" s="190">
        <v>9.5579942853294586</v>
      </c>
      <c r="Q25" s="190">
        <v>15.457485506953239</v>
      </c>
      <c r="R25" s="190">
        <v>1.5437335996940811</v>
      </c>
      <c r="S25" s="190">
        <v>16.673464279020525</v>
      </c>
    </row>
    <row r="26" spans="1:19" hidden="1">
      <c r="A26" t="s">
        <v>1</v>
      </c>
      <c r="B26" s="50">
        <v>15</v>
      </c>
      <c r="C26" s="189">
        <v>-5.0226666666666669E-2</v>
      </c>
      <c r="D26" s="189">
        <v>0.16875314997480015</v>
      </c>
      <c r="E26" s="189">
        <v>6.4513815318495635E-2</v>
      </c>
      <c r="F26" s="189">
        <v>0.28235933333333335</v>
      </c>
      <c r="G26" s="190">
        <v>0.36677841867863226</v>
      </c>
      <c r="H26" s="190">
        <v>0.54466666666666663</v>
      </c>
      <c r="I26" s="189">
        <v>5.7633333333333328E-2</v>
      </c>
      <c r="J26" s="189">
        <v>0.14108000000000001</v>
      </c>
      <c r="K26" s="189">
        <v>3.5400000000000001E-2</v>
      </c>
      <c r="L26" s="189">
        <v>0.41235984843702955</v>
      </c>
      <c r="M26" s="189">
        <v>4.2626183915881702E-2</v>
      </c>
      <c r="N26" s="190">
        <v>0.51329487245622729</v>
      </c>
      <c r="O26" s="190">
        <v>2.4643437852497181</v>
      </c>
      <c r="P26" s="190">
        <v>8.3244696213499267</v>
      </c>
      <c r="Q26" s="190">
        <v>14.603246135658608</v>
      </c>
      <c r="R26" s="190">
        <v>1.5432414511698398</v>
      </c>
      <c r="S26" s="190">
        <v>16.853123038823053</v>
      </c>
    </row>
    <row r="27" spans="1:19" hidden="1">
      <c r="A27" t="s">
        <v>85</v>
      </c>
      <c r="B27" s="50">
        <v>60</v>
      </c>
      <c r="C27" s="189">
        <v>-2.6082692307692317E-2</v>
      </c>
      <c r="D27" s="189">
        <v>6.7372299448182821E-2</v>
      </c>
      <c r="E27" s="189">
        <v>4.4126859820021042E-2</v>
      </c>
      <c r="F27" s="189">
        <v>0.16776733333333332</v>
      </c>
      <c r="G27" s="190">
        <v>1.3440788774829324</v>
      </c>
      <c r="H27" s="190">
        <v>1.3464150943396227</v>
      </c>
      <c r="I27" s="189">
        <v>9.7720754716981134E-2</v>
      </c>
      <c r="J27" s="189">
        <v>0.67145087719298269</v>
      </c>
      <c r="K27" s="189">
        <v>5.04E-2</v>
      </c>
      <c r="L27" s="189">
        <v>0.10486140702786417</v>
      </c>
      <c r="M27" s="189">
        <v>9.0644627830056307E-2</v>
      </c>
      <c r="N27" s="190">
        <v>1.4617853891562171</v>
      </c>
      <c r="O27" s="190">
        <v>1.9056952397898621</v>
      </c>
      <c r="P27" s="190">
        <v>18.398290765902409</v>
      </c>
      <c r="Q27" s="190">
        <v>28.286035290447</v>
      </c>
      <c r="R27" s="190">
        <v>2.8871634396202634</v>
      </c>
      <c r="S27" s="190">
        <v>23.358854736094571</v>
      </c>
    </row>
    <row r="28" spans="1:19" hidden="1">
      <c r="A28" t="s">
        <v>272</v>
      </c>
      <c r="B28" s="50">
        <v>99</v>
      </c>
      <c r="C28" s="189">
        <v>5.2035294117647062E-2</v>
      </c>
      <c r="D28" s="189">
        <v>5.9668433577824302E-2</v>
      </c>
      <c r="E28" s="189">
        <v>0.12060230513883029</v>
      </c>
      <c r="F28" s="189">
        <v>0.1164668686868687</v>
      </c>
      <c r="G28" s="190">
        <v>1.0956988913175791</v>
      </c>
      <c r="H28" s="190">
        <v>1.1394318181818182</v>
      </c>
      <c r="I28" s="189">
        <v>8.7371590909090913E-2</v>
      </c>
      <c r="J28" s="189">
        <v>0.75335888888888891</v>
      </c>
      <c r="K28" s="189">
        <v>5.04E-2</v>
      </c>
      <c r="L28" s="189">
        <v>0.15497155312284427</v>
      </c>
      <c r="M28" s="189">
        <v>7.8517819533530125E-2</v>
      </c>
      <c r="N28" s="190">
        <v>2.6810625037155829</v>
      </c>
      <c r="O28" s="190">
        <v>0.83264604584460278</v>
      </c>
      <c r="P28" s="190">
        <v>9.6071388653997403</v>
      </c>
      <c r="Q28" s="190">
        <v>13.9545484256529</v>
      </c>
      <c r="R28" s="190">
        <v>2.4074203883602037</v>
      </c>
      <c r="S28" s="190">
        <v>25.255395918154441</v>
      </c>
    </row>
    <row r="29" spans="1:19" hidden="1">
      <c r="A29" t="s">
        <v>435</v>
      </c>
      <c r="B29" s="50">
        <v>30</v>
      </c>
      <c r="C29" s="189">
        <v>0.13101153846153851</v>
      </c>
      <c r="D29" s="189">
        <v>5.190975339388755E-2</v>
      </c>
      <c r="E29" s="189">
        <v>0.13830968219655895</v>
      </c>
      <c r="F29" s="189">
        <v>0.19882299999999997</v>
      </c>
      <c r="G29" s="190">
        <v>1.1487428605917036</v>
      </c>
      <c r="H29" s="190">
        <v>1.1048148148148147</v>
      </c>
      <c r="I29" s="189">
        <v>8.564074074074074E-2</v>
      </c>
      <c r="J29" s="189">
        <v>0.56110000000000015</v>
      </c>
      <c r="K29" s="189">
        <v>4.5399999999999996E-2</v>
      </c>
      <c r="L29" s="189">
        <v>0.10589131326319656</v>
      </c>
      <c r="M29" s="189">
        <v>7.9456609608160242E-2</v>
      </c>
      <c r="N29" s="190">
        <v>3.7646517864993996</v>
      </c>
      <c r="O29" s="190">
        <v>0.61286178515224699</v>
      </c>
      <c r="P29" s="190">
        <v>9.1697497617531774</v>
      </c>
      <c r="Q29" s="190">
        <v>11.806293520639462</v>
      </c>
      <c r="R29" s="190">
        <v>2.2554497183212581</v>
      </c>
      <c r="S29" s="190">
        <v>22.405045461867271</v>
      </c>
    </row>
    <row r="30" spans="1:19" hidden="1">
      <c r="A30" t="s">
        <v>418</v>
      </c>
      <c r="B30" s="50">
        <v>67</v>
      </c>
      <c r="C30" s="189">
        <v>9.0349999999999986E-2</v>
      </c>
      <c r="D30" s="189">
        <v>0.21640500752189684</v>
      </c>
      <c r="E30" s="189">
        <v>0.11786772580912815</v>
      </c>
      <c r="F30" s="189">
        <v>0.14871656716417911</v>
      </c>
      <c r="G30" s="190">
        <v>1.1822355084947258</v>
      </c>
      <c r="H30" s="190">
        <v>1.333469387755102</v>
      </c>
      <c r="I30" s="189">
        <v>9.7073469387755101E-2</v>
      </c>
      <c r="J30" s="189">
        <v>0.61005660377358484</v>
      </c>
      <c r="K30" s="189">
        <v>4.5399999999999996E-2</v>
      </c>
      <c r="L30" s="189">
        <v>0.16949281327170262</v>
      </c>
      <c r="M30" s="189">
        <v>8.5237198200701164E-2</v>
      </c>
      <c r="N30" s="190">
        <v>0.79086350672174899</v>
      </c>
      <c r="O30" s="190">
        <v>3.3055190845127442</v>
      </c>
      <c r="P30" s="190">
        <v>12.878239446321835</v>
      </c>
      <c r="Q30" s="190">
        <v>15.274688522067942</v>
      </c>
      <c r="R30" s="190">
        <v>3.5023072913415096</v>
      </c>
      <c r="S30" s="190">
        <v>25.358703794963038</v>
      </c>
    </row>
    <row r="31" spans="1:19" hidden="1">
      <c r="A31" t="s">
        <v>309</v>
      </c>
      <c r="B31" s="50">
        <v>36</v>
      </c>
      <c r="C31" s="189">
        <v>5.4515624999999998E-2</v>
      </c>
      <c r="D31" s="189">
        <v>0.14843330865571655</v>
      </c>
      <c r="E31" s="189">
        <v>0.14973855785792914</v>
      </c>
      <c r="F31" s="189">
        <v>0.11446777777777778</v>
      </c>
      <c r="G31" s="190">
        <v>1.3344289808931098</v>
      </c>
      <c r="H31" s="190">
        <v>1.0624999999999998</v>
      </c>
      <c r="I31" s="189">
        <v>8.3524999999999988E-2</v>
      </c>
      <c r="J31" s="189">
        <v>0.49474193548387085</v>
      </c>
      <c r="K31" s="189">
        <v>4.0399999999999998E-2</v>
      </c>
      <c r="L31" s="189">
        <v>6.0129076901604184E-2</v>
      </c>
      <c r="M31" s="189">
        <v>7.9960247675888385E-2</v>
      </c>
      <c r="N31" s="190">
        <v>1.2682704137797063</v>
      </c>
      <c r="O31" s="190">
        <v>1.9570864754747037</v>
      </c>
      <c r="P31" s="190">
        <v>10.011309183211074</v>
      </c>
      <c r="Q31" s="190">
        <v>13.184954867603642</v>
      </c>
      <c r="R31" s="190">
        <v>1.9184010849895063</v>
      </c>
      <c r="S31" s="190">
        <v>20.101393393732831</v>
      </c>
    </row>
    <row r="32" spans="1:19" hidden="1">
      <c r="A32" t="s">
        <v>419</v>
      </c>
      <c r="B32" s="50">
        <v>61</v>
      </c>
      <c r="C32" s="189">
        <v>0.16241777777777769</v>
      </c>
      <c r="D32" s="189">
        <v>0.14232994403827065</v>
      </c>
      <c r="E32" s="189">
        <v>7.1507359123987105E-2</v>
      </c>
      <c r="F32" s="189">
        <v>0.10817311475409835</v>
      </c>
      <c r="G32" s="190">
        <v>0.34024493584775001</v>
      </c>
      <c r="H32" s="190">
        <v>0.45300000000000012</v>
      </c>
      <c r="I32" s="189">
        <v>5.3050000000000007E-2</v>
      </c>
      <c r="J32" s="189">
        <v>0.77980384615384624</v>
      </c>
      <c r="K32" s="189">
        <v>5.04E-2</v>
      </c>
      <c r="L32" s="189">
        <v>0.28424883669399537</v>
      </c>
      <c r="M32" s="189">
        <v>4.6566284035009967E-2</v>
      </c>
      <c r="N32" s="190">
        <v>0.7627168063109212</v>
      </c>
      <c r="O32" s="190">
        <v>2.3558507616423237</v>
      </c>
      <c r="P32" s="190">
        <v>10.354707409044515</v>
      </c>
      <c r="Q32" s="190">
        <v>16.552038838776376</v>
      </c>
      <c r="R32" s="190">
        <v>2.5586130418424124</v>
      </c>
      <c r="S32" s="190">
        <v>28.064879985725039</v>
      </c>
    </row>
    <row r="33" spans="1:19" hidden="1">
      <c r="A33" t="s">
        <v>310</v>
      </c>
      <c r="B33" s="50">
        <v>225</v>
      </c>
      <c r="C33" s="189">
        <v>0.19019133858267714</v>
      </c>
      <c r="D33" s="189">
        <v>0.4876298652821307</v>
      </c>
      <c r="E33" s="189">
        <v>0.11193183151270443</v>
      </c>
      <c r="F33" s="189">
        <v>0.16738742222222217</v>
      </c>
      <c r="G33" s="190">
        <v>0.94517583250740744</v>
      </c>
      <c r="H33" s="190">
        <v>1.1881699346405228</v>
      </c>
      <c r="I33" s="189">
        <v>8.9808496732026136E-2</v>
      </c>
      <c r="J33" s="189">
        <v>0.54619534883720933</v>
      </c>
      <c r="K33" s="189">
        <v>4.5399999999999996E-2</v>
      </c>
      <c r="L33" s="189">
        <v>0.35092497524860689</v>
      </c>
      <c r="M33" s="189">
        <v>6.7851648564997327E-2</v>
      </c>
      <c r="N33" s="190">
        <v>0.32117862021334342</v>
      </c>
      <c r="O33" s="190">
        <v>5.4798268153780354</v>
      </c>
      <c r="P33" s="190">
        <v>10.5814515900722</v>
      </c>
      <c r="Q33" s="190">
        <v>11.237676782178921</v>
      </c>
      <c r="R33" s="190">
        <v>2.362454187963245</v>
      </c>
      <c r="S33" s="190">
        <v>26.685639239861789</v>
      </c>
    </row>
    <row r="34" spans="1:19" hidden="1">
      <c r="A34" t="s">
        <v>386</v>
      </c>
      <c r="B34" s="50">
        <v>104</v>
      </c>
      <c r="C34" s="189">
        <v>6.5843956043956028E-2</v>
      </c>
      <c r="D34" s="189">
        <v>9.2301119748155622E-2</v>
      </c>
      <c r="E34" s="189">
        <v>0.12398933847604081</v>
      </c>
      <c r="F34" s="189">
        <v>0.21846636988011986</v>
      </c>
      <c r="G34" s="190">
        <v>0.76058140283043618</v>
      </c>
      <c r="H34" s="190">
        <v>0.85075000000000023</v>
      </c>
      <c r="I34" s="189">
        <v>7.2937500000000016E-2</v>
      </c>
      <c r="J34" s="189">
        <v>0.51379090909090908</v>
      </c>
      <c r="K34" s="189">
        <v>4.5399999999999996E-2</v>
      </c>
      <c r="L34" s="189">
        <v>0.17029565643806033</v>
      </c>
      <c r="M34" s="189">
        <v>6.5155414239921758E-2</v>
      </c>
      <c r="N34" s="190">
        <v>1.7757105149303445</v>
      </c>
      <c r="O34" s="190">
        <v>1.3987510682456354</v>
      </c>
      <c r="P34" s="190">
        <v>12.039161462663758</v>
      </c>
      <c r="Q34" s="190">
        <v>15.154215594156813</v>
      </c>
      <c r="R34" s="190">
        <v>3.2682893110941729</v>
      </c>
      <c r="S34" s="190">
        <v>31.353770946308771</v>
      </c>
    </row>
    <row r="35" spans="1:19" hidden="1">
      <c r="A35" t="s">
        <v>311</v>
      </c>
      <c r="B35" s="50">
        <v>10</v>
      </c>
      <c r="C35" s="189">
        <v>-9.4750000000000001E-2</v>
      </c>
      <c r="D35" s="189">
        <v>4.5624178554594136E-2</v>
      </c>
      <c r="E35" s="189">
        <v>6.7501135488844621E-2</v>
      </c>
      <c r="F35" s="189">
        <v>0.31099599999999999</v>
      </c>
      <c r="G35" s="190">
        <v>1.1488804751567461</v>
      </c>
      <c r="H35" s="190">
        <v>1.1066666666666667</v>
      </c>
      <c r="I35" s="189">
        <v>8.5733333333333342E-2</v>
      </c>
      <c r="J35" s="189">
        <v>0.29833999999999999</v>
      </c>
      <c r="K35" s="189">
        <v>4.0399999999999998E-2</v>
      </c>
      <c r="L35" s="189">
        <v>0.24764122376944486</v>
      </c>
      <c r="M35" s="189">
        <v>7.0505049013004278E-2</v>
      </c>
      <c r="N35" s="190">
        <v>2.2336237348595702</v>
      </c>
      <c r="O35" s="190">
        <v>0.5354939386495976</v>
      </c>
      <c r="P35" s="190">
        <v>5.3908684471255324</v>
      </c>
      <c r="Q35" s="190">
        <v>11.737064767288308</v>
      </c>
      <c r="R35" s="190">
        <v>1.2064139971591348</v>
      </c>
      <c r="S35" s="190">
        <v>34.224567724922309</v>
      </c>
    </row>
    <row r="36" spans="1:19" hidden="1">
      <c r="A36" t="s">
        <v>371</v>
      </c>
      <c r="B36" s="50">
        <v>6</v>
      </c>
      <c r="C36" s="189">
        <v>6.7299999999999999E-2</v>
      </c>
      <c r="D36" s="189">
        <v>0.14721884035915384</v>
      </c>
      <c r="E36" s="189">
        <v>8.4117652380101673E-2</v>
      </c>
      <c r="F36" s="189">
        <v>0.27801333333333328</v>
      </c>
      <c r="G36" s="190">
        <v>0.80705514501229036</v>
      </c>
      <c r="H36" s="190">
        <v>1.0133333333333334</v>
      </c>
      <c r="I36" s="189">
        <v>8.1066666666666676E-2</v>
      </c>
      <c r="J36" s="189">
        <v>0.25906666666666661</v>
      </c>
      <c r="K36" s="189">
        <v>4.0399999999999998E-2</v>
      </c>
      <c r="L36" s="189">
        <v>0.28094625440962862</v>
      </c>
      <c r="M36" s="189">
        <v>6.510142751608218E-2</v>
      </c>
      <c r="N36" s="190">
        <v>0.85375083234534632</v>
      </c>
      <c r="O36" s="190">
        <v>2.2444262669304513</v>
      </c>
      <c r="P36" s="190">
        <v>11.690943321442727</v>
      </c>
      <c r="Q36" s="190">
        <v>15.2455097557824</v>
      </c>
      <c r="R36" s="190">
        <v>2.8669579030976964</v>
      </c>
      <c r="S36" s="190">
        <v>22.402798907473272</v>
      </c>
    </row>
    <row r="37" spans="1:19" hidden="1">
      <c r="A37" t="s">
        <v>312</v>
      </c>
      <c r="B37" s="50">
        <v>28</v>
      </c>
      <c r="C37" s="189">
        <v>2.9719230769230772E-2</v>
      </c>
      <c r="D37" s="189">
        <v>6.8350769631662034E-2</v>
      </c>
      <c r="E37" s="189">
        <v>0.10099088713475743</v>
      </c>
      <c r="F37" s="189">
        <v>0.19542928571428572</v>
      </c>
      <c r="G37" s="190">
        <v>1.3318614058045495</v>
      </c>
      <c r="H37" s="190">
        <v>1.3941666666666668</v>
      </c>
      <c r="I37" s="189">
        <v>0.10010833333333334</v>
      </c>
      <c r="J37" s="189">
        <v>0.45608333333333345</v>
      </c>
      <c r="K37" s="189">
        <v>4.0399999999999998E-2</v>
      </c>
      <c r="L37" s="189">
        <v>0.12039381880200517</v>
      </c>
      <c r="M37" s="189">
        <v>9.0974254957189873E-2</v>
      </c>
      <c r="N37" s="190">
        <v>1.9447508212554627</v>
      </c>
      <c r="O37" s="190">
        <v>1.3423841567160744</v>
      </c>
      <c r="P37" s="190">
        <v>14.071259123133803</v>
      </c>
      <c r="Q37" s="190">
        <v>19.639634841715718</v>
      </c>
      <c r="R37" s="190">
        <v>2.9530653556969355</v>
      </c>
      <c r="S37" s="190">
        <v>22.353598411460375</v>
      </c>
    </row>
    <row r="38" spans="1:19" hidden="1">
      <c r="A38" t="s">
        <v>313</v>
      </c>
      <c r="B38" s="50">
        <v>19</v>
      </c>
      <c r="C38" s="189">
        <v>7.1182352941176461E-2</v>
      </c>
      <c r="D38" s="189">
        <v>0.13679243266296165</v>
      </c>
      <c r="E38" s="189">
        <v>0.10002807306367952</v>
      </c>
      <c r="F38" s="189">
        <v>0.1800547368421053</v>
      </c>
      <c r="G38" s="190">
        <v>1.075497742686373</v>
      </c>
      <c r="H38" s="190">
        <v>1.0658823529411765</v>
      </c>
      <c r="I38" s="189">
        <v>8.3694117647058822E-2</v>
      </c>
      <c r="J38" s="189">
        <v>0.54313529411764716</v>
      </c>
      <c r="K38" s="189">
        <v>4.5399999999999996E-2</v>
      </c>
      <c r="L38" s="189">
        <v>7.7120064321104409E-2</v>
      </c>
      <c r="M38" s="189">
        <v>7.9340372462926453E-2</v>
      </c>
      <c r="N38" s="190">
        <v>1.1088566066177012</v>
      </c>
      <c r="O38" s="190">
        <v>4.735356443165009</v>
      </c>
      <c r="P38" s="190">
        <v>21.114162556232497</v>
      </c>
      <c r="Q38" s="190">
        <v>34.617093584645119</v>
      </c>
      <c r="R38" s="190">
        <v>5.3652077579142254</v>
      </c>
      <c r="S38" s="190">
        <v>1058.2446769113355</v>
      </c>
    </row>
    <row r="39" spans="1:19" hidden="1">
      <c r="A39" t="s">
        <v>440</v>
      </c>
      <c r="B39" s="50">
        <v>21</v>
      </c>
      <c r="C39" s="189">
        <v>3.9259999999999996E-2</v>
      </c>
      <c r="D39" s="189">
        <v>0.10865310799260275</v>
      </c>
      <c r="E39" s="189">
        <v>0.15038455952403684</v>
      </c>
      <c r="F39" s="189">
        <v>0.20127714285714282</v>
      </c>
      <c r="G39" s="190">
        <v>1.4567452186438001</v>
      </c>
      <c r="H39" s="190">
        <v>1.7931578947368418</v>
      </c>
      <c r="I39" s="189">
        <v>0.1200578947368421</v>
      </c>
      <c r="J39" s="189">
        <v>0.39159999999999995</v>
      </c>
      <c r="K39" s="189">
        <v>4.0399999999999998E-2</v>
      </c>
      <c r="L39" s="189">
        <v>0.29490854439852865</v>
      </c>
      <c r="M39" s="189">
        <v>9.1800378872668564E-2</v>
      </c>
      <c r="N39" s="190">
        <v>1.9499243576767946</v>
      </c>
      <c r="O39" s="190">
        <v>1.1420407217243644</v>
      </c>
      <c r="P39" s="190">
        <v>8.2253666832554195</v>
      </c>
      <c r="Q39" s="190">
        <v>10.510888669674467</v>
      </c>
      <c r="R39" s="190">
        <v>3.5838626720676725</v>
      </c>
      <c r="S39" s="190">
        <v>19.883825155488577</v>
      </c>
    </row>
    <row r="40" spans="1:19" hidden="1">
      <c r="A40" t="s">
        <v>329</v>
      </c>
      <c r="B40" s="50">
        <v>25</v>
      </c>
      <c r="C40" s="189">
        <v>0.14607000000000003</v>
      </c>
      <c r="D40" s="189">
        <v>-0.17623848312850846</v>
      </c>
      <c r="E40" s="189">
        <v>-0.17932801985719349</v>
      </c>
      <c r="F40" s="189">
        <v>7.0940400000000001E-2</v>
      </c>
      <c r="G40" s="190">
        <v>1.3999239299276989</v>
      </c>
      <c r="H40" s="190">
        <v>1.7870000000000001</v>
      </c>
      <c r="I40" s="189">
        <v>0.11975000000000001</v>
      </c>
      <c r="J40" s="189">
        <v>0.41471999999999998</v>
      </c>
      <c r="K40" s="189">
        <v>4.0399999999999998E-2</v>
      </c>
      <c r="L40" s="189">
        <v>0.35224302947437613</v>
      </c>
      <c r="M40" s="189">
        <v>8.6107268254902336E-2</v>
      </c>
      <c r="N40" s="190">
        <v>0.94402218812699157</v>
      </c>
      <c r="O40" s="190">
        <v>1.837783014739895</v>
      </c>
      <c r="P40" s="190" t="s">
        <v>303</v>
      </c>
      <c r="Q40" s="190" t="s">
        <v>303</v>
      </c>
      <c r="R40" s="190">
        <v>2.2450886296151888</v>
      </c>
      <c r="S40" s="190">
        <v>25.558458404537152</v>
      </c>
    </row>
    <row r="41" spans="1:19" hidden="1">
      <c r="A41" t="s">
        <v>330</v>
      </c>
      <c r="B41" s="50">
        <v>53</v>
      </c>
      <c r="C41" s="189">
        <v>0.15358913043478264</v>
      </c>
      <c r="D41" s="189">
        <v>0.15196019217661264</v>
      </c>
      <c r="E41" s="189">
        <v>0.10234129973124671</v>
      </c>
      <c r="F41" s="189">
        <v>0.14475075471698112</v>
      </c>
      <c r="G41" s="190">
        <v>1.1414834706162307</v>
      </c>
      <c r="H41" s="190">
        <v>1.4865116279069772</v>
      </c>
      <c r="I41" s="189">
        <v>0.10472558139534886</v>
      </c>
      <c r="J41" s="189">
        <v>0.58460217391304348</v>
      </c>
      <c r="K41" s="189">
        <v>4.5399999999999996E-2</v>
      </c>
      <c r="L41" s="189">
        <v>0.30647970150866943</v>
      </c>
      <c r="M41" s="189">
        <v>8.0977823538076629E-2</v>
      </c>
      <c r="N41" s="190">
        <v>0.805951201236906</v>
      </c>
      <c r="O41" s="190">
        <v>3.0957691761141244</v>
      </c>
      <c r="P41" s="190">
        <v>13.805447085312524</v>
      </c>
      <c r="Q41" s="190">
        <v>20.372237832630073</v>
      </c>
      <c r="R41" s="190">
        <v>5.4509755195450644</v>
      </c>
      <c r="S41" s="190">
        <v>37.989699917608618</v>
      </c>
    </row>
    <row r="42" spans="1:19" hidden="1">
      <c r="A42" t="s">
        <v>342</v>
      </c>
      <c r="B42" s="50">
        <v>26</v>
      </c>
      <c r="C42" s="189">
        <v>7.3329166666666667E-2</v>
      </c>
      <c r="D42" s="189">
        <v>0.16933069054096819</v>
      </c>
      <c r="E42" s="189">
        <v>0.14721927772399618</v>
      </c>
      <c r="F42" s="189">
        <v>0.23875538461538459</v>
      </c>
      <c r="G42" s="190">
        <v>0.86227008625155788</v>
      </c>
      <c r="H42" s="190">
        <v>0.94173913043478275</v>
      </c>
      <c r="I42" s="189">
        <v>7.7486956521739134E-2</v>
      </c>
      <c r="J42" s="189">
        <v>0.40365600000000001</v>
      </c>
      <c r="K42" s="189">
        <v>4.0399999999999998E-2</v>
      </c>
      <c r="L42" s="189">
        <v>0.1370199005130871</v>
      </c>
      <c r="M42" s="189">
        <v>7.0191063836505765E-2</v>
      </c>
      <c r="N42" s="190">
        <v>1.1929042626885051</v>
      </c>
      <c r="O42" s="190">
        <v>2.6469344082357353</v>
      </c>
      <c r="P42" s="190">
        <v>13.127641805137927</v>
      </c>
      <c r="Q42" s="190">
        <v>15.63174637615578</v>
      </c>
      <c r="R42" s="190">
        <v>4.3765896065192287</v>
      </c>
      <c r="S42" s="190">
        <v>21.023121448873439</v>
      </c>
    </row>
    <row r="43" spans="1:19" hidden="1">
      <c r="A43" t="s">
        <v>314</v>
      </c>
      <c r="B43" s="50">
        <v>25</v>
      </c>
      <c r="C43" s="189">
        <v>7.677272727272727E-2</v>
      </c>
      <c r="D43" s="189">
        <v>3.152436204681424E-2</v>
      </c>
      <c r="E43" s="189">
        <v>0.1168932582034698</v>
      </c>
      <c r="F43" s="189">
        <v>0.25628440000000002</v>
      </c>
      <c r="G43" s="190">
        <v>1.4987503113968152</v>
      </c>
      <c r="H43" s="190">
        <v>1.4715000000000003</v>
      </c>
      <c r="I43" s="189">
        <v>0.10397500000000001</v>
      </c>
      <c r="J43" s="189">
        <v>0.50437272727272731</v>
      </c>
      <c r="K43" s="189">
        <v>4.5399999999999996E-2</v>
      </c>
      <c r="L43" s="189">
        <v>8.3300017895149625E-2</v>
      </c>
      <c r="M43" s="189">
        <v>9.75829731268157E-2</v>
      </c>
      <c r="N43" s="190">
        <v>6.0903666038754896</v>
      </c>
      <c r="O43" s="190">
        <v>0.52243596676024895</v>
      </c>
      <c r="P43" s="190">
        <v>13.143061067796578</v>
      </c>
      <c r="Q43" s="190">
        <v>16.572451679891959</v>
      </c>
      <c r="R43" s="190">
        <v>3.2044480528123089</v>
      </c>
      <c r="S43" s="190">
        <v>26.36525281576823</v>
      </c>
    </row>
    <row r="44" spans="1:19" hidden="1">
      <c r="A44" t="s">
        <v>357</v>
      </c>
      <c r="B44" s="50">
        <v>122</v>
      </c>
      <c r="C44" s="189">
        <v>6.3044339622641513E-2</v>
      </c>
      <c r="D44" s="189">
        <v>0.10226892558012976</v>
      </c>
      <c r="E44" s="189">
        <v>7.449151680399968E-2</v>
      </c>
      <c r="F44" s="189">
        <v>0.20042499999999991</v>
      </c>
      <c r="G44" s="190">
        <v>0.67540529514312486</v>
      </c>
      <c r="H44" s="190">
        <v>0.92858490566037744</v>
      </c>
      <c r="I44" s="189">
        <v>7.6829245283018877E-2</v>
      </c>
      <c r="J44" s="189">
        <v>0.58226000000000022</v>
      </c>
      <c r="K44" s="189">
        <v>4.5399999999999996E-2</v>
      </c>
      <c r="L44" s="189">
        <v>0.37910086600666471</v>
      </c>
      <c r="M44" s="189">
        <v>5.8029919451609506E-2</v>
      </c>
      <c r="N44" s="190">
        <v>1.0446164025751554</v>
      </c>
      <c r="O44" s="190">
        <v>1.5598383461730265</v>
      </c>
      <c r="P44" s="190">
        <v>11.242467500863381</v>
      </c>
      <c r="Q44" s="190">
        <v>15.252319678970927</v>
      </c>
      <c r="R44" s="190">
        <v>2.3516332672793077</v>
      </c>
      <c r="S44" s="190">
        <v>37.625742887570155</v>
      </c>
    </row>
    <row r="45" spans="1:19" hidden="1">
      <c r="A45" t="s">
        <v>299</v>
      </c>
      <c r="B45" s="50">
        <v>29</v>
      </c>
      <c r="C45" s="189">
        <v>0.10260800000000002</v>
      </c>
      <c r="D45" s="189">
        <v>0.19643373115621302</v>
      </c>
      <c r="E45" s="189">
        <v>0.12073293246470478</v>
      </c>
      <c r="F45" s="189">
        <v>0.17004896551724138</v>
      </c>
      <c r="G45" s="190">
        <v>1.0229055733712096</v>
      </c>
      <c r="H45" s="190">
        <v>1.1372727272727272</v>
      </c>
      <c r="I45" s="189">
        <v>8.7263636363636363E-2</v>
      </c>
      <c r="J45" s="189">
        <v>0.55922000000000016</v>
      </c>
      <c r="K45" s="189">
        <v>4.5399999999999996E-2</v>
      </c>
      <c r="L45" s="189">
        <v>0.16063362982896656</v>
      </c>
      <c r="M45" s="189">
        <v>7.7621821779011502E-2</v>
      </c>
      <c r="N45" s="190">
        <v>0.83188434130278976</v>
      </c>
      <c r="O45" s="190">
        <v>4.0512707676215172</v>
      </c>
      <c r="P45" s="190">
        <v>14.480642418278819</v>
      </c>
      <c r="Q45" s="190">
        <v>20.62410943260943</v>
      </c>
      <c r="R45" s="190">
        <v>5.0986593308254484</v>
      </c>
      <c r="S45" s="190">
        <v>214.35484562231233</v>
      </c>
    </row>
    <row r="46" spans="1:19" hidden="1">
      <c r="A46" t="s">
        <v>234</v>
      </c>
      <c r="B46" s="50">
        <v>31</v>
      </c>
      <c r="C46" s="189">
        <v>0</v>
      </c>
      <c r="D46" s="189" t="s">
        <v>303</v>
      </c>
      <c r="E46" s="189" t="s">
        <v>303</v>
      </c>
      <c r="F46" s="189">
        <v>0.20485064516129034</v>
      </c>
      <c r="G46" s="190">
        <v>1.658166047401147</v>
      </c>
      <c r="H46" s="190">
        <v>1.6203703703703707</v>
      </c>
      <c r="I46" s="189">
        <v>0.11141851851851854</v>
      </c>
      <c r="J46" s="189">
        <v>0.29375172413793105</v>
      </c>
      <c r="K46" s="189">
        <v>4.0399999999999998E-2</v>
      </c>
      <c r="L46" s="189">
        <v>0.26975833272919614</v>
      </c>
      <c r="M46" s="189">
        <v>8.7901386713161639E-2</v>
      </c>
      <c r="N46" s="190" t="s">
        <v>303</v>
      </c>
      <c r="O46" s="190" t="s">
        <v>303</v>
      </c>
      <c r="P46" s="190">
        <v>1.5106105006492663</v>
      </c>
      <c r="Q46" s="190">
        <v>1.5106105006492663</v>
      </c>
      <c r="R46" s="190">
        <v>1.0300731478741061</v>
      </c>
      <c r="S46" s="190">
        <v>14.719598383177914</v>
      </c>
    </row>
    <row r="47" spans="1:19" hidden="1">
      <c r="A47" t="s">
        <v>189</v>
      </c>
      <c r="B47" s="50">
        <v>66</v>
      </c>
      <c r="C47" s="189">
        <v>4.9599999999999998E-2</v>
      </c>
      <c r="D47" s="189" t="s">
        <v>303</v>
      </c>
      <c r="E47" s="189" t="s">
        <v>303</v>
      </c>
      <c r="F47" s="189">
        <v>0.12619545454545453</v>
      </c>
      <c r="G47" s="190">
        <v>0.80706142576080209</v>
      </c>
      <c r="H47" s="190">
        <v>0.80942307692307724</v>
      </c>
      <c r="I47" s="189">
        <v>7.0871153846153861E-2</v>
      </c>
      <c r="J47" s="189">
        <v>0.27381785714285711</v>
      </c>
      <c r="K47" s="189">
        <v>4.0399999999999998E-2</v>
      </c>
      <c r="L47" s="189">
        <v>0.17911772578208052</v>
      </c>
      <c r="M47" s="189">
        <v>6.2518687618636465E-2</v>
      </c>
      <c r="N47" s="190" t="s">
        <v>303</v>
      </c>
      <c r="O47" s="190" t="s">
        <v>303</v>
      </c>
      <c r="P47" s="190">
        <v>299.00364963503648</v>
      </c>
      <c r="Q47" s="190">
        <v>301.42384105960264</v>
      </c>
      <c r="R47" s="190">
        <v>1.3612502216422899</v>
      </c>
      <c r="S47" s="190">
        <v>17.610782603088914</v>
      </c>
    </row>
    <row r="48" spans="1:19" hidden="1">
      <c r="A48" t="s">
        <v>131</v>
      </c>
      <c r="B48" s="50">
        <v>145</v>
      </c>
      <c r="C48" s="189">
        <v>0.1848403669724771</v>
      </c>
      <c r="D48" s="189">
        <v>0.14243346151762673</v>
      </c>
      <c r="E48" s="189">
        <v>0.25217896142449897</v>
      </c>
      <c r="F48" s="189">
        <v>0.11272186206896552</v>
      </c>
      <c r="G48" s="190">
        <v>1.0234784634430105</v>
      </c>
      <c r="H48" s="190">
        <v>0.94553398058252447</v>
      </c>
      <c r="I48" s="189">
        <v>7.7676699029126231E-2</v>
      </c>
      <c r="J48" s="189">
        <v>0.90803962264150928</v>
      </c>
      <c r="K48" s="189">
        <v>6.0399999999999995E-2</v>
      </c>
      <c r="L48" s="189">
        <v>2.3367595748406966E-2</v>
      </c>
      <c r="M48" s="189">
        <v>7.6708422997065207E-2</v>
      </c>
      <c r="N48" s="190">
        <v>2.2908122564028535</v>
      </c>
      <c r="O48" s="190">
        <v>5.5678260187030713</v>
      </c>
      <c r="P48" s="190">
        <v>27.770470489018287</v>
      </c>
      <c r="Q48" s="190">
        <v>39.090716179877639</v>
      </c>
      <c r="R48" s="190">
        <v>6.8334681242942308</v>
      </c>
      <c r="S48" s="190">
        <v>149.75243425417185</v>
      </c>
    </row>
    <row r="49" spans="1:19" hidden="1">
      <c r="A49" t="s">
        <v>675</v>
      </c>
      <c r="B49" s="50">
        <v>16</v>
      </c>
      <c r="C49" s="189">
        <v>0.32195454545454544</v>
      </c>
      <c r="D49" s="189">
        <v>0.32793167208128848</v>
      </c>
      <c r="E49" s="189">
        <v>0.93101593849277064</v>
      </c>
      <c r="F49" s="189">
        <v>0.21821374999999998</v>
      </c>
      <c r="G49" s="190">
        <v>1.4729807950163822</v>
      </c>
      <c r="H49" s="190">
        <v>1.1930769230769227</v>
      </c>
      <c r="I49" s="189">
        <v>9.0053846153846137E-2</v>
      </c>
      <c r="J49" s="189">
        <v>0.66004000000000007</v>
      </c>
      <c r="K49" s="189">
        <v>5.04E-2</v>
      </c>
      <c r="L49" s="189">
        <v>5.3501144566449832E-2</v>
      </c>
      <c r="M49" s="189">
        <v>8.6853736923693817E-2</v>
      </c>
      <c r="N49" s="190">
        <v>3.5871003734754909</v>
      </c>
      <c r="O49" s="190">
        <v>3.0545022724130773</v>
      </c>
      <c r="P49" s="190">
        <v>8.1657533059998837</v>
      </c>
      <c r="Q49" s="190">
        <v>9.314447284176687</v>
      </c>
      <c r="R49" s="190">
        <v>3.9176488618947594</v>
      </c>
      <c r="S49" s="190">
        <v>22.438837260384648</v>
      </c>
    </row>
    <row r="50" spans="1:19" hidden="1">
      <c r="A50" t="s">
        <v>441</v>
      </c>
      <c r="B50" s="50">
        <v>55</v>
      </c>
      <c r="C50" s="189">
        <v>3.3343750000000012E-2</v>
      </c>
      <c r="D50" s="189">
        <v>0.13664818931675182</v>
      </c>
      <c r="E50" s="189">
        <v>0.28418674163420121</v>
      </c>
      <c r="F50" s="189">
        <v>0.18607727272727267</v>
      </c>
      <c r="G50" s="190">
        <v>0.94076430769687913</v>
      </c>
      <c r="H50" s="190">
        <v>0.90468085106382945</v>
      </c>
      <c r="I50" s="189">
        <v>7.5634042553191477E-2</v>
      </c>
      <c r="J50" s="189">
        <v>0.51197000000000015</v>
      </c>
      <c r="K50" s="189">
        <v>4.5399999999999996E-2</v>
      </c>
      <c r="L50" s="189">
        <v>5.289496809503802E-2</v>
      </c>
      <c r="M50" s="189">
        <v>7.3074241216350505E-2</v>
      </c>
      <c r="N50" s="190">
        <v>2.7871792746392572</v>
      </c>
      <c r="O50" s="190">
        <v>2.1311397007996038</v>
      </c>
      <c r="P50" s="190">
        <v>12.620462535885748</v>
      </c>
      <c r="Q50" s="190">
        <v>15.595813683704225</v>
      </c>
      <c r="R50" s="190">
        <v>5.2001466708572641</v>
      </c>
      <c r="S50" s="190">
        <v>36.036878899709968</v>
      </c>
    </row>
    <row r="51" spans="1:19" hidden="1">
      <c r="A51" t="s">
        <v>135</v>
      </c>
      <c r="B51" s="50">
        <v>82</v>
      </c>
      <c r="C51" s="189">
        <v>3.4749295774647873E-2</v>
      </c>
      <c r="D51" s="189">
        <v>0.12514190897734834</v>
      </c>
      <c r="E51" s="189">
        <v>0.11759708461489592</v>
      </c>
      <c r="F51" s="189">
        <v>0.24471853658536571</v>
      </c>
      <c r="G51" s="190">
        <v>1.0870098168153579</v>
      </c>
      <c r="H51" s="190">
        <v>1.1908108108108104</v>
      </c>
      <c r="I51" s="189">
        <v>8.9940540540540528E-2</v>
      </c>
      <c r="J51" s="189">
        <v>0.47085256410256404</v>
      </c>
      <c r="K51" s="189">
        <v>4.0399999999999998E-2</v>
      </c>
      <c r="L51" s="189">
        <v>0.16615010987551193</v>
      </c>
      <c r="M51" s="189">
        <v>7.9024388510849183E-2</v>
      </c>
      <c r="N51" s="190">
        <v>1.3233661089455875</v>
      </c>
      <c r="O51" s="190">
        <v>1.9162699671563863</v>
      </c>
      <c r="P51" s="190">
        <v>11.597978223523048</v>
      </c>
      <c r="Q51" s="190">
        <v>15.312775574673759</v>
      </c>
      <c r="R51" s="190">
        <v>3.242802830480418</v>
      </c>
      <c r="S51" s="190">
        <v>27.414092840353668</v>
      </c>
    </row>
    <row r="52" spans="1:19" hidden="1">
      <c r="A52" t="s">
        <v>399</v>
      </c>
      <c r="B52" s="50">
        <v>51</v>
      </c>
      <c r="C52" s="189">
        <v>-7.0406818181818209E-2</v>
      </c>
      <c r="D52" s="189">
        <v>0.1084084208465277</v>
      </c>
      <c r="E52" s="189">
        <v>3.3327468735267068E-2</v>
      </c>
      <c r="F52" s="189">
        <v>5.9852519970951347E-2</v>
      </c>
      <c r="G52" s="190">
        <v>0.70825506696832075</v>
      </c>
      <c r="H52" s="190">
        <v>1.4838461538461534</v>
      </c>
      <c r="I52" s="189">
        <v>0.10459230769230767</v>
      </c>
      <c r="J52" s="189">
        <v>0.75609302325581396</v>
      </c>
      <c r="K52" s="189">
        <v>5.04E-2</v>
      </c>
      <c r="L52" s="189">
        <v>0.57160160122710846</v>
      </c>
      <c r="M52" s="189">
        <v>6.2092409560453948E-2</v>
      </c>
      <c r="N52" s="190">
        <v>0.36202844656250255</v>
      </c>
      <c r="O52" s="190">
        <v>2.9930378531435076</v>
      </c>
      <c r="P52" s="190">
        <v>12.196023075978886</v>
      </c>
      <c r="Q52" s="190">
        <v>27.608905560765521</v>
      </c>
      <c r="R52" s="190">
        <v>1.2009071662198572</v>
      </c>
      <c r="S52" s="190">
        <v>33.499561795018941</v>
      </c>
    </row>
    <row r="53" spans="1:19" hidden="1">
      <c r="A53" t="s">
        <v>442</v>
      </c>
      <c r="B53" s="50">
        <v>74</v>
      </c>
      <c r="C53" s="189">
        <v>1.1423809523809518E-2</v>
      </c>
      <c r="D53" s="189">
        <v>0.23031452516488288</v>
      </c>
      <c r="E53" s="189">
        <v>0.16278718232317615</v>
      </c>
      <c r="F53" s="189">
        <v>0.15020391891891888</v>
      </c>
      <c r="G53" s="190">
        <v>0.92033175337372242</v>
      </c>
      <c r="H53" s="190">
        <v>0.96515625000000005</v>
      </c>
      <c r="I53" s="189">
        <v>7.8657812500000007E-2</v>
      </c>
      <c r="J53" s="189">
        <v>0.55156865671641797</v>
      </c>
      <c r="K53" s="189">
        <v>4.5399999999999996E-2</v>
      </c>
      <c r="L53" s="189">
        <v>0.12925003881314034</v>
      </c>
      <c r="M53" s="189">
        <v>7.201205823868824E-2</v>
      </c>
      <c r="N53" s="190">
        <v>0.92010204965332509</v>
      </c>
      <c r="O53" s="190">
        <v>3.1339338624059123</v>
      </c>
      <c r="P53" s="190">
        <v>10.985934949586509</v>
      </c>
      <c r="Q53" s="190">
        <v>13.607191557555128</v>
      </c>
      <c r="R53" s="190">
        <v>3.3176318101551017</v>
      </c>
      <c r="S53" s="190">
        <v>31.415503039838548</v>
      </c>
    </row>
    <row r="54" spans="1:19" hidden="1">
      <c r="A54" t="s">
        <v>443</v>
      </c>
      <c r="B54" s="50">
        <v>127</v>
      </c>
      <c r="C54" s="189">
        <v>0.11246952380952387</v>
      </c>
      <c r="D54" s="189">
        <v>7.7652401031590712E-2</v>
      </c>
      <c r="E54" s="189">
        <v>0.19247423071734457</v>
      </c>
      <c r="F54" s="189">
        <v>0.11143653543307089</v>
      </c>
      <c r="G54" s="190">
        <v>0.87359255800061031</v>
      </c>
      <c r="H54" s="190">
        <v>0.88149532710280376</v>
      </c>
      <c r="I54" s="189">
        <v>7.4474766355140193E-2</v>
      </c>
      <c r="J54" s="189">
        <v>0.62139549549549555</v>
      </c>
      <c r="K54" s="189">
        <v>4.5399999999999996E-2</v>
      </c>
      <c r="L54" s="189">
        <v>9.0937226046760244E-2</v>
      </c>
      <c r="M54" s="189">
        <v>7.0179367729836906E-2</v>
      </c>
      <c r="N54" s="190">
        <v>3.3520431693046162</v>
      </c>
      <c r="O54" s="190">
        <v>1.1090589893555785</v>
      </c>
      <c r="P54" s="190">
        <v>11.731399279910471</v>
      </c>
      <c r="Q54" s="190">
        <v>14.282352826468157</v>
      </c>
      <c r="R54" s="190">
        <v>3.9242550325601493</v>
      </c>
      <c r="S54" s="190">
        <v>42.846447111017071</v>
      </c>
    </row>
    <row r="55" spans="1:19" hidden="1">
      <c r="A55" t="s">
        <v>184</v>
      </c>
      <c r="B55" s="50">
        <v>106</v>
      </c>
      <c r="C55" s="189">
        <v>8.3457831325301171E-2</v>
      </c>
      <c r="D55" s="189">
        <v>0.10564175870816887</v>
      </c>
      <c r="E55" s="189">
        <v>0.13733445754886112</v>
      </c>
      <c r="F55" s="189">
        <v>0.18757650943396229</v>
      </c>
      <c r="G55" s="190">
        <v>0.72898560914830624</v>
      </c>
      <c r="H55" s="190">
        <v>0.9114772727272723</v>
      </c>
      <c r="I55" s="189">
        <v>7.5973863636363617E-2</v>
      </c>
      <c r="J55" s="189">
        <v>0.72794574468085105</v>
      </c>
      <c r="K55" s="189">
        <v>5.04E-2</v>
      </c>
      <c r="L55" s="189">
        <v>0.31091992129130286</v>
      </c>
      <c r="M55" s="189">
        <v>6.1754294354198262E-2</v>
      </c>
      <c r="N55" s="190">
        <v>2.0030736651480496</v>
      </c>
      <c r="O55" s="190">
        <v>0.92107496451730286</v>
      </c>
      <c r="P55" s="190">
        <v>7.1818124601748394</v>
      </c>
      <c r="Q55" s="190">
        <v>8.7188529969643493</v>
      </c>
      <c r="R55" s="190">
        <v>2.5517093932338257</v>
      </c>
      <c r="S55" s="190">
        <v>28.008376569704943</v>
      </c>
    </row>
    <row r="56" spans="1:19" hidden="1">
      <c r="A56" t="s">
        <v>117</v>
      </c>
      <c r="B56" s="50">
        <v>25</v>
      </c>
      <c r="C56" s="189">
        <v>7.3863636363636397E-3</v>
      </c>
      <c r="D56" s="189">
        <v>0.13685220689340385</v>
      </c>
      <c r="E56" s="189">
        <v>0.13724472288731818</v>
      </c>
      <c r="F56" s="189">
        <v>0.16646160000000002</v>
      </c>
      <c r="G56" s="190">
        <v>1.3118447160861162</v>
      </c>
      <c r="H56" s="190">
        <v>1.4057142857142861</v>
      </c>
      <c r="I56" s="189">
        <v>0.10068571428571431</v>
      </c>
      <c r="J56" s="189">
        <v>0.57516818181818175</v>
      </c>
      <c r="K56" s="189">
        <v>4.5399999999999996E-2</v>
      </c>
      <c r="L56" s="189">
        <v>0.15913545371844773</v>
      </c>
      <c r="M56" s="189">
        <v>8.8997897219181693E-2</v>
      </c>
      <c r="N56" s="190">
        <v>1.4371730324548604</v>
      </c>
      <c r="O56" s="190">
        <v>1.7095379102978847</v>
      </c>
      <c r="P56" s="190">
        <v>9.9174017815361228</v>
      </c>
      <c r="Q56" s="190">
        <v>12.491854892990277</v>
      </c>
      <c r="R56" s="190">
        <v>2.8793930515081154</v>
      </c>
      <c r="S56" s="190">
        <v>19.527954093945073</v>
      </c>
    </row>
    <row r="57" spans="1:19" hidden="1">
      <c r="A57" t="s">
        <v>118</v>
      </c>
      <c r="B57" s="50">
        <v>71</v>
      </c>
      <c r="C57" s="189">
        <v>2.6368421052631579E-2</v>
      </c>
      <c r="D57" s="189">
        <v>0.242455302352274</v>
      </c>
      <c r="E57" s="189">
        <v>0.13224703758164535</v>
      </c>
      <c r="F57" s="189">
        <v>0.11842211267605635</v>
      </c>
      <c r="G57" s="190">
        <v>1.2232146183880079</v>
      </c>
      <c r="H57" s="190">
        <v>1.3874509803921564</v>
      </c>
      <c r="I57" s="189">
        <v>9.9772549019607817E-2</v>
      </c>
      <c r="J57" s="189">
        <v>0.82873064516129069</v>
      </c>
      <c r="K57" s="189">
        <v>5.5400000000000005E-2</v>
      </c>
      <c r="L57" s="189">
        <v>0.19451318792432204</v>
      </c>
      <c r="M57" s="189">
        <v>8.683109080907267E-2</v>
      </c>
      <c r="N57" s="190">
        <v>0.78796559841696756</v>
      </c>
      <c r="O57" s="190">
        <v>2.1714209585753417</v>
      </c>
      <c r="P57" s="190">
        <v>6.7144226837948846</v>
      </c>
      <c r="Q57" s="190">
        <v>8.9559639962849253</v>
      </c>
      <c r="R57" s="190">
        <v>1.9322007921335171</v>
      </c>
      <c r="S57" s="190">
        <v>94.255377933826082</v>
      </c>
    </row>
    <row r="58" spans="1:19" hidden="1">
      <c r="A58" t="s">
        <v>190</v>
      </c>
      <c r="B58" s="50">
        <v>30</v>
      </c>
      <c r="C58" s="189">
        <v>-4.246666666666668E-2</v>
      </c>
      <c r="D58" s="189">
        <v>0.18593378909680858</v>
      </c>
      <c r="E58" s="189">
        <v>5.4709719184710848E-2</v>
      </c>
      <c r="F58" s="189">
        <v>0.19043299999999996</v>
      </c>
      <c r="G58" s="190">
        <v>1.0429899093981314</v>
      </c>
      <c r="H58" s="190">
        <v>1.2946153846153847</v>
      </c>
      <c r="I58" s="189">
        <v>9.5130769230769241E-2</v>
      </c>
      <c r="J58" s="189">
        <v>0.4311148148148149</v>
      </c>
      <c r="K58" s="189">
        <v>4.0399999999999998E-2</v>
      </c>
      <c r="L58" s="189">
        <v>0.26180103650383946</v>
      </c>
      <c r="M58" s="189">
        <v>7.6571492367599359E-2</v>
      </c>
      <c r="N58" s="190">
        <v>0.39582824569020097</v>
      </c>
      <c r="O58" s="190">
        <v>4.0914645031468826</v>
      </c>
      <c r="P58" s="190">
        <v>8.2503369349859472</v>
      </c>
      <c r="Q58" s="190">
        <v>22.004954145352325</v>
      </c>
      <c r="R58" s="190">
        <v>1.9989362749387471</v>
      </c>
      <c r="S58" s="190">
        <v>51.231230579297829</v>
      </c>
    </row>
    <row r="59" spans="1:19" hidden="1">
      <c r="A59" t="s">
        <v>364</v>
      </c>
      <c r="B59" s="50">
        <v>26</v>
      </c>
      <c r="C59" s="189">
        <v>-7.9728000000000007E-2</v>
      </c>
      <c r="D59" s="189">
        <v>0.11949462157591868</v>
      </c>
      <c r="E59" s="189">
        <v>6.3063103063665388E-2</v>
      </c>
      <c r="F59" s="189">
        <v>0.2573938461538462</v>
      </c>
      <c r="G59" s="190">
        <v>0.39552627310848831</v>
      </c>
      <c r="H59" s="190">
        <v>0.55750000000000022</v>
      </c>
      <c r="I59" s="189">
        <v>5.8275000000000007E-2</v>
      </c>
      <c r="J59" s="189">
        <v>0.29291153846153856</v>
      </c>
      <c r="K59" s="189">
        <v>4.0399999999999998E-2</v>
      </c>
      <c r="L59" s="189">
        <v>0.37222334005989444</v>
      </c>
      <c r="M59" s="189">
        <v>4.5606378621061497E-2</v>
      </c>
      <c r="N59" s="190">
        <v>0.74018450606482622</v>
      </c>
      <c r="O59" s="190">
        <v>2.1204552813868398</v>
      </c>
      <c r="P59" s="190">
        <v>11.427828186987169</v>
      </c>
      <c r="Q59" s="190">
        <v>17.745194331107598</v>
      </c>
      <c r="R59" s="190">
        <v>2.3023402433738478</v>
      </c>
      <c r="S59" s="190">
        <v>17.949178080856221</v>
      </c>
    </row>
    <row r="60" spans="1:19" hidden="1">
      <c r="A60" t="s">
        <v>220</v>
      </c>
      <c r="B60" s="50">
        <v>12</v>
      </c>
      <c r="C60" s="189">
        <v>2.2930000000000002E-2</v>
      </c>
      <c r="D60" s="189">
        <v>0.13298937623512871</v>
      </c>
      <c r="E60" s="189">
        <v>0.12655268758455612</v>
      </c>
      <c r="F60" s="189">
        <v>0.29105749999999997</v>
      </c>
      <c r="G60" s="190">
        <v>1.8960646567668065</v>
      </c>
      <c r="H60" s="190">
        <v>2.0072727272727273</v>
      </c>
      <c r="I60" s="189">
        <v>0.13076363636363639</v>
      </c>
      <c r="J60" s="189">
        <v>0.42629090909090911</v>
      </c>
      <c r="K60" s="189">
        <v>4.0399999999999998E-2</v>
      </c>
      <c r="L60" s="189">
        <v>0.16941032508311782</v>
      </c>
      <c r="M60" s="189">
        <v>0.11271743249823692</v>
      </c>
      <c r="N60" s="190">
        <v>1.307749679120269</v>
      </c>
      <c r="O60" s="190">
        <v>2.1252702362162954</v>
      </c>
      <c r="P60" s="190">
        <v>11.171541116185031</v>
      </c>
      <c r="Q60" s="190">
        <v>15.98075196968186</v>
      </c>
      <c r="R60" s="190">
        <v>3.4831166945029408</v>
      </c>
      <c r="S60" s="190">
        <v>26.374698066134307</v>
      </c>
    </row>
    <row r="61" spans="1:19" hidden="1">
      <c r="A61" t="s">
        <v>191</v>
      </c>
      <c r="B61" s="50">
        <v>18</v>
      </c>
      <c r="C61" s="189">
        <v>4.9222222222222202E-3</v>
      </c>
      <c r="D61" s="189">
        <v>6.9720612281012201E-2</v>
      </c>
      <c r="E61" s="189">
        <v>0.10973610816737216</v>
      </c>
      <c r="F61" s="189">
        <v>0.22898277777777779</v>
      </c>
      <c r="G61" s="190">
        <v>0.93802137735880153</v>
      </c>
      <c r="H61" s="190">
        <v>1.1361111111111108</v>
      </c>
      <c r="I61" s="189">
        <v>8.720555555555555E-2</v>
      </c>
      <c r="J61" s="189">
        <v>0.56563333333333332</v>
      </c>
      <c r="K61" s="189">
        <v>4.5399999999999996E-2</v>
      </c>
      <c r="L61" s="189">
        <v>0.31654846660304681</v>
      </c>
      <c r="M61" s="189">
        <v>6.8223550895444629E-2</v>
      </c>
      <c r="N61" s="190">
        <v>2.1959336617861358</v>
      </c>
      <c r="O61" s="190">
        <v>0.65725282503728799</v>
      </c>
      <c r="P61" s="190">
        <v>6.332807450379244</v>
      </c>
      <c r="Q61" s="190">
        <v>9.4269514213128183</v>
      </c>
      <c r="R61" s="190">
        <v>1.6696352948082551</v>
      </c>
      <c r="S61" s="190">
        <v>20.205796995429633</v>
      </c>
    </row>
    <row r="62" spans="1:19" hidden="1">
      <c r="A62" t="s">
        <v>365</v>
      </c>
      <c r="B62" s="50">
        <v>11</v>
      </c>
      <c r="C62" s="189">
        <v>-2.8018181818181827E-2</v>
      </c>
      <c r="D62" s="189">
        <v>0.12544309693200928</v>
      </c>
      <c r="E62" s="189">
        <v>6.4565167337741397E-2</v>
      </c>
      <c r="F62" s="189">
        <v>0.1733281818181818</v>
      </c>
      <c r="G62" s="190">
        <v>0.67212513091758941</v>
      </c>
      <c r="H62" s="190">
        <v>1.0144444444444443</v>
      </c>
      <c r="I62" s="189">
        <v>8.1122222222222221E-2</v>
      </c>
      <c r="J62" s="189">
        <v>0.37384444444444448</v>
      </c>
      <c r="K62" s="189">
        <v>4.0399999999999998E-2</v>
      </c>
      <c r="L62" s="189">
        <v>0.39316376488453209</v>
      </c>
      <c r="M62" s="189">
        <v>5.8758193578334734E-2</v>
      </c>
      <c r="N62" s="190">
        <v>0.6581286228821368</v>
      </c>
      <c r="O62" s="190">
        <v>2.4877097266220813</v>
      </c>
      <c r="P62" s="190">
        <v>13.841010246874504</v>
      </c>
      <c r="Q62" s="190">
        <v>19.831380023808176</v>
      </c>
      <c r="R62" s="190">
        <v>2.7056487727275575</v>
      </c>
      <c r="S62" s="190">
        <v>26.577112061418969</v>
      </c>
    </row>
    <row r="63" spans="1:19" hidden="1">
      <c r="A63" t="s">
        <v>192</v>
      </c>
      <c r="B63" s="50">
        <v>80</v>
      </c>
      <c r="C63" s="189">
        <v>0.1419583333333333</v>
      </c>
      <c r="D63" s="189">
        <v>0.16011788106269428</v>
      </c>
      <c r="E63" s="189">
        <v>9.6962438484580513E-2</v>
      </c>
      <c r="F63" s="189">
        <v>0.19533617405735534</v>
      </c>
      <c r="G63" s="190">
        <v>1.2899492599855253</v>
      </c>
      <c r="H63" s="190">
        <v>1.4660655737704913</v>
      </c>
      <c r="I63" s="189">
        <v>0.10370327868852457</v>
      </c>
      <c r="J63" s="189">
        <v>0.53474375000000018</v>
      </c>
      <c r="K63" s="189">
        <v>4.5399999999999996E-2</v>
      </c>
      <c r="L63" s="189">
        <v>0.20693490763236988</v>
      </c>
      <c r="M63" s="189">
        <v>8.788035717584658E-2</v>
      </c>
      <c r="N63" s="190">
        <v>0.79723072915449067</v>
      </c>
      <c r="O63" s="190">
        <v>2.1617894216510134</v>
      </c>
      <c r="P63" s="190">
        <v>8.8858243214103982</v>
      </c>
      <c r="Q63" s="190">
        <v>13.501236759463254</v>
      </c>
      <c r="R63" s="190">
        <v>1.9887599625529888</v>
      </c>
      <c r="S63" s="190">
        <v>31.858945941108573</v>
      </c>
    </row>
    <row r="64" spans="1:19" hidden="1">
      <c r="A64" t="s">
        <v>324</v>
      </c>
      <c r="B64" s="50">
        <v>26</v>
      </c>
      <c r="C64" s="189">
        <v>2.7000000000000003E-2</v>
      </c>
      <c r="D64" s="189">
        <v>9.6189417626581966E-2</v>
      </c>
      <c r="E64" s="189">
        <v>0.113663364108625</v>
      </c>
      <c r="F64" s="189">
        <v>0.23576269230769231</v>
      </c>
      <c r="G64" s="190">
        <v>0.87017353877981507</v>
      </c>
      <c r="H64" s="190">
        <v>1.0886363636363638</v>
      </c>
      <c r="I64" s="189">
        <v>8.4831818181818189E-2</v>
      </c>
      <c r="J64" s="189">
        <v>0.44685909090909098</v>
      </c>
      <c r="K64" s="189">
        <v>4.0399999999999998E-2</v>
      </c>
      <c r="L64" s="189">
        <v>0.28583086221764997</v>
      </c>
      <c r="M64" s="189">
        <v>6.7512806547574022E-2</v>
      </c>
      <c r="N64" s="190">
        <v>1.6238507234077786</v>
      </c>
      <c r="O64" s="190">
        <v>1.2914237933236541</v>
      </c>
      <c r="P64" s="190">
        <v>9.0538028023517878</v>
      </c>
      <c r="Q64" s="190">
        <v>13.425840650549578</v>
      </c>
      <c r="R64" s="190">
        <v>3.3531981584006316</v>
      </c>
      <c r="S64" s="190">
        <v>21.903036258522281</v>
      </c>
    </row>
    <row r="65" spans="1:19" hidden="1">
      <c r="A65" t="s">
        <v>193</v>
      </c>
      <c r="B65" s="50">
        <v>29</v>
      </c>
      <c r="C65" s="189">
        <v>5.0511538461538462E-2</v>
      </c>
      <c r="D65" s="189">
        <v>8.708433079008808E-2</v>
      </c>
      <c r="E65" s="189">
        <v>8.4920241604749425E-2</v>
      </c>
      <c r="F65" s="189">
        <v>0.1226848275862069</v>
      </c>
      <c r="G65" s="190">
        <v>0.92686788343933069</v>
      </c>
      <c r="H65" s="190">
        <v>1.1742307692307692</v>
      </c>
      <c r="I65" s="189">
        <v>8.9111538461538464E-2</v>
      </c>
      <c r="J65" s="189">
        <v>0.43522857142857146</v>
      </c>
      <c r="K65" s="189">
        <v>4.0399999999999998E-2</v>
      </c>
      <c r="L65" s="189">
        <v>0.27426623511839721</v>
      </c>
      <c r="M65" s="189">
        <v>7.1319465841354013E-2</v>
      </c>
      <c r="N65" s="190">
        <v>1.3898603384606774</v>
      </c>
      <c r="O65" s="190">
        <v>1.3151953868587549</v>
      </c>
      <c r="P65" s="190">
        <v>8.9683443721460563</v>
      </c>
      <c r="Q65" s="190">
        <v>15.102549160410497</v>
      </c>
      <c r="R65" s="190">
        <v>2.4618128226594118</v>
      </c>
      <c r="S65" s="190">
        <v>22.484760734741613</v>
      </c>
    </row>
    <row r="66" spans="1:19" hidden="1">
      <c r="A66" t="s">
        <v>107</v>
      </c>
      <c r="B66" s="50">
        <v>28</v>
      </c>
      <c r="C66" s="189">
        <v>0.20388750000000005</v>
      </c>
      <c r="D66" s="189">
        <v>0.10632106458528839</v>
      </c>
      <c r="E66" s="189">
        <v>0.12636979516448713</v>
      </c>
      <c r="F66" s="189">
        <v>0.30703928571428574</v>
      </c>
      <c r="G66" s="190">
        <v>1.0084684701430944</v>
      </c>
      <c r="H66" s="190">
        <v>1.0675000000000001</v>
      </c>
      <c r="I66" s="189">
        <v>8.3775000000000002E-2</v>
      </c>
      <c r="J66" s="189">
        <v>0.47092916666666668</v>
      </c>
      <c r="K66" s="189">
        <v>4.0399999999999998E-2</v>
      </c>
      <c r="L66" s="189">
        <v>0.17474156635880056</v>
      </c>
      <c r="M66" s="189">
        <v>7.337176084682881E-2</v>
      </c>
      <c r="N66" s="190">
        <v>2.0369688145784637</v>
      </c>
      <c r="O66" s="190">
        <v>0.67367691226971982</v>
      </c>
      <c r="P66" s="190">
        <v>4.6208558048230381</v>
      </c>
      <c r="Q66" s="190">
        <v>6.3362506282027606</v>
      </c>
      <c r="R66" s="190">
        <v>1.4356136955082712</v>
      </c>
      <c r="S66" s="190">
        <v>17.565245558059736</v>
      </c>
    </row>
    <row r="67" spans="1:19" hidden="1">
      <c r="A67" t="s">
        <v>137</v>
      </c>
      <c r="B67" s="50">
        <v>168</v>
      </c>
      <c r="C67" s="189">
        <v>7.0098360655737713E-2</v>
      </c>
      <c r="D67" s="189">
        <v>0.24232960573246667</v>
      </c>
      <c r="E67" s="189">
        <v>0.11535164581641601</v>
      </c>
      <c r="F67" s="189">
        <v>0.13085416810193604</v>
      </c>
      <c r="G67" s="190">
        <v>1.2326646289026422</v>
      </c>
      <c r="H67" s="190">
        <v>1.4753333333333336</v>
      </c>
      <c r="I67" s="189">
        <v>0.10416666666666669</v>
      </c>
      <c r="J67" s="189">
        <v>0.72912213740458021</v>
      </c>
      <c r="K67" s="189">
        <v>5.04E-2</v>
      </c>
      <c r="L67" s="189">
        <v>0.21524694031724612</v>
      </c>
      <c r="M67" s="189">
        <v>8.8254177858813732E-2</v>
      </c>
      <c r="N67" s="190">
        <v>0.7490546727340357</v>
      </c>
      <c r="O67" s="190">
        <v>1.9375872479379372</v>
      </c>
      <c r="P67" s="190">
        <v>5.0394828717870368</v>
      </c>
      <c r="Q67" s="190">
        <v>7.9956687177424168</v>
      </c>
      <c r="R67" s="190">
        <v>1.6207443641778412</v>
      </c>
      <c r="S67" s="190">
        <v>51.324378379669014</v>
      </c>
    </row>
    <row r="68" spans="1:19" hidden="1">
      <c r="A68" t="s">
        <v>194</v>
      </c>
      <c r="B68" s="50">
        <v>16</v>
      </c>
      <c r="C68" s="189">
        <v>0.13336000000000003</v>
      </c>
      <c r="D68" s="189">
        <v>4.7566874684146117E-2</v>
      </c>
      <c r="E68" s="189">
        <v>8.2674425255356426E-2</v>
      </c>
      <c r="F68" s="189">
        <v>0.23641437500000004</v>
      </c>
      <c r="G68" s="190">
        <v>0.89851456252283535</v>
      </c>
      <c r="H68" s="190">
        <v>1.0013333333333334</v>
      </c>
      <c r="I68" s="189">
        <v>8.0466666666666672E-2</v>
      </c>
      <c r="J68" s="189">
        <v>0.55910000000000004</v>
      </c>
      <c r="K68" s="189">
        <v>4.5399999999999996E-2</v>
      </c>
      <c r="L68" s="189">
        <v>0.15778342751977381</v>
      </c>
      <c r="M68" s="189">
        <v>7.206838076454751E-2</v>
      </c>
      <c r="N68" s="190">
        <v>2.7326425261647933</v>
      </c>
      <c r="O68" s="190">
        <v>0.75544247171273105</v>
      </c>
      <c r="P68" s="190">
        <v>11.70156559262495</v>
      </c>
      <c r="Q68" s="190">
        <v>15.881692390534909</v>
      </c>
      <c r="R68" s="190">
        <v>2.4804695020565322</v>
      </c>
      <c r="S68" s="190">
        <v>15.139731576441845</v>
      </c>
    </row>
    <row r="69" spans="1:19" hidden="1">
      <c r="A69" t="s">
        <v>436</v>
      </c>
      <c r="B69" s="50">
        <v>62</v>
      </c>
      <c r="C69" s="189">
        <v>-1.7525581395348835E-2</v>
      </c>
      <c r="D69" s="189">
        <v>8.6526292101371555E-2</v>
      </c>
      <c r="E69" s="189">
        <v>7.7004456042951919E-2</v>
      </c>
      <c r="F69" s="189">
        <v>5.4950970287358597E-2</v>
      </c>
      <c r="G69" s="190">
        <v>0.40702452533099537</v>
      </c>
      <c r="H69" s="190">
        <v>0.56199999999999983</v>
      </c>
      <c r="I69" s="189">
        <v>5.8499999999999996E-2</v>
      </c>
      <c r="J69" s="189">
        <v>0.22328378378378377</v>
      </c>
      <c r="K69" s="189">
        <v>3.5400000000000001E-2</v>
      </c>
      <c r="L69" s="189">
        <v>0.29460549213858001</v>
      </c>
      <c r="M69" s="189">
        <v>4.7522999362916506E-2</v>
      </c>
      <c r="N69" s="190">
        <v>0.92356002861249376</v>
      </c>
      <c r="O69" s="190">
        <v>2.1159380319247933</v>
      </c>
      <c r="P69" s="190">
        <v>16.961828903153176</v>
      </c>
      <c r="Q69" s="190">
        <v>24.454278353287407</v>
      </c>
      <c r="R69" s="190">
        <v>3.1775130362375767</v>
      </c>
      <c r="S69" s="190">
        <v>40.982201308261558</v>
      </c>
    </row>
    <row r="70" spans="1:19" hidden="1">
      <c r="A70" t="s">
        <v>195</v>
      </c>
      <c r="B70" s="50">
        <v>92</v>
      </c>
      <c r="C70" s="189">
        <v>-2.1315625000000001E-2</v>
      </c>
      <c r="D70" s="189">
        <v>7.7525684461172376E-2</v>
      </c>
      <c r="E70" s="189">
        <v>3.1686190242421183E-2</v>
      </c>
      <c r="F70" s="189">
        <v>8.9855543478260871E-2</v>
      </c>
      <c r="G70" s="190">
        <v>0.73085665425257373</v>
      </c>
      <c r="H70" s="190">
        <v>1.4973846153846155</v>
      </c>
      <c r="I70" s="189">
        <v>0.10526923076923078</v>
      </c>
      <c r="J70" s="189">
        <v>0.88172266666666677</v>
      </c>
      <c r="K70" s="189">
        <v>5.5400000000000005E-2</v>
      </c>
      <c r="L70" s="189">
        <v>0.57273262190270868</v>
      </c>
      <c r="M70" s="189">
        <v>6.4015740577133981E-2</v>
      </c>
      <c r="N70" s="190">
        <v>0.60776684202212206</v>
      </c>
      <c r="O70" s="190">
        <v>1.7234521598434367</v>
      </c>
      <c r="P70" s="190">
        <v>9.7842515854995558</v>
      </c>
      <c r="Q70" s="190">
        <v>22.230724847151819</v>
      </c>
      <c r="R70" s="190">
        <v>1.1084772058789576</v>
      </c>
      <c r="S70" s="190">
        <v>206.84699058884379</v>
      </c>
    </row>
    <row r="71" spans="1:19" hidden="1">
      <c r="A71" t="s">
        <v>196</v>
      </c>
      <c r="B71" s="50">
        <v>74</v>
      </c>
      <c r="C71" s="189">
        <v>0.14606315789473684</v>
      </c>
      <c r="D71" s="189">
        <v>0.31980065390884688</v>
      </c>
      <c r="E71" s="189">
        <v>8.9781950710171241E-2</v>
      </c>
      <c r="F71" s="189">
        <v>0.1049735135135135</v>
      </c>
      <c r="G71" s="190">
        <v>0.72718958552439072</v>
      </c>
      <c r="H71" s="190">
        <v>0.8303076923076923</v>
      </c>
      <c r="I71" s="189">
        <v>7.1915384615384617E-2</v>
      </c>
      <c r="J71" s="189">
        <v>0.66242537313432837</v>
      </c>
      <c r="K71" s="189">
        <v>5.04E-2</v>
      </c>
      <c r="L71" s="189">
        <v>0.25515158335128063</v>
      </c>
      <c r="M71" s="189">
        <v>6.1281844243995631E-2</v>
      </c>
      <c r="N71" s="190">
        <v>0.39455392132123329</v>
      </c>
      <c r="O71" s="190">
        <v>2.0269411136328683</v>
      </c>
      <c r="P71" s="190">
        <v>4.5546133754379108</v>
      </c>
      <c r="Q71" s="190">
        <v>6.3381393654392255</v>
      </c>
      <c r="R71" s="190">
        <v>0.77292408247604494</v>
      </c>
      <c r="S71" s="190">
        <v>18.031599494609171</v>
      </c>
    </row>
    <row r="72" spans="1:19" hidden="1">
      <c r="A72" t="s">
        <v>159</v>
      </c>
      <c r="B72" s="50">
        <v>76</v>
      </c>
      <c r="C72" s="189">
        <v>-3.4940277777777771E-2</v>
      </c>
      <c r="D72" s="189">
        <v>0.16030900588190236</v>
      </c>
      <c r="E72" s="189">
        <v>0.13411216869196324</v>
      </c>
      <c r="F72" s="189">
        <v>0.13412381578947366</v>
      </c>
      <c r="G72" s="190">
        <v>1.0776353729847961</v>
      </c>
      <c r="H72" s="190">
        <v>1.1212500000000005</v>
      </c>
      <c r="I72" s="189">
        <v>8.6462500000000025E-2</v>
      </c>
      <c r="J72" s="189">
        <v>0.57506399999999991</v>
      </c>
      <c r="K72" s="189">
        <v>4.5399999999999996E-2</v>
      </c>
      <c r="L72" s="189">
        <v>0.13230260024267526</v>
      </c>
      <c r="M72" s="189">
        <v>7.8627209257128197E-2</v>
      </c>
      <c r="N72" s="190">
        <v>1.0012412131193207</v>
      </c>
      <c r="O72" s="190">
        <v>2.6644453313659797</v>
      </c>
      <c r="P72" s="190">
        <v>12.127736682622542</v>
      </c>
      <c r="Q72" s="190">
        <v>16.620684014027528</v>
      </c>
      <c r="R72" s="190">
        <v>2.960374641478638</v>
      </c>
      <c r="S72" s="190">
        <v>32.151604610358604</v>
      </c>
    </row>
    <row r="73" spans="1:19" hidden="1">
      <c r="A73" t="s">
        <v>370</v>
      </c>
      <c r="B73" s="50">
        <v>20</v>
      </c>
      <c r="C73" s="189">
        <v>0.14677500000000002</v>
      </c>
      <c r="D73" s="189">
        <v>0.33096073696589579</v>
      </c>
      <c r="E73" s="189">
        <v>0.13899980412210006</v>
      </c>
      <c r="F73" s="189">
        <v>0.20120499999999994</v>
      </c>
      <c r="G73" s="190">
        <v>1.5775310419663051</v>
      </c>
      <c r="H73" s="190">
        <v>1.6718181818181816</v>
      </c>
      <c r="I73" s="189">
        <v>0.11399090909090909</v>
      </c>
      <c r="J73" s="189">
        <v>0.33660000000000001</v>
      </c>
      <c r="K73" s="189">
        <v>4.0399999999999998E-2</v>
      </c>
      <c r="L73" s="189">
        <v>0.21597454066015431</v>
      </c>
      <c r="M73" s="189">
        <v>9.4606997726168734E-2</v>
      </c>
      <c r="N73" s="190">
        <v>0.47671550306473309</v>
      </c>
      <c r="O73" s="190">
        <v>3.211831367378212</v>
      </c>
      <c r="P73" s="190">
        <v>8.9453709817267715</v>
      </c>
      <c r="Q73" s="190">
        <v>9.7045691788786979</v>
      </c>
      <c r="R73" s="190">
        <v>1.6242238133078832</v>
      </c>
      <c r="S73" s="190">
        <v>23.32880512346081</v>
      </c>
    </row>
    <row r="74" spans="1:19" hidden="1">
      <c r="A74" t="s">
        <v>160</v>
      </c>
      <c r="B74" s="50">
        <v>21</v>
      </c>
      <c r="C74" s="189">
        <v>-3.1179999999999999E-2</v>
      </c>
      <c r="D74" s="189">
        <v>8.1012785980174834E-2</v>
      </c>
      <c r="E74" s="189">
        <v>8.548244750798277E-2</v>
      </c>
      <c r="F74" s="189">
        <v>0.23357333333333336</v>
      </c>
      <c r="G74" s="190">
        <v>0.91990566988245204</v>
      </c>
      <c r="H74" s="190">
        <v>1.1311111111111112</v>
      </c>
      <c r="I74" s="189">
        <v>8.6955555555555564E-2</v>
      </c>
      <c r="J74" s="189">
        <v>0.54207000000000005</v>
      </c>
      <c r="K74" s="189">
        <v>4.5399999999999996E-2</v>
      </c>
      <c r="L74" s="189">
        <v>0.26839648162560792</v>
      </c>
      <c r="M74" s="189">
        <v>7.0928110546125925E-2</v>
      </c>
      <c r="N74" s="190">
        <v>1.5268832430931556</v>
      </c>
      <c r="O74" s="190">
        <v>1.4419110867837652</v>
      </c>
      <c r="P74" s="190">
        <v>10.622862580747416</v>
      </c>
      <c r="Q74" s="190">
        <v>17.798561910173348</v>
      </c>
      <c r="R74" s="190">
        <v>3.5209679204506412</v>
      </c>
      <c r="S74" s="190">
        <v>18.780112669046154</v>
      </c>
    </row>
    <row r="75" spans="1:19" hidden="1">
      <c r="A75" t="s">
        <v>214</v>
      </c>
      <c r="B75" s="50">
        <v>131</v>
      </c>
      <c r="C75" s="189">
        <v>-5.510000000000001E-2</v>
      </c>
      <c r="D75" s="189">
        <v>0.80182624660828317</v>
      </c>
      <c r="E75" s="189">
        <v>0.12586419195692014</v>
      </c>
      <c r="F75" s="189">
        <v>4.9939694656488546E-3</v>
      </c>
      <c r="G75" s="190">
        <v>0.98291703808031239</v>
      </c>
      <c r="H75" s="190">
        <v>1.3463478260869561</v>
      </c>
      <c r="I75" s="189">
        <v>9.7717391304347812E-2</v>
      </c>
      <c r="J75" s="189">
        <v>0.29766638655462196</v>
      </c>
      <c r="K75" s="189">
        <v>4.0399999999999998E-2</v>
      </c>
      <c r="L75" s="189">
        <v>0.30519641321064572</v>
      </c>
      <c r="M75" s="189">
        <v>7.5292355026185767E-2</v>
      </c>
      <c r="N75" s="190">
        <v>0.16538401595072902</v>
      </c>
      <c r="O75" s="190">
        <v>7.1293807984142195</v>
      </c>
      <c r="P75" s="190">
        <v>7.7056757516156225</v>
      </c>
      <c r="Q75" s="190">
        <v>8.8914285714285715</v>
      </c>
      <c r="R75" s="190">
        <v>1.2632034153334573</v>
      </c>
      <c r="S75" s="190">
        <v>19.03481220853601</v>
      </c>
    </row>
    <row r="76" spans="1:19" hidden="1">
      <c r="A76" t="s">
        <v>215</v>
      </c>
      <c r="B76" s="50">
        <v>13</v>
      </c>
      <c r="C76" s="189">
        <v>0.12094166666666667</v>
      </c>
      <c r="D76" s="189">
        <v>0.29502881038813894</v>
      </c>
      <c r="E76" s="189">
        <v>0.12359901191644657</v>
      </c>
      <c r="F76" s="189">
        <v>0.30959000000000003</v>
      </c>
      <c r="G76" s="190">
        <v>1.2411554060082486</v>
      </c>
      <c r="H76" s="190">
        <v>1.3976923076923078</v>
      </c>
      <c r="I76" s="189">
        <v>0.10028461538461539</v>
      </c>
      <c r="J76" s="189">
        <v>0.32205384615384614</v>
      </c>
      <c r="K76" s="189">
        <v>4.0399999999999998E-2</v>
      </c>
      <c r="L76" s="189">
        <v>0.17332531616450009</v>
      </c>
      <c r="M76" s="189">
        <v>8.7104158380469116E-2</v>
      </c>
      <c r="N76" s="190">
        <v>0.63980911556177467</v>
      </c>
      <c r="O76" s="190">
        <v>3.9780847241582364</v>
      </c>
      <c r="P76" s="190">
        <v>10.427680427680425</v>
      </c>
      <c r="Q76" s="190">
        <v>13.483716112079636</v>
      </c>
      <c r="R76" s="190">
        <v>3.6028409930782721</v>
      </c>
      <c r="S76" s="190">
        <v>21.754345043951233</v>
      </c>
    </row>
    <row r="77" spans="1:19" hidden="1">
      <c r="A77" t="s">
        <v>216</v>
      </c>
      <c r="B77" s="50">
        <v>53</v>
      </c>
      <c r="C77" s="189">
        <v>0.10801666666666668</v>
      </c>
      <c r="D77" s="189">
        <v>0.12221445553182823</v>
      </c>
      <c r="E77" s="189">
        <v>9.171466051393122E-2</v>
      </c>
      <c r="F77" s="189">
        <v>0.20886433962264145</v>
      </c>
      <c r="G77" s="190">
        <v>1.1472388340505926</v>
      </c>
      <c r="H77" s="190">
        <v>1.3657142857142857</v>
      </c>
      <c r="I77" s="189">
        <v>9.8685714285714279E-2</v>
      </c>
      <c r="J77" s="189">
        <v>0.46176511627906991</v>
      </c>
      <c r="K77" s="189">
        <v>4.0399999999999998E-2</v>
      </c>
      <c r="L77" s="189">
        <v>0.23964864147769271</v>
      </c>
      <c r="M77" s="189">
        <v>8.0844899993306393E-2</v>
      </c>
      <c r="N77" s="190">
        <v>0.95368047979430881</v>
      </c>
      <c r="O77" s="190">
        <v>2.0260695564286211</v>
      </c>
      <c r="P77" s="190">
        <v>11.304787813355741</v>
      </c>
      <c r="Q77" s="190">
        <v>16.577986193302419</v>
      </c>
      <c r="R77" s="190">
        <v>2.5290981844265144</v>
      </c>
      <c r="S77" s="190">
        <v>26.530595285253948</v>
      </c>
    </row>
    <row r="78" spans="1:19" hidden="1">
      <c r="A78" t="s">
        <v>366</v>
      </c>
      <c r="B78" s="50">
        <v>12</v>
      </c>
      <c r="C78" s="189">
        <v>0</v>
      </c>
      <c r="D78" s="189" t="s">
        <v>303</v>
      </c>
      <c r="E78" s="189" t="s">
        <v>303</v>
      </c>
      <c r="F78" s="189">
        <v>6.5328333333333335E-2</v>
      </c>
      <c r="G78" s="190">
        <v>0.90219498302389212</v>
      </c>
      <c r="H78" s="190">
        <v>0.80727272727272714</v>
      </c>
      <c r="I78" s="189">
        <v>7.0763636363636362E-2</v>
      </c>
      <c r="J78" s="189">
        <v>0.20862727272727274</v>
      </c>
      <c r="K78" s="189">
        <v>3.5400000000000001E-2</v>
      </c>
      <c r="L78" s="189">
        <v>0.13790567365070616</v>
      </c>
      <c r="M78" s="189">
        <v>6.3934045929276484E-2</v>
      </c>
      <c r="N78" s="190" t="s">
        <v>303</v>
      </c>
      <c r="O78" s="190" t="s">
        <v>303</v>
      </c>
      <c r="P78" s="190">
        <v>37.09929660023446</v>
      </c>
      <c r="Q78" s="190">
        <v>37.09929660023446</v>
      </c>
      <c r="R78" s="190">
        <v>0.92207091780627293</v>
      </c>
      <c r="S78" s="190">
        <v>10.508473780126108</v>
      </c>
    </row>
    <row r="79" spans="1:19" hidden="1">
      <c r="A79" t="s">
        <v>198</v>
      </c>
      <c r="B79" s="50">
        <v>67</v>
      </c>
      <c r="C79" s="189">
        <v>1.3958928571428567E-2</v>
      </c>
      <c r="D79" s="189">
        <v>0.16312124262819766</v>
      </c>
      <c r="E79" s="189">
        <v>0.19440368583123466</v>
      </c>
      <c r="F79" s="189">
        <v>0.2249387064676617</v>
      </c>
      <c r="G79" s="190">
        <v>0.93515798855370269</v>
      </c>
      <c r="H79" s="190">
        <v>1.0004255319148936</v>
      </c>
      <c r="I79" s="189">
        <v>8.0421276595744676E-2</v>
      </c>
      <c r="J79" s="189">
        <v>0.5350211538461539</v>
      </c>
      <c r="K79" s="189">
        <v>4.5399999999999996E-2</v>
      </c>
      <c r="L79" s="189">
        <v>0.11667094847738591</v>
      </c>
      <c r="M79" s="189">
        <v>7.4216566614080937E-2</v>
      </c>
      <c r="N79" s="190">
        <v>1.7189941279249452</v>
      </c>
      <c r="O79" s="190">
        <v>2.7098211186448515</v>
      </c>
      <c r="P79" s="190">
        <v>12.959995681492712</v>
      </c>
      <c r="Q79" s="190">
        <v>16.612312872219519</v>
      </c>
      <c r="R79" s="190">
        <v>7.2873502767661078</v>
      </c>
      <c r="S79" s="190">
        <v>35.817759289636271</v>
      </c>
    </row>
    <row r="80" spans="1:19" hidden="1">
      <c r="A80" t="s">
        <v>444</v>
      </c>
      <c r="B80" s="50">
        <v>69</v>
      </c>
      <c r="C80" s="189">
        <v>0.10415081967213118</v>
      </c>
      <c r="D80" s="189">
        <v>8.69784351902992E-2</v>
      </c>
      <c r="E80" s="189">
        <v>0.14886069807753954</v>
      </c>
      <c r="F80" s="189">
        <v>0.2383007246376812</v>
      </c>
      <c r="G80" s="190">
        <v>1.5987990337181994</v>
      </c>
      <c r="H80" s="190">
        <v>1.6794827586206893</v>
      </c>
      <c r="I80" s="189">
        <v>0.11437413793103447</v>
      </c>
      <c r="J80" s="189">
        <v>0.52444354838709673</v>
      </c>
      <c r="K80" s="189">
        <v>4.5399999999999996E-2</v>
      </c>
      <c r="L80" s="189">
        <v>0.11184275926787457</v>
      </c>
      <c r="M80" s="189">
        <v>0.1046288155184</v>
      </c>
      <c r="N80" s="190">
        <v>2.5509136073473786</v>
      </c>
      <c r="O80" s="190">
        <v>1.8699198217709956</v>
      </c>
      <c r="P80" s="190">
        <v>15.809927230271466</v>
      </c>
      <c r="Q80" s="190">
        <v>21.498660187204077</v>
      </c>
      <c r="R80" s="190">
        <v>6.8015997076676333</v>
      </c>
      <c r="S80" s="190">
        <v>24.216467064704272</v>
      </c>
    </row>
    <row r="81" spans="1:19" hidden="1">
      <c r="A81" t="s">
        <v>445</v>
      </c>
      <c r="B81" s="50">
        <v>41</v>
      </c>
      <c r="C81" s="189">
        <v>7.3268421052631566E-2</v>
      </c>
      <c r="D81" s="189">
        <v>0.1084586234490976</v>
      </c>
      <c r="E81" s="189">
        <v>0.35436920484624962</v>
      </c>
      <c r="F81" s="189">
        <v>0.26533146341463415</v>
      </c>
      <c r="G81" s="190">
        <v>1.3261601744133742</v>
      </c>
      <c r="H81" s="190">
        <v>1.2733333333333332</v>
      </c>
      <c r="I81" s="189">
        <v>9.406666666666666E-2</v>
      </c>
      <c r="J81" s="189">
        <v>0.5684358974358974</v>
      </c>
      <c r="K81" s="189">
        <v>4.5399999999999996E-2</v>
      </c>
      <c r="L81" s="189">
        <v>4.7705437202235079E-2</v>
      </c>
      <c r="M81" s="189">
        <v>9.0878671316565296E-2</v>
      </c>
      <c r="N81" s="190">
        <v>5.2052774757664597</v>
      </c>
      <c r="O81" s="190">
        <v>1.2682287764990807</v>
      </c>
      <c r="P81" s="190">
        <v>9.116441809437152</v>
      </c>
      <c r="Q81" s="190">
        <v>11.6932036952718</v>
      </c>
      <c r="R81" s="190">
        <v>5.7196236756560337</v>
      </c>
      <c r="S81" s="190">
        <v>23.202275376045094</v>
      </c>
    </row>
    <row r="82" spans="1:19" hidden="1">
      <c r="A82" t="s">
        <v>229</v>
      </c>
      <c r="B82" s="50">
        <v>19</v>
      </c>
      <c r="C82" s="189">
        <v>0.11710526315789477</v>
      </c>
      <c r="D82" s="189">
        <v>6.8312283101265275E-2</v>
      </c>
      <c r="E82" s="189">
        <v>9.538563359120196E-2</v>
      </c>
      <c r="F82" s="189">
        <v>0.32887368421052626</v>
      </c>
      <c r="G82" s="190">
        <v>1.035920669426889</v>
      </c>
      <c r="H82" s="190">
        <v>1.27125</v>
      </c>
      <c r="I82" s="189">
        <v>9.3962500000000004E-2</v>
      </c>
      <c r="J82" s="189">
        <v>0.3644</v>
      </c>
      <c r="K82" s="189">
        <v>4.0399999999999998E-2</v>
      </c>
      <c r="L82" s="189">
        <v>0.28165455033630027</v>
      </c>
      <c r="M82" s="189">
        <v>7.4324840614177309E-2</v>
      </c>
      <c r="N82" s="190">
        <v>2.1700229269764519</v>
      </c>
      <c r="O82" s="190">
        <v>1.081509941517149</v>
      </c>
      <c r="P82" s="190">
        <v>12.731977818853977</v>
      </c>
      <c r="Q82" s="190">
        <v>15.831851790313202</v>
      </c>
      <c r="R82" s="190">
        <v>4.4678035607649988</v>
      </c>
      <c r="S82" s="190">
        <v>20.018686545055054</v>
      </c>
    </row>
    <row r="83" spans="1:19" hidden="1">
      <c r="A83" t="s">
        <v>261</v>
      </c>
      <c r="B83" s="50">
        <v>10</v>
      </c>
      <c r="C83" s="189">
        <v>8.3729999999999999E-2</v>
      </c>
      <c r="D83" s="189">
        <v>9.3435222884507244E-2</v>
      </c>
      <c r="E83" s="189">
        <v>0.16176013779652559</v>
      </c>
      <c r="F83" s="189">
        <v>0.24712000000000001</v>
      </c>
      <c r="G83" s="190">
        <v>1.1048573464809068</v>
      </c>
      <c r="H83" s="190">
        <v>1.1725000000000001</v>
      </c>
      <c r="I83" s="189">
        <v>8.9025000000000007E-2</v>
      </c>
      <c r="J83" s="189">
        <v>0.28591111111111117</v>
      </c>
      <c r="K83" s="189">
        <v>4.0399999999999998E-2</v>
      </c>
      <c r="L83" s="189">
        <v>9.8079757899483311E-2</v>
      </c>
      <c r="M83" s="189">
        <v>8.2670902884481992E-2</v>
      </c>
      <c r="N83" s="190">
        <v>2.7141996643534276</v>
      </c>
      <c r="O83" s="190">
        <v>1.5123385777664289</v>
      </c>
      <c r="P83" s="190">
        <v>12.95193524195534</v>
      </c>
      <c r="Q83" s="190">
        <v>16.185957833437072</v>
      </c>
      <c r="R83" s="190">
        <v>5.6378845408546274</v>
      </c>
      <c r="S83" s="190">
        <v>31.289268885137929</v>
      </c>
    </row>
    <row r="84" spans="1:19" hidden="1">
      <c r="A84" t="s">
        <v>262</v>
      </c>
      <c r="B84" s="50">
        <v>36</v>
      </c>
      <c r="C84" s="189">
        <v>8.7341379310344816E-2</v>
      </c>
      <c r="D84" s="189">
        <v>5.5287713372547502E-2</v>
      </c>
      <c r="E84" s="189">
        <v>0.13695243163488585</v>
      </c>
      <c r="F84" s="189">
        <v>0.23459556393076492</v>
      </c>
      <c r="G84" s="190">
        <v>1.0461853744905056</v>
      </c>
      <c r="H84" s="190">
        <v>1.1827586206896554</v>
      </c>
      <c r="I84" s="189">
        <v>8.9537931034482779E-2</v>
      </c>
      <c r="J84" s="189">
        <v>0.40978064516129031</v>
      </c>
      <c r="K84" s="189">
        <v>4.0399999999999998E-2</v>
      </c>
      <c r="L84" s="189">
        <v>0.1854191933056214</v>
      </c>
      <c r="M84" s="189">
        <v>7.7430441337542885E-2</v>
      </c>
      <c r="N84" s="190">
        <v>3.6806390246287197</v>
      </c>
      <c r="O84" s="190">
        <v>0.65421901073861977</v>
      </c>
      <c r="P84" s="190">
        <v>8.6468308726013099</v>
      </c>
      <c r="Q84" s="190">
        <v>11.832990927482722</v>
      </c>
      <c r="R84" s="190">
        <v>3.2372926237941124</v>
      </c>
      <c r="S84" s="190">
        <v>23.949521350200062</v>
      </c>
    </row>
    <row r="85" spans="1:19" hidden="1">
      <c r="A85" t="s">
        <v>437</v>
      </c>
      <c r="B85" s="50">
        <v>32</v>
      </c>
      <c r="C85" s="189">
        <v>0.10908148148148147</v>
      </c>
      <c r="D85" s="189">
        <v>3.7821492448392863E-2</v>
      </c>
      <c r="E85" s="189">
        <v>0.1165087584567459</v>
      </c>
      <c r="F85" s="189">
        <v>0.29846718749999995</v>
      </c>
      <c r="G85" s="190">
        <v>0.67701890418440924</v>
      </c>
      <c r="H85" s="190">
        <v>0.78249999999999986</v>
      </c>
      <c r="I85" s="189">
        <v>6.952499999999999E-2</v>
      </c>
      <c r="J85" s="189">
        <v>0.30136400000000002</v>
      </c>
      <c r="K85" s="189">
        <v>4.0399999999999998E-2</v>
      </c>
      <c r="L85" s="189">
        <v>0.2333934275641405</v>
      </c>
      <c r="M85" s="189">
        <v>5.8955778632757888E-2</v>
      </c>
      <c r="N85" s="190">
        <v>4.5286044328765636</v>
      </c>
      <c r="O85" s="190">
        <v>0.54138771341566427</v>
      </c>
      <c r="P85" s="190">
        <v>9.5051750280176659</v>
      </c>
      <c r="Q85" s="190">
        <v>14.314287416192888</v>
      </c>
      <c r="R85" s="190">
        <v>3.7824771969772684</v>
      </c>
      <c r="S85" s="190">
        <v>29.777612814243209</v>
      </c>
    </row>
    <row r="86" spans="1:19" hidden="1">
      <c r="A86" t="s">
        <v>276</v>
      </c>
      <c r="B86" s="50">
        <v>30</v>
      </c>
      <c r="C86" s="189">
        <v>-4.8978571428571434E-2</v>
      </c>
      <c r="D86" s="189">
        <v>0.32046209875482551</v>
      </c>
      <c r="E86" s="189">
        <v>5.4320840632331398E-2</v>
      </c>
      <c r="F86" s="189">
        <v>0.24322399999999997</v>
      </c>
      <c r="G86" s="190">
        <v>0.80282889476275121</v>
      </c>
      <c r="H86" s="190">
        <v>1.1815384615384616</v>
      </c>
      <c r="I86" s="189">
        <v>8.9476923076923079E-2</v>
      </c>
      <c r="J86" s="189">
        <v>0.43918275862068967</v>
      </c>
      <c r="K86" s="189">
        <v>4.0399999999999998E-2</v>
      </c>
      <c r="L86" s="189">
        <v>0.63938365435118594</v>
      </c>
      <c r="M86" s="189">
        <v>4.7765500801372783E-2</v>
      </c>
      <c r="N86" s="190">
        <v>0.2702075153668359</v>
      </c>
      <c r="O86" s="190">
        <v>4.3532535714485823</v>
      </c>
      <c r="P86" s="190">
        <v>12.023143999813728</v>
      </c>
      <c r="Q86" s="190">
        <v>13.584300884140145</v>
      </c>
      <c r="R86" s="190">
        <v>1.3534968468999533</v>
      </c>
      <c r="S86" s="190">
        <v>28.124943030446595</v>
      </c>
    </row>
    <row r="87" spans="1:19">
      <c r="A87" t="s">
        <v>221</v>
      </c>
      <c r="B87" s="50">
        <v>136</v>
      </c>
      <c r="C87" s="189">
        <v>-4.4072500000000014E-2</v>
      </c>
      <c r="D87" s="189">
        <v>0.18276081241250808</v>
      </c>
      <c r="E87" s="189">
        <v>0.18034345867235407</v>
      </c>
      <c r="F87" s="189">
        <v>0.11019727941176471</v>
      </c>
      <c r="G87" s="190">
        <v>1.4362914852622672</v>
      </c>
      <c r="H87" s="190">
        <v>1.378971962616822</v>
      </c>
      <c r="I87" s="189">
        <v>9.9348598130841098E-2</v>
      </c>
      <c r="J87" s="189">
        <v>0.49524067796610161</v>
      </c>
      <c r="K87" s="189">
        <v>4.0399999999999998E-2</v>
      </c>
      <c r="L87" s="189">
        <v>9.8543490946064183E-2</v>
      </c>
      <c r="M87" s="189">
        <v>9.1947134670962979E-2</v>
      </c>
      <c r="N87" s="190">
        <v>1.2025711129432233</v>
      </c>
      <c r="O87" s="190">
        <v>2.776853202223533</v>
      </c>
      <c r="P87" s="190">
        <v>9.345987570870335</v>
      </c>
      <c r="Q87" s="190">
        <v>15.19392021499619</v>
      </c>
      <c r="R87" s="190">
        <v>3.1246899753874491</v>
      </c>
      <c r="S87" s="190">
        <v>41.180511090347274</v>
      </c>
    </row>
    <row r="88" spans="1:19">
      <c r="A88" t="s">
        <v>197</v>
      </c>
      <c r="B88" s="50">
        <v>10</v>
      </c>
      <c r="C88" s="189">
        <v>2.12E-2</v>
      </c>
      <c r="D88" s="189">
        <v>0.10343429144528811</v>
      </c>
      <c r="E88" s="189">
        <v>9.5390388526409658E-2</v>
      </c>
      <c r="F88" s="189">
        <v>0.202038</v>
      </c>
      <c r="G88" s="190">
        <v>1.8767056987616406</v>
      </c>
      <c r="H88" s="190">
        <v>1.734</v>
      </c>
      <c r="I88" s="189">
        <v>0.1171</v>
      </c>
      <c r="J88" s="189">
        <v>0.36824999999999997</v>
      </c>
      <c r="K88" s="189">
        <v>4.0399999999999998E-2</v>
      </c>
      <c r="L88" s="189">
        <v>0.11648319114615391</v>
      </c>
      <c r="M88" s="189">
        <v>0.10628337087016815</v>
      </c>
      <c r="N88" s="190">
        <v>1.1930121703203294</v>
      </c>
      <c r="O88" s="190">
        <v>2.0652089741659312</v>
      </c>
      <c r="P88" s="190">
        <v>11.55097833707762</v>
      </c>
      <c r="Q88" s="190">
        <v>19.966385860131599</v>
      </c>
      <c r="R88" s="190">
        <v>2.2840372548467887</v>
      </c>
      <c r="S88" s="190">
        <v>41.764614350765569</v>
      </c>
    </row>
    <row r="89" spans="1:19" hidden="1">
      <c r="A89" t="s">
        <v>340</v>
      </c>
      <c r="B89" s="50">
        <v>12</v>
      </c>
      <c r="C89" s="189">
        <v>5.0283333333333333E-2</v>
      </c>
      <c r="D89" s="189">
        <v>0.11176490891557907</v>
      </c>
      <c r="E89" s="189">
        <v>0.26042986272939223</v>
      </c>
      <c r="F89" s="189">
        <v>0.23427400793650796</v>
      </c>
      <c r="G89" s="190">
        <v>1.3942797588603428</v>
      </c>
      <c r="H89" s="190">
        <v>1.3149999999999997</v>
      </c>
      <c r="I89" s="189">
        <v>9.6149999999999985E-2</v>
      </c>
      <c r="J89" s="189">
        <v>0.4997583333333333</v>
      </c>
      <c r="K89" s="189">
        <v>4.0399999999999998E-2</v>
      </c>
      <c r="L89" s="189">
        <v>3.7944783338130006E-2</v>
      </c>
      <c r="M89" s="189">
        <v>9.342139063015506E-2</v>
      </c>
      <c r="N89" s="190">
        <v>3.1427261992254278</v>
      </c>
      <c r="O89" s="190">
        <v>2.0560879287195104</v>
      </c>
      <c r="P89" s="190">
        <v>15.748873688296264</v>
      </c>
      <c r="Q89" s="190">
        <v>18.39654278493229</v>
      </c>
      <c r="R89" s="190">
        <v>5.1106836544437542</v>
      </c>
      <c r="S89" s="190">
        <v>21.062583873036285</v>
      </c>
    </row>
    <row r="90" spans="1:19" hidden="1">
      <c r="A90" t="s">
        <v>446</v>
      </c>
      <c r="B90" s="50">
        <v>32</v>
      </c>
      <c r="C90" s="189">
        <v>1.1103225806451615E-2</v>
      </c>
      <c r="D90" s="189">
        <v>2.9931385429795586E-2</v>
      </c>
      <c r="E90" s="189">
        <v>2.1411448158677921E-2</v>
      </c>
      <c r="F90" s="189">
        <v>0.26961281250000002</v>
      </c>
      <c r="G90" s="190">
        <v>1.2194025648849411</v>
      </c>
      <c r="H90" s="190">
        <v>1.6639285714285712</v>
      </c>
      <c r="I90" s="189">
        <v>0.11359642857142856</v>
      </c>
      <c r="J90" s="189">
        <v>0.39650000000000007</v>
      </c>
      <c r="K90" s="189">
        <v>4.0399999999999998E-2</v>
      </c>
      <c r="L90" s="189">
        <v>0.3888962823406964</v>
      </c>
      <c r="M90" s="189">
        <v>7.8846045696758002E-2</v>
      </c>
      <c r="N90" s="190">
        <v>1.1487654147228998</v>
      </c>
      <c r="O90" s="190">
        <v>0.83577589797943186</v>
      </c>
      <c r="P90" s="190">
        <v>10.615889130336361</v>
      </c>
      <c r="Q90" s="190">
        <v>27.923060893380761</v>
      </c>
      <c r="R90" s="190">
        <v>0.94043911821772785</v>
      </c>
      <c r="S90" s="190">
        <v>24.366697433882372</v>
      </c>
    </row>
    <row r="91" spans="1:19" hidden="1">
      <c r="A91" t="s">
        <v>17</v>
      </c>
      <c r="B91" s="50">
        <v>91</v>
      </c>
      <c r="C91" s="189">
        <v>1.3948750000000005E-2</v>
      </c>
      <c r="D91" s="189">
        <v>-1.5110548942380445E-3</v>
      </c>
      <c r="E91" s="189">
        <v>-6.3763775466146325E-2</v>
      </c>
      <c r="F91" s="189">
        <v>0.17409670329670326</v>
      </c>
      <c r="G91" s="190">
        <v>1.2709684674510393</v>
      </c>
      <c r="H91" s="190">
        <v>1.0469736842105266</v>
      </c>
      <c r="I91" s="189">
        <v>8.2748684210526335E-2</v>
      </c>
      <c r="J91" s="189">
        <v>0.61808048780487823</v>
      </c>
      <c r="K91" s="189">
        <v>4.5399999999999996E-2</v>
      </c>
      <c r="L91" s="189">
        <v>0.11019671044883617</v>
      </c>
      <c r="M91" s="189">
        <v>7.6631809809183077E-2</v>
      </c>
      <c r="N91" s="190">
        <v>2.0540214087219968</v>
      </c>
      <c r="O91" s="190">
        <v>1.5930606595201391</v>
      </c>
      <c r="P91" s="190">
        <v>42.187828103233407</v>
      </c>
      <c r="Q91" s="190" t="s">
        <v>303</v>
      </c>
      <c r="R91" s="190">
        <v>2.3992366497101907</v>
      </c>
      <c r="S91" s="190">
        <v>33.437235864965707</v>
      </c>
    </row>
    <row r="92" spans="1:19" hidden="1">
      <c r="A92" t="s">
        <v>75</v>
      </c>
      <c r="B92" s="50">
        <v>61</v>
      </c>
      <c r="C92" s="189">
        <v>6.0969387755102043E-2</v>
      </c>
      <c r="D92" s="189">
        <v>0.19858835682898315</v>
      </c>
      <c r="E92" s="189">
        <v>0.12191739067589213</v>
      </c>
      <c r="F92" s="189">
        <v>0.1782218032786885</v>
      </c>
      <c r="G92" s="190">
        <v>0.89919030897136798</v>
      </c>
      <c r="H92" s="190">
        <v>1.0518749999999997</v>
      </c>
      <c r="I92" s="189">
        <v>8.2993749999999991E-2</v>
      </c>
      <c r="J92" s="189">
        <v>0.6248627450980393</v>
      </c>
      <c r="K92" s="189">
        <v>4.5399999999999996E-2</v>
      </c>
      <c r="L92" s="189">
        <v>0.25169562922192867</v>
      </c>
      <c r="M92" s="189">
        <v>6.8960774812267894E-2</v>
      </c>
      <c r="N92" s="190">
        <v>0.91843552678965146</v>
      </c>
      <c r="O92" s="190">
        <v>1.9953379601689809</v>
      </c>
      <c r="P92" s="190">
        <v>5.6849704335540876</v>
      </c>
      <c r="Q92" s="190">
        <v>10.047607986843314</v>
      </c>
      <c r="R92" s="190">
        <v>2.2544326516835809</v>
      </c>
      <c r="S92" s="190">
        <v>108.84576623901215</v>
      </c>
    </row>
    <row r="93" spans="1:19" hidden="1">
      <c r="A93" t="s">
        <v>438</v>
      </c>
      <c r="B93" s="50">
        <v>24</v>
      </c>
      <c r="C93" s="189">
        <v>9.0476190476196169E-5</v>
      </c>
      <c r="D93" s="189">
        <v>0.15944721069016643</v>
      </c>
      <c r="E93" s="189">
        <v>9.150252227147429E-2</v>
      </c>
      <c r="F93" s="189">
        <v>0.19763083333333334</v>
      </c>
      <c r="G93" s="190">
        <v>0.47028832016757832</v>
      </c>
      <c r="H93" s="190">
        <v>0.76526315789473687</v>
      </c>
      <c r="I93" s="189">
        <v>6.8663157894736843E-2</v>
      </c>
      <c r="J93" s="189">
        <v>0.41968999999999995</v>
      </c>
      <c r="K93" s="189">
        <v>4.0399999999999998E-2</v>
      </c>
      <c r="L93" s="189">
        <v>0.47078569387599067</v>
      </c>
      <c r="M93" s="189">
        <v>4.774937068110046E-2</v>
      </c>
      <c r="N93" s="190">
        <v>0.79320929078907054</v>
      </c>
      <c r="O93" s="190">
        <v>1.8630050991098768</v>
      </c>
      <c r="P93" s="190">
        <v>5.4195029458725106</v>
      </c>
      <c r="Q93" s="190">
        <v>11.684149826427625</v>
      </c>
      <c r="R93" s="190">
        <v>2.3812013233352829</v>
      </c>
      <c r="S93" s="190">
        <v>20.695695255773714</v>
      </c>
    </row>
    <row r="94" spans="1:19" hidden="1">
      <c r="A94" t="s">
        <v>73</v>
      </c>
      <c r="B94" s="50">
        <v>170</v>
      </c>
      <c r="C94" s="189">
        <v>0</v>
      </c>
      <c r="D94" s="189" t="s">
        <v>303</v>
      </c>
      <c r="E94" s="189" t="s">
        <v>303</v>
      </c>
      <c r="F94" s="189">
        <v>0.16027541176470586</v>
      </c>
      <c r="G94" s="190">
        <v>0.79495040756142421</v>
      </c>
      <c r="H94" s="190">
        <v>0.693956834532374</v>
      </c>
      <c r="I94" s="189">
        <v>6.5097841726618699E-2</v>
      </c>
      <c r="J94" s="189">
        <v>0.34840559440559432</v>
      </c>
      <c r="K94" s="189">
        <v>4.0399999999999998E-2</v>
      </c>
      <c r="L94" s="189">
        <v>8.0052665012681712E-2</v>
      </c>
      <c r="M94" s="189">
        <v>6.1827062609736527E-2</v>
      </c>
      <c r="N94" s="190" t="s">
        <v>303</v>
      </c>
      <c r="O94" s="190" t="s">
        <v>303</v>
      </c>
      <c r="P94" s="190">
        <v>5.5226847936179784</v>
      </c>
      <c r="Q94" s="190">
        <v>5.5226847936179784</v>
      </c>
      <c r="R94" s="190">
        <v>1.3221412418513039</v>
      </c>
      <c r="S94" s="190">
        <v>55.549421558029522</v>
      </c>
    </row>
    <row r="95" spans="1:19" hidden="1">
      <c r="A95" t="s">
        <v>278</v>
      </c>
      <c r="B95" s="50">
        <v>11</v>
      </c>
      <c r="C95" s="189">
        <v>0.20507272727272724</v>
      </c>
      <c r="D95" s="189">
        <v>0.23008208835198291</v>
      </c>
      <c r="E95" s="189">
        <v>0.33567040693533384</v>
      </c>
      <c r="F95" s="189">
        <v>0.3350818181818182</v>
      </c>
      <c r="G95" s="190">
        <v>0.80618382777163056</v>
      </c>
      <c r="H95" s="190">
        <v>0.88100000000000001</v>
      </c>
      <c r="I95" s="189">
        <v>7.4450000000000002E-2</v>
      </c>
      <c r="J95" s="189">
        <v>0.30117000000000005</v>
      </c>
      <c r="K95" s="189">
        <v>4.0399999999999998E-2</v>
      </c>
      <c r="L95" s="189">
        <v>0.16330690945682069</v>
      </c>
      <c r="M95" s="189">
        <v>6.6250360076173034E-2</v>
      </c>
      <c r="N95" s="190">
        <v>2.1276348862224062</v>
      </c>
      <c r="O95" s="190">
        <v>2.4122088414849765</v>
      </c>
      <c r="P95" s="190">
        <v>9.7070789482560897</v>
      </c>
      <c r="Q95" s="190">
        <v>10.484122683182294</v>
      </c>
      <c r="R95" s="190">
        <v>14.453250933529777</v>
      </c>
      <c r="S95" s="190">
        <v>16.953582208478135</v>
      </c>
    </row>
    <row r="96" spans="1:19" hidden="1">
      <c r="A96" t="s">
        <v>397</v>
      </c>
      <c r="B96" s="50">
        <v>15</v>
      </c>
      <c r="C96" s="189">
        <v>4.7792307692307683E-2</v>
      </c>
      <c r="D96" s="189">
        <v>0.10514688280674531</v>
      </c>
      <c r="E96" s="189">
        <v>0.17092987980931099</v>
      </c>
      <c r="F96" s="189">
        <v>0.29963599999999996</v>
      </c>
      <c r="G96" s="190">
        <v>0.97268245919472474</v>
      </c>
      <c r="H96" s="190">
        <v>1.0276923076923077</v>
      </c>
      <c r="I96" s="189">
        <v>8.1784615384615386E-2</v>
      </c>
      <c r="J96" s="189">
        <v>0.38395384615384615</v>
      </c>
      <c r="K96" s="189">
        <v>4.0399999999999998E-2</v>
      </c>
      <c r="L96" s="189">
        <v>0.15705265955642012</v>
      </c>
      <c r="M96" s="189">
        <v>7.2747080495310257E-2</v>
      </c>
      <c r="N96" s="190">
        <v>2.5686534602798394</v>
      </c>
      <c r="O96" s="190">
        <v>1.732922478445847</v>
      </c>
      <c r="P96" s="190">
        <v>12.812429392065026</v>
      </c>
      <c r="Q96" s="190">
        <v>16.480968642987463</v>
      </c>
      <c r="R96" s="190">
        <v>7.1250672179534664</v>
      </c>
      <c r="S96" s="190">
        <v>29.818502719865112</v>
      </c>
    </row>
    <row r="97" spans="1:19" hidden="1">
      <c r="A97" t="s">
        <v>331</v>
      </c>
      <c r="B97" s="50">
        <v>31</v>
      </c>
      <c r="C97" s="189">
        <v>1.2603333333333333E-2</v>
      </c>
      <c r="D97" s="189">
        <v>7.8490630309730011E-2</v>
      </c>
      <c r="E97" s="189">
        <v>0.12476622914529691</v>
      </c>
      <c r="F97" s="189">
        <v>0.2733035483870967</v>
      </c>
      <c r="G97" s="190">
        <v>1.1946135717155963</v>
      </c>
      <c r="H97" s="190">
        <v>1.4026923076923077</v>
      </c>
      <c r="I97" s="189">
        <v>0.10053461538461539</v>
      </c>
      <c r="J97" s="189">
        <v>0.42671379310344831</v>
      </c>
      <c r="K97" s="189">
        <v>4.0399999999999998E-2</v>
      </c>
      <c r="L97" s="189">
        <v>0.23561711817400777</v>
      </c>
      <c r="M97" s="189">
        <v>8.2558297975497991E-2</v>
      </c>
      <c r="N97" s="190">
        <v>2.3554483048841424</v>
      </c>
      <c r="O97" s="190">
        <v>1.0576377296269208</v>
      </c>
      <c r="P97" s="190">
        <v>7.7177153778597569</v>
      </c>
      <c r="Q97" s="190">
        <v>13.474700425431697</v>
      </c>
      <c r="R97" s="190">
        <v>4.0197241109947273</v>
      </c>
      <c r="S97" s="190">
        <v>21.224116798249931</v>
      </c>
    </row>
    <row r="98" spans="1:19" hidden="1">
      <c r="A98" t="s">
        <v>138</v>
      </c>
      <c r="B98" s="50">
        <v>9</v>
      </c>
      <c r="C98" s="189">
        <v>4.4388888888888894E-2</v>
      </c>
      <c r="D98" s="189">
        <v>0.27626610936955764</v>
      </c>
      <c r="E98" s="189">
        <v>6.1537537128747259E-2</v>
      </c>
      <c r="F98" s="189">
        <v>0.34278495711835333</v>
      </c>
      <c r="G98" s="190">
        <v>0.31150576720820605</v>
      </c>
      <c r="H98" s="190">
        <v>0.4466666666666666</v>
      </c>
      <c r="I98" s="189">
        <v>5.2733333333333327E-2</v>
      </c>
      <c r="J98" s="189">
        <v>0.14750000000000002</v>
      </c>
      <c r="K98" s="189">
        <v>3.5400000000000001E-2</v>
      </c>
      <c r="L98" s="189">
        <v>0.40245631967291662</v>
      </c>
      <c r="M98" s="189">
        <v>4.0058642305767604E-2</v>
      </c>
      <c r="N98" s="190">
        <v>0.32777115613825974</v>
      </c>
      <c r="O98" s="190">
        <v>4.3353674677812606</v>
      </c>
      <c r="P98" s="190">
        <v>10.646696547712731</v>
      </c>
      <c r="Q98" s="190">
        <v>15.692722779767006</v>
      </c>
      <c r="R98" s="190">
        <v>1.9716592363065313</v>
      </c>
      <c r="S98" s="190">
        <v>21.516917234316381</v>
      </c>
    </row>
    <row r="99" spans="1:19" hidden="1">
      <c r="A99" t="s">
        <v>332</v>
      </c>
      <c r="B99" s="50">
        <v>53</v>
      </c>
      <c r="C99" s="189">
        <v>0.11827659574468083</v>
      </c>
      <c r="D99" s="189">
        <v>7.5654859735871868E-2</v>
      </c>
      <c r="E99" s="189">
        <v>4.0852450171916889E-2</v>
      </c>
      <c r="F99" s="189">
        <v>0.11056603773584904</v>
      </c>
      <c r="G99" s="190">
        <v>0.93097847623371732</v>
      </c>
      <c r="H99" s="190">
        <v>1.1848780487804875</v>
      </c>
      <c r="I99" s="189">
        <v>8.9643902439024384E-2</v>
      </c>
      <c r="J99" s="189">
        <v>0.62141590909090916</v>
      </c>
      <c r="K99" s="189">
        <v>4.5399999999999996E-2</v>
      </c>
      <c r="L99" s="189">
        <v>0.28780393146685102</v>
      </c>
      <c r="M99" s="189">
        <v>7.168381397819934E-2</v>
      </c>
      <c r="N99" s="190">
        <v>0.70485052444209573</v>
      </c>
      <c r="O99" s="190">
        <v>3.2839784455651873</v>
      </c>
      <c r="P99" s="190">
        <v>16.108260189882277</v>
      </c>
      <c r="Q99" s="190">
        <v>43.407369427823859</v>
      </c>
      <c r="R99" s="190">
        <v>3.9469849285391434</v>
      </c>
      <c r="S99" s="190">
        <v>74.725101106868991</v>
      </c>
    </row>
  </sheetData>
  <autoFilter ref="A1:A99" xr:uid="{00000000-0009-0000-0000-000009000000}">
    <filterColumn colId="0">
      <filters>
        <filter val="Semiconductor"/>
        <filter val="Semiconductor Equip"/>
      </filters>
    </filterColumn>
  </autoFilter>
  <phoneticPr fontId="23"/>
  <pageMargins left="0.75" right="0.75" top="1" bottom="1" header="0.5" footer="0.5"/>
  <pageSetup orientation="portrait" horizontalDpi="4294967292" verticalDpi="429496729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51"/>
  <sheetViews>
    <sheetView workbookViewId="0">
      <selection activeCell="D149" sqref="D149"/>
    </sheetView>
  </sheetViews>
  <sheetFormatPr baseColWidth="10" defaultColWidth="11.42578125" defaultRowHeight="14"/>
  <cols>
    <col min="1" max="1" width="21.140625" bestFit="1" customWidth="1"/>
    <col min="2" max="2" width="14.140625" bestFit="1" customWidth="1"/>
    <col min="3" max="3" width="27.28515625" bestFit="1" customWidth="1"/>
    <col min="4" max="4" width="24.42578125" bestFit="1" customWidth="1"/>
    <col min="5" max="5" width="17.42578125" bestFit="1" customWidth="1"/>
    <col min="6" max="6" width="19.7109375" bestFit="1" customWidth="1"/>
  </cols>
  <sheetData>
    <row r="1" spans="1:6" ht="16">
      <c r="A1" s="183" t="s">
        <v>459</v>
      </c>
      <c r="B1" s="191" t="s">
        <v>511</v>
      </c>
      <c r="C1" s="183" t="s">
        <v>512</v>
      </c>
      <c r="D1" s="191" t="s">
        <v>639</v>
      </c>
      <c r="E1" s="192" t="s">
        <v>513</v>
      </c>
      <c r="F1" s="193" t="s">
        <v>476</v>
      </c>
    </row>
    <row r="2" spans="1:6" ht="16">
      <c r="A2" s="194" t="s">
        <v>695</v>
      </c>
      <c r="B2" s="195" t="s">
        <v>543</v>
      </c>
      <c r="C2" s="196">
        <v>5.0000000000000001E-3</v>
      </c>
      <c r="D2" s="196">
        <v>5.7500000000000002E-2</v>
      </c>
      <c r="E2" s="197">
        <v>7.4999999999999997E-3</v>
      </c>
      <c r="F2" s="182" t="s">
        <v>536</v>
      </c>
    </row>
    <row r="3" spans="1:6" ht="16">
      <c r="A3" s="194" t="s">
        <v>514</v>
      </c>
      <c r="B3" s="195" t="s">
        <v>515</v>
      </c>
      <c r="C3" s="196">
        <v>4.4999999999999998E-2</v>
      </c>
      <c r="D3" s="196">
        <v>0.11750000000000001</v>
      </c>
      <c r="E3" s="197">
        <v>6.7500000000000004E-2</v>
      </c>
      <c r="F3" s="182" t="s">
        <v>516</v>
      </c>
    </row>
    <row r="4" spans="1:6" ht="16">
      <c r="A4" s="194" t="s">
        <v>697</v>
      </c>
      <c r="B4" s="195" t="s">
        <v>532</v>
      </c>
      <c r="C4" s="196">
        <v>1.2E-2</v>
      </c>
      <c r="D4" s="196">
        <v>6.8000000000000005E-2</v>
      </c>
      <c r="E4" s="197">
        <v>1.8000000000000002E-2</v>
      </c>
      <c r="F4" s="182" t="s">
        <v>528</v>
      </c>
    </row>
    <row r="5" spans="1:6" ht="16">
      <c r="A5" s="194" t="s">
        <v>517</v>
      </c>
      <c r="B5" s="195" t="s">
        <v>518</v>
      </c>
      <c r="C5" s="196">
        <v>3.5999999999999997E-2</v>
      </c>
      <c r="D5" s="196">
        <v>0.104</v>
      </c>
      <c r="E5" s="197">
        <v>5.3999999999999992E-2</v>
      </c>
      <c r="F5" s="182" t="s">
        <v>519</v>
      </c>
    </row>
    <row r="6" spans="1:6" ht="16">
      <c r="A6" s="194" t="s">
        <v>520</v>
      </c>
      <c r="B6" s="195" t="s">
        <v>521</v>
      </c>
      <c r="C6" s="196">
        <v>6.5000000000000002E-2</v>
      </c>
      <c r="D6" s="196">
        <v>0.14750000000000002</v>
      </c>
      <c r="E6" s="197">
        <v>9.7500000000000003E-2</v>
      </c>
      <c r="F6" s="182" t="s">
        <v>522</v>
      </c>
    </row>
    <row r="7" spans="1:6" ht="16">
      <c r="A7" s="194" t="s">
        <v>523</v>
      </c>
      <c r="B7" s="195" t="s">
        <v>524</v>
      </c>
      <c r="C7" s="196">
        <v>0.03</v>
      </c>
      <c r="D7" s="196">
        <v>9.5000000000000001E-2</v>
      </c>
      <c r="E7" s="197">
        <v>4.4999999999999998E-2</v>
      </c>
      <c r="F7" s="182" t="s">
        <v>516</v>
      </c>
    </row>
    <row r="8" spans="1:6" ht="16">
      <c r="A8" s="194" t="s">
        <v>689</v>
      </c>
      <c r="B8" s="195" t="s">
        <v>535</v>
      </c>
      <c r="C8" s="196">
        <v>1.6E-2</v>
      </c>
      <c r="D8" s="196">
        <v>7.400000000000001E-2</v>
      </c>
      <c r="E8" s="197">
        <v>2.4E-2</v>
      </c>
      <c r="F8" s="182" t="s">
        <v>533</v>
      </c>
    </row>
    <row r="9" spans="1:6" ht="16">
      <c r="A9" s="194" t="s">
        <v>525</v>
      </c>
      <c r="B9" s="195" t="s">
        <v>526</v>
      </c>
      <c r="C9" s="196">
        <v>0</v>
      </c>
      <c r="D9" s="196">
        <v>0.05</v>
      </c>
      <c r="E9" s="197">
        <v>0</v>
      </c>
      <c r="F9" s="182" t="s">
        <v>527</v>
      </c>
    </row>
    <row r="10" spans="1:6" ht="16">
      <c r="A10" s="194" t="s">
        <v>640</v>
      </c>
      <c r="B10" s="195" t="s">
        <v>526</v>
      </c>
      <c r="C10" s="196">
        <v>0</v>
      </c>
      <c r="D10" s="196">
        <v>0.05</v>
      </c>
      <c r="E10" s="197">
        <v>0</v>
      </c>
      <c r="F10" s="182" t="s">
        <v>528</v>
      </c>
    </row>
    <row r="11" spans="1:6" ht="16">
      <c r="A11" s="194" t="s">
        <v>529</v>
      </c>
      <c r="B11" s="195" t="s">
        <v>530</v>
      </c>
      <c r="C11" s="196">
        <v>2.1999999999999999E-2</v>
      </c>
      <c r="D11" s="196">
        <v>8.3000000000000004E-2</v>
      </c>
      <c r="E11" s="197">
        <v>3.3000000000000002E-2</v>
      </c>
      <c r="F11" s="182" t="s">
        <v>516</v>
      </c>
    </row>
    <row r="12" spans="1:6" ht="16">
      <c r="A12" s="194" t="s">
        <v>531</v>
      </c>
      <c r="B12" s="195" t="s">
        <v>535</v>
      </c>
      <c r="C12" s="196">
        <v>1.6E-2</v>
      </c>
      <c r="D12" s="196">
        <v>7.400000000000001E-2</v>
      </c>
      <c r="E12" s="197">
        <v>2.4E-2</v>
      </c>
      <c r="F12" s="182" t="s">
        <v>533</v>
      </c>
    </row>
    <row r="13" spans="1:6" ht="16">
      <c r="A13" s="194" t="s">
        <v>534</v>
      </c>
      <c r="B13" s="195" t="s">
        <v>548</v>
      </c>
      <c r="C13" s="196">
        <v>1.9E-2</v>
      </c>
      <c r="D13" s="196">
        <v>7.85E-2</v>
      </c>
      <c r="E13" s="197">
        <v>2.8499999999999998E-2</v>
      </c>
      <c r="F13" s="182" t="s">
        <v>536</v>
      </c>
    </row>
    <row r="14" spans="1:6" ht="16">
      <c r="A14" s="194" t="s">
        <v>537</v>
      </c>
      <c r="B14" s="195" t="s">
        <v>518</v>
      </c>
      <c r="C14" s="196">
        <v>3.5999999999999997E-2</v>
      </c>
      <c r="D14" s="196">
        <v>0.104</v>
      </c>
      <c r="E14" s="197">
        <v>5.3999999999999992E-2</v>
      </c>
      <c r="F14" s="182" t="s">
        <v>641</v>
      </c>
    </row>
    <row r="15" spans="1:6" ht="16">
      <c r="A15" s="194" t="s">
        <v>538</v>
      </c>
      <c r="B15" s="195" t="s">
        <v>571</v>
      </c>
      <c r="C15" s="196">
        <v>2.5000000000000001E-2</v>
      </c>
      <c r="D15" s="196">
        <v>8.7500000000000008E-2</v>
      </c>
      <c r="E15" s="197">
        <v>3.7500000000000006E-2</v>
      </c>
      <c r="F15" s="182" t="s">
        <v>533</v>
      </c>
    </row>
    <row r="16" spans="1:6" ht="16">
      <c r="A16" s="194" t="s">
        <v>539</v>
      </c>
      <c r="B16" s="195" t="s">
        <v>521</v>
      </c>
      <c r="C16" s="196">
        <v>6.5000000000000002E-2</v>
      </c>
      <c r="D16" s="196">
        <v>0.14750000000000002</v>
      </c>
      <c r="E16" s="197">
        <v>9.7500000000000003E-2</v>
      </c>
      <c r="F16" s="182" t="s">
        <v>516</v>
      </c>
    </row>
    <row r="17" spans="1:6" ht="16">
      <c r="A17" s="194" t="s">
        <v>642</v>
      </c>
      <c r="B17" s="195" t="s">
        <v>540</v>
      </c>
      <c r="C17" s="196">
        <v>6.0000000000000001E-3</v>
      </c>
      <c r="D17" s="196">
        <v>5.9000000000000004E-2</v>
      </c>
      <c r="E17" s="197">
        <v>9.0000000000000011E-3</v>
      </c>
      <c r="F17" s="182" t="s">
        <v>528</v>
      </c>
    </row>
    <row r="18" spans="1:6" ht="16">
      <c r="A18" s="194" t="s">
        <v>541</v>
      </c>
      <c r="B18" s="195" t="s">
        <v>692</v>
      </c>
      <c r="C18" s="196">
        <v>0.09</v>
      </c>
      <c r="D18" s="196">
        <v>0.185</v>
      </c>
      <c r="E18" s="197">
        <v>0.13500000000000001</v>
      </c>
      <c r="F18" s="182" t="s">
        <v>522</v>
      </c>
    </row>
    <row r="19" spans="1:6" ht="16">
      <c r="A19" s="194" t="s">
        <v>676</v>
      </c>
      <c r="B19" s="195" t="s">
        <v>551</v>
      </c>
      <c r="C19" s="196">
        <v>5.5E-2</v>
      </c>
      <c r="D19" s="196">
        <v>0.13250000000000001</v>
      </c>
      <c r="E19" s="197">
        <v>8.2500000000000004E-2</v>
      </c>
      <c r="F19" s="182" t="s">
        <v>519</v>
      </c>
    </row>
    <row r="20" spans="1:6" ht="16">
      <c r="A20" s="194" t="s">
        <v>542</v>
      </c>
      <c r="B20" s="195" t="s">
        <v>540</v>
      </c>
      <c r="C20" s="196">
        <v>6.0000000000000001E-3</v>
      </c>
      <c r="D20" s="196">
        <v>5.9000000000000004E-2</v>
      </c>
      <c r="E20" s="197">
        <v>9.0000000000000011E-3</v>
      </c>
      <c r="F20" s="182" t="s">
        <v>533</v>
      </c>
    </row>
    <row r="21" spans="1:6" ht="16">
      <c r="A21" s="194" t="s">
        <v>464</v>
      </c>
      <c r="B21" s="195" t="s">
        <v>518</v>
      </c>
      <c r="C21" s="196">
        <v>3.5999999999999997E-2</v>
      </c>
      <c r="D21" s="196">
        <v>0.104</v>
      </c>
      <c r="E21" s="197">
        <v>5.3999999999999992E-2</v>
      </c>
      <c r="F21" s="182" t="s">
        <v>522</v>
      </c>
    </row>
    <row r="22" spans="1:6" ht="16">
      <c r="A22" s="194" t="s">
        <v>544</v>
      </c>
      <c r="B22" s="195" t="s">
        <v>521</v>
      </c>
      <c r="C22" s="196">
        <v>6.5000000000000002E-2</v>
      </c>
      <c r="D22" s="196">
        <v>0.14750000000000002</v>
      </c>
      <c r="E22" s="197">
        <v>9.7500000000000003E-2</v>
      </c>
      <c r="F22" s="182" t="s">
        <v>516</v>
      </c>
    </row>
    <row r="23" spans="1:6" ht="16">
      <c r="A23" s="194" t="s">
        <v>545</v>
      </c>
      <c r="B23" s="195" t="s">
        <v>546</v>
      </c>
      <c r="C23" s="196">
        <v>8.5000000000000006E-3</v>
      </c>
      <c r="D23" s="196">
        <v>6.275E-2</v>
      </c>
      <c r="E23" s="197">
        <v>1.2750000000000001E-2</v>
      </c>
      <c r="F23" s="182" t="s">
        <v>519</v>
      </c>
    </row>
    <row r="24" spans="1:6" ht="16">
      <c r="A24" s="194" t="s">
        <v>547</v>
      </c>
      <c r="B24" s="195" t="s">
        <v>548</v>
      </c>
      <c r="C24" s="196">
        <v>1.9E-2</v>
      </c>
      <c r="D24" s="196">
        <v>7.85E-2</v>
      </c>
      <c r="E24" s="197">
        <v>2.8499999999999998E-2</v>
      </c>
      <c r="F24" s="182" t="s">
        <v>522</v>
      </c>
    </row>
    <row r="25" spans="1:6" ht="16">
      <c r="A25" s="194" t="s">
        <v>549</v>
      </c>
      <c r="B25" s="195" t="s">
        <v>548</v>
      </c>
      <c r="C25" s="196">
        <v>1.9E-2</v>
      </c>
      <c r="D25" s="196">
        <v>7.85E-2</v>
      </c>
      <c r="E25" s="197">
        <v>2.8499999999999998E-2</v>
      </c>
      <c r="F25" s="182" t="s">
        <v>516</v>
      </c>
    </row>
    <row r="26" spans="1:6" ht="16">
      <c r="A26" s="194" t="s">
        <v>677</v>
      </c>
      <c r="B26" s="195" t="s">
        <v>551</v>
      </c>
      <c r="C26" s="196">
        <v>5.5E-2</v>
      </c>
      <c r="D26" s="196">
        <v>0.13250000000000001</v>
      </c>
      <c r="E26" s="197">
        <v>8.2500000000000004E-2</v>
      </c>
      <c r="F26" s="182" t="s">
        <v>519</v>
      </c>
    </row>
    <row r="27" spans="1:6" ht="16">
      <c r="A27" s="194" t="s">
        <v>550</v>
      </c>
      <c r="B27" s="195" t="s">
        <v>551</v>
      </c>
      <c r="C27" s="196">
        <v>5.5E-2</v>
      </c>
      <c r="D27" s="196">
        <v>0.13250000000000001</v>
      </c>
      <c r="E27" s="197">
        <v>8.2500000000000004E-2</v>
      </c>
      <c r="F27" s="182" t="s">
        <v>641</v>
      </c>
    </row>
    <row r="28" spans="1:6" ht="16">
      <c r="A28" s="194" t="s">
        <v>678</v>
      </c>
      <c r="B28" s="195" t="s">
        <v>551</v>
      </c>
      <c r="C28" s="196">
        <v>5.5E-2</v>
      </c>
      <c r="D28" s="196">
        <v>0.13250000000000001</v>
      </c>
      <c r="E28" s="197">
        <v>8.2500000000000004E-2</v>
      </c>
      <c r="F28" s="182" t="s">
        <v>519</v>
      </c>
    </row>
    <row r="29" spans="1:6" ht="16">
      <c r="A29" s="194" t="s">
        <v>552</v>
      </c>
      <c r="B29" s="195" t="s">
        <v>526</v>
      </c>
      <c r="C29" s="196">
        <v>0</v>
      </c>
      <c r="D29" s="196">
        <v>0.05</v>
      </c>
      <c r="E29" s="197">
        <v>0</v>
      </c>
      <c r="F29" s="182" t="s">
        <v>553</v>
      </c>
    </row>
    <row r="30" spans="1:6" ht="16">
      <c r="A30" s="194" t="s">
        <v>679</v>
      </c>
      <c r="B30" s="195" t="s">
        <v>551</v>
      </c>
      <c r="C30" s="196">
        <v>5.5E-2</v>
      </c>
      <c r="D30" s="196">
        <v>0.13250000000000001</v>
      </c>
      <c r="E30" s="197">
        <v>8.2500000000000004E-2</v>
      </c>
      <c r="F30" s="182" t="s">
        <v>519</v>
      </c>
    </row>
    <row r="31" spans="1:6" ht="16">
      <c r="A31" s="194" t="s">
        <v>554</v>
      </c>
      <c r="B31" s="195" t="s">
        <v>540</v>
      </c>
      <c r="C31" s="196">
        <v>6.0000000000000001E-3</v>
      </c>
      <c r="D31" s="196">
        <v>5.9000000000000004E-2</v>
      </c>
      <c r="E31" s="197">
        <v>9.0000000000000011E-3</v>
      </c>
      <c r="F31" s="182" t="s">
        <v>533</v>
      </c>
    </row>
    <row r="32" spans="1:6" ht="16">
      <c r="A32" s="194" t="s">
        <v>555</v>
      </c>
      <c r="B32" s="195" t="s">
        <v>540</v>
      </c>
      <c r="C32" s="196">
        <v>6.0000000000000001E-3</v>
      </c>
      <c r="D32" s="196">
        <v>5.9000000000000004E-2</v>
      </c>
      <c r="E32" s="197">
        <v>9.0000000000000011E-3</v>
      </c>
      <c r="F32" s="182" t="s">
        <v>522</v>
      </c>
    </row>
    <row r="33" spans="1:6" ht="16">
      <c r="A33" s="194" t="s">
        <v>556</v>
      </c>
      <c r="B33" s="195" t="s">
        <v>540</v>
      </c>
      <c r="C33" s="196">
        <v>6.0000000000000001E-3</v>
      </c>
      <c r="D33" s="196">
        <v>5.9000000000000004E-2</v>
      </c>
      <c r="E33" s="197">
        <v>8.0999999999999996E-3</v>
      </c>
      <c r="F33" s="182" t="s">
        <v>641</v>
      </c>
    </row>
    <row r="34" spans="1:6" ht="16">
      <c r="A34" s="194" t="s">
        <v>557</v>
      </c>
      <c r="B34" s="195" t="s">
        <v>530</v>
      </c>
      <c r="C34" s="196">
        <v>2.1999999999999999E-2</v>
      </c>
      <c r="D34" s="196">
        <v>8.3000000000000004E-2</v>
      </c>
      <c r="E34" s="197">
        <v>3.3000000000000002E-2</v>
      </c>
      <c r="F34" s="182" t="s">
        <v>522</v>
      </c>
    </row>
    <row r="35" spans="1:6" ht="16">
      <c r="A35" s="194" t="s">
        <v>688</v>
      </c>
      <c r="B35" s="195" t="s">
        <v>515</v>
      </c>
      <c r="C35" s="196">
        <v>4.4999999999999998E-2</v>
      </c>
      <c r="D35" s="196">
        <v>0.11750000000000001</v>
      </c>
      <c r="E35" s="197">
        <v>6.7500000000000004E-2</v>
      </c>
      <c r="F35" s="182" t="s">
        <v>527</v>
      </c>
    </row>
    <row r="36" spans="1:6" ht="16">
      <c r="A36" s="194" t="s">
        <v>558</v>
      </c>
      <c r="B36" s="195" t="s">
        <v>530</v>
      </c>
      <c r="C36" s="196">
        <v>2.1999999999999999E-2</v>
      </c>
      <c r="D36" s="196">
        <v>8.3000000000000004E-2</v>
      </c>
      <c r="E36" s="197">
        <v>3.3000000000000002E-2</v>
      </c>
      <c r="F36" s="182" t="s">
        <v>522</v>
      </c>
    </row>
    <row r="37" spans="1:6" ht="16">
      <c r="A37" s="194" t="s">
        <v>559</v>
      </c>
      <c r="B37" s="195" t="s">
        <v>571</v>
      </c>
      <c r="C37" s="196">
        <v>2.5000000000000001E-2</v>
      </c>
      <c r="D37" s="196">
        <v>8.7500000000000008E-2</v>
      </c>
      <c r="E37" s="197">
        <v>3.7500000000000006E-2</v>
      </c>
      <c r="F37" s="182" t="s">
        <v>516</v>
      </c>
    </row>
    <row r="38" spans="1:6" ht="16">
      <c r="A38" s="194" t="s">
        <v>560</v>
      </c>
      <c r="B38" s="195" t="s">
        <v>561</v>
      </c>
      <c r="C38" s="196">
        <v>7.4999999999999997E-2</v>
      </c>
      <c r="D38" s="196">
        <v>0.16249999999999998</v>
      </c>
      <c r="E38" s="197">
        <v>0.11249999999999999</v>
      </c>
      <c r="F38" s="182" t="s">
        <v>533</v>
      </c>
    </row>
    <row r="39" spans="1:6" ht="16">
      <c r="A39" s="194" t="s">
        <v>690</v>
      </c>
      <c r="B39" s="195" t="s">
        <v>515</v>
      </c>
      <c r="C39" s="196">
        <v>4.4999999999999998E-2</v>
      </c>
      <c r="D39" s="196">
        <v>0.11750000000000001</v>
      </c>
      <c r="E39" s="197">
        <v>6.7500000000000004E-2</v>
      </c>
      <c r="F39" s="182" t="s">
        <v>533</v>
      </c>
    </row>
    <row r="40" spans="1:6" ht="16">
      <c r="A40" s="194" t="s">
        <v>644</v>
      </c>
      <c r="B40" s="195" t="s">
        <v>643</v>
      </c>
      <c r="C40" s="196">
        <v>0.1</v>
      </c>
      <c r="D40" s="196">
        <v>0.2</v>
      </c>
      <c r="E40" s="197">
        <v>0.15000000000000002</v>
      </c>
      <c r="F40" s="182" t="s">
        <v>528</v>
      </c>
    </row>
    <row r="41" spans="1:6" ht="16">
      <c r="A41" s="194" t="s">
        <v>562</v>
      </c>
      <c r="B41" s="195" t="s">
        <v>563</v>
      </c>
      <c r="C41" s="196">
        <v>7.0000000000000001E-3</v>
      </c>
      <c r="D41" s="196">
        <v>6.0500000000000005E-2</v>
      </c>
      <c r="E41" s="197">
        <v>1.0500000000000001E-2</v>
      </c>
      <c r="F41" s="182" t="s">
        <v>516</v>
      </c>
    </row>
    <row r="42" spans="1:6" ht="16">
      <c r="A42" s="194" t="s">
        <v>680</v>
      </c>
      <c r="B42" s="195" t="s">
        <v>521</v>
      </c>
      <c r="C42" s="196">
        <v>6.5000000000000002E-2</v>
      </c>
      <c r="D42" s="196">
        <v>0.14750000000000002</v>
      </c>
      <c r="E42" s="197">
        <v>9.7500000000000003E-2</v>
      </c>
      <c r="F42" s="182" t="s">
        <v>519</v>
      </c>
    </row>
    <row r="43" spans="1:6" ht="16">
      <c r="A43" s="194" t="s">
        <v>564</v>
      </c>
      <c r="B43" s="195" t="s">
        <v>526</v>
      </c>
      <c r="C43" s="196">
        <v>0</v>
      </c>
      <c r="D43" s="196">
        <v>0.05</v>
      </c>
      <c r="E43" s="197">
        <v>0</v>
      </c>
      <c r="F43" s="182" t="s">
        <v>528</v>
      </c>
    </row>
    <row r="44" spans="1:6" ht="16">
      <c r="A44" s="194" t="s">
        <v>565</v>
      </c>
      <c r="B44" s="195" t="s">
        <v>515</v>
      </c>
      <c r="C44" s="196">
        <v>4.4999999999999998E-2</v>
      </c>
      <c r="D44" s="196">
        <v>0.11750000000000001</v>
      </c>
      <c r="E44" s="197">
        <v>6.7500000000000004E-2</v>
      </c>
      <c r="F44" s="182" t="s">
        <v>533</v>
      </c>
    </row>
    <row r="45" spans="1:6" ht="16">
      <c r="A45" s="194" t="s">
        <v>466</v>
      </c>
      <c r="B45" s="195" t="s">
        <v>561</v>
      </c>
      <c r="C45" s="196">
        <v>7.4999999999999997E-2</v>
      </c>
      <c r="D45" s="196">
        <v>0.16249999999999998</v>
      </c>
      <c r="E45" s="197">
        <v>0.11249999999999999</v>
      </c>
      <c r="F45" s="182" t="s">
        <v>522</v>
      </c>
    </row>
    <row r="46" spans="1:6" ht="16">
      <c r="A46" s="194" t="s">
        <v>566</v>
      </c>
      <c r="B46" s="195" t="s">
        <v>561</v>
      </c>
      <c r="C46" s="196">
        <v>7.4999999999999997E-2</v>
      </c>
      <c r="D46" s="196">
        <v>0.16249999999999998</v>
      </c>
      <c r="E46" s="197">
        <v>0.11249999999999999</v>
      </c>
      <c r="F46" s="182" t="s">
        <v>519</v>
      </c>
    </row>
    <row r="47" spans="1:6" ht="16">
      <c r="A47" s="194" t="s">
        <v>567</v>
      </c>
      <c r="B47" s="195" t="s">
        <v>518</v>
      </c>
      <c r="C47" s="196">
        <v>3.5999999999999997E-2</v>
      </c>
      <c r="D47" s="196">
        <v>0.104</v>
      </c>
      <c r="E47" s="197">
        <v>5.3999999999999992E-2</v>
      </c>
      <c r="F47" s="182" t="s">
        <v>522</v>
      </c>
    </row>
    <row r="48" spans="1:6" ht="16">
      <c r="A48" s="194" t="s">
        <v>568</v>
      </c>
      <c r="B48" s="195" t="s">
        <v>563</v>
      </c>
      <c r="C48" s="196">
        <v>7.0000000000000001E-3</v>
      </c>
      <c r="D48" s="196">
        <v>6.0500000000000005E-2</v>
      </c>
      <c r="E48" s="197">
        <v>1.0500000000000001E-2</v>
      </c>
      <c r="F48" s="182" t="s">
        <v>516</v>
      </c>
    </row>
    <row r="49" spans="1:6" ht="16">
      <c r="A49" s="194" t="s">
        <v>687</v>
      </c>
      <c r="B49" s="195" t="s">
        <v>515</v>
      </c>
      <c r="C49" s="196">
        <v>4.4999999999999998E-2</v>
      </c>
      <c r="D49" s="196">
        <v>0.11750000000000001</v>
      </c>
      <c r="E49" s="197">
        <v>6.7500000000000004E-2</v>
      </c>
      <c r="F49" s="182" t="s">
        <v>641</v>
      </c>
    </row>
    <row r="50" spans="1:6" ht="16">
      <c r="A50" s="194" t="s">
        <v>645</v>
      </c>
      <c r="B50" s="195" t="s">
        <v>526</v>
      </c>
      <c r="C50" s="196">
        <v>0</v>
      </c>
      <c r="D50" s="196">
        <v>0.05</v>
      </c>
      <c r="E50" s="197">
        <v>0</v>
      </c>
      <c r="F50" s="182" t="s">
        <v>528</v>
      </c>
    </row>
    <row r="51" spans="1:6" ht="16">
      <c r="A51" s="194" t="s">
        <v>646</v>
      </c>
      <c r="B51" s="195" t="s">
        <v>574</v>
      </c>
      <c r="C51" s="196">
        <v>4.0000000000000001E-3</v>
      </c>
      <c r="D51" s="196">
        <v>5.6000000000000001E-2</v>
      </c>
      <c r="E51" s="197">
        <v>6.0000000000000001E-3</v>
      </c>
      <c r="F51" s="182" t="s">
        <v>528</v>
      </c>
    </row>
    <row r="52" spans="1:6" ht="16">
      <c r="A52" s="194" t="s">
        <v>681</v>
      </c>
      <c r="B52" s="195" t="s">
        <v>518</v>
      </c>
      <c r="C52" s="196">
        <v>3.5999999999999997E-2</v>
      </c>
      <c r="D52" s="196">
        <v>0.104</v>
      </c>
      <c r="E52" s="197">
        <v>5.3999999999999992E-2</v>
      </c>
      <c r="F52" s="182" t="s">
        <v>519</v>
      </c>
    </row>
    <row r="53" spans="1:6" ht="16">
      <c r="A53" s="194" t="s">
        <v>569</v>
      </c>
      <c r="B53" s="195" t="s">
        <v>518</v>
      </c>
      <c r="C53" s="196">
        <v>3.5999999999999997E-2</v>
      </c>
      <c r="D53" s="196">
        <v>0.104</v>
      </c>
      <c r="E53" s="197">
        <v>5.3999999999999992E-2</v>
      </c>
      <c r="F53" s="182" t="s">
        <v>516</v>
      </c>
    </row>
    <row r="54" spans="1:6" ht="16">
      <c r="A54" s="194" t="s">
        <v>647</v>
      </c>
      <c r="B54" s="195" t="s">
        <v>526</v>
      </c>
      <c r="C54" s="196">
        <v>0</v>
      </c>
      <c r="D54" s="196">
        <v>0.05</v>
      </c>
      <c r="E54" s="197">
        <v>0</v>
      </c>
      <c r="F54" s="182" t="s">
        <v>528</v>
      </c>
    </row>
    <row r="55" spans="1:6" ht="16">
      <c r="A55" s="194" t="s">
        <v>682</v>
      </c>
      <c r="B55" s="195" t="s">
        <v>515</v>
      </c>
      <c r="C55" s="196">
        <v>4.4999999999999998E-2</v>
      </c>
      <c r="D55" s="196">
        <v>0.11750000000000001</v>
      </c>
      <c r="E55" s="197">
        <v>6.7500000000000004E-2</v>
      </c>
      <c r="F55" s="182" t="s">
        <v>519</v>
      </c>
    </row>
    <row r="56" spans="1:6" ht="16">
      <c r="A56" s="194" t="s">
        <v>648</v>
      </c>
      <c r="B56" s="195" t="s">
        <v>643</v>
      </c>
      <c r="C56" s="196">
        <v>0.1</v>
      </c>
      <c r="D56" s="196">
        <v>0.2</v>
      </c>
      <c r="E56" s="197">
        <v>0.15000000000000002</v>
      </c>
      <c r="F56" s="182" t="s">
        <v>528</v>
      </c>
    </row>
    <row r="57" spans="1:6" ht="16">
      <c r="A57" s="194" t="s">
        <v>570</v>
      </c>
      <c r="B57" s="195" t="s">
        <v>571</v>
      </c>
      <c r="C57" s="196">
        <v>2.5000000000000001E-2</v>
      </c>
      <c r="D57" s="196">
        <v>8.7500000000000008E-2</v>
      </c>
      <c r="E57" s="197">
        <v>3.7500000000000006E-2</v>
      </c>
      <c r="F57" s="182" t="s">
        <v>522</v>
      </c>
    </row>
    <row r="58" spans="1:6" ht="16">
      <c r="A58" s="194" t="s">
        <v>572</v>
      </c>
      <c r="B58" s="195" t="s">
        <v>551</v>
      </c>
      <c r="C58" s="196">
        <v>5.5E-2</v>
      </c>
      <c r="D58" s="196">
        <v>0.13250000000000001</v>
      </c>
      <c r="E58" s="197">
        <v>8.2500000000000004E-2</v>
      </c>
      <c r="F58" s="182" t="s">
        <v>522</v>
      </c>
    </row>
    <row r="59" spans="1:6" ht="16">
      <c r="A59" s="194" t="s">
        <v>573</v>
      </c>
      <c r="B59" s="195" t="s">
        <v>574</v>
      </c>
      <c r="C59" s="196">
        <v>4.0000000000000001E-3</v>
      </c>
      <c r="D59" s="196">
        <v>5.6000000000000001E-2</v>
      </c>
      <c r="E59" s="197">
        <v>6.0000000000000001E-3</v>
      </c>
      <c r="F59" s="182" t="s">
        <v>641</v>
      </c>
    </row>
    <row r="60" spans="1:6" ht="16">
      <c r="A60" s="194" t="s">
        <v>575</v>
      </c>
      <c r="B60" s="195" t="s">
        <v>571</v>
      </c>
      <c r="C60" s="196">
        <v>2.5000000000000001E-2</v>
      </c>
      <c r="D60" s="196">
        <v>8.7500000000000008E-2</v>
      </c>
      <c r="E60" s="197">
        <v>3.7500000000000006E-2</v>
      </c>
      <c r="F60" s="182" t="s">
        <v>516</v>
      </c>
    </row>
    <row r="61" spans="1:6" ht="16">
      <c r="A61" s="194" t="s">
        <v>576</v>
      </c>
      <c r="B61" s="195" t="s">
        <v>530</v>
      </c>
      <c r="C61" s="196">
        <v>2.1999999999999999E-2</v>
      </c>
      <c r="D61" s="196">
        <v>8.3000000000000004E-2</v>
      </c>
      <c r="E61" s="197">
        <v>3.3000000000000002E-2</v>
      </c>
      <c r="F61" s="182" t="s">
        <v>528</v>
      </c>
    </row>
    <row r="62" spans="1:6" ht="16">
      <c r="A62" s="194" t="s">
        <v>577</v>
      </c>
      <c r="B62" s="195" t="s">
        <v>530</v>
      </c>
      <c r="C62" s="196">
        <v>2.1999999999999999E-2</v>
      </c>
      <c r="D62" s="196">
        <v>8.3000000000000004E-2</v>
      </c>
      <c r="E62" s="197">
        <v>3.3000000000000002E-2</v>
      </c>
      <c r="F62" s="182" t="s">
        <v>641</v>
      </c>
    </row>
    <row r="63" spans="1:6" ht="16">
      <c r="A63" s="194" t="s">
        <v>578</v>
      </c>
      <c r="B63" s="195" t="s">
        <v>530</v>
      </c>
      <c r="C63" s="196">
        <v>2.1999999999999999E-2</v>
      </c>
      <c r="D63" s="196">
        <v>8.3000000000000004E-2</v>
      </c>
      <c r="E63" s="197">
        <v>3.3000000000000002E-2</v>
      </c>
      <c r="F63" s="182" t="s">
        <v>641</v>
      </c>
    </row>
    <row r="64" spans="1:6" ht="16">
      <c r="A64" s="194" t="s">
        <v>649</v>
      </c>
      <c r="B64" s="195" t="s">
        <v>571</v>
      </c>
      <c r="C64" s="196">
        <v>2.5000000000000001E-2</v>
      </c>
      <c r="D64" s="196">
        <v>8.7500000000000008E-2</v>
      </c>
      <c r="E64" s="197">
        <v>3.7500000000000006E-2</v>
      </c>
      <c r="F64" s="182" t="s">
        <v>528</v>
      </c>
    </row>
    <row r="65" spans="1:6" ht="16">
      <c r="A65" s="194" t="s">
        <v>579</v>
      </c>
      <c r="B65" s="195" t="s">
        <v>574</v>
      </c>
      <c r="C65" s="196">
        <v>4.0000000000000001E-3</v>
      </c>
      <c r="D65" s="196">
        <v>5.6000000000000001E-2</v>
      </c>
      <c r="E65" s="197">
        <v>6.0000000000000001E-3</v>
      </c>
      <c r="F65" s="182" t="s">
        <v>528</v>
      </c>
    </row>
    <row r="66" spans="1:6" ht="16">
      <c r="A66" s="194" t="s">
        <v>580</v>
      </c>
      <c r="B66" s="195" t="s">
        <v>563</v>
      </c>
      <c r="C66" s="196">
        <v>7.0000000000000001E-3</v>
      </c>
      <c r="D66" s="196">
        <v>6.0500000000000005E-2</v>
      </c>
      <c r="E66" s="197">
        <v>1.0500000000000001E-2</v>
      </c>
      <c r="F66" s="182" t="s">
        <v>536</v>
      </c>
    </row>
    <row r="67" spans="1:6" ht="16">
      <c r="A67" s="194" t="s">
        <v>650</v>
      </c>
      <c r="B67" s="195" t="s">
        <v>548</v>
      </c>
      <c r="C67" s="196">
        <v>1.9E-2</v>
      </c>
      <c r="D67" s="196">
        <v>7.85E-2</v>
      </c>
      <c r="E67" s="197">
        <v>2.8499999999999998E-2</v>
      </c>
      <c r="F67" s="182" t="s">
        <v>528</v>
      </c>
    </row>
    <row r="68" spans="1:6" ht="16">
      <c r="A68" s="194" t="s">
        <v>581</v>
      </c>
      <c r="B68" s="195" t="s">
        <v>643</v>
      </c>
      <c r="C68" s="196">
        <v>0.1</v>
      </c>
      <c r="D68" s="196">
        <v>0.2</v>
      </c>
      <c r="E68" s="197">
        <v>0.15000000000000002</v>
      </c>
      <c r="F68" s="182" t="s">
        <v>533</v>
      </c>
    </row>
    <row r="69" spans="1:6" ht="16">
      <c r="A69" s="194" t="s">
        <v>582</v>
      </c>
      <c r="B69" s="195" t="s">
        <v>540</v>
      </c>
      <c r="C69" s="196">
        <v>6.0000000000000001E-3</v>
      </c>
      <c r="D69" s="196">
        <v>5.9000000000000004E-2</v>
      </c>
      <c r="E69" s="197">
        <v>9.0000000000000011E-3</v>
      </c>
      <c r="F69" s="182" t="s">
        <v>641</v>
      </c>
    </row>
    <row r="70" spans="1:6" ht="16">
      <c r="A70" s="194" t="s">
        <v>583</v>
      </c>
      <c r="B70" s="195" t="s">
        <v>515</v>
      </c>
      <c r="C70" s="196">
        <v>4.4999999999999998E-2</v>
      </c>
      <c r="D70" s="196">
        <v>0.11750000000000001</v>
      </c>
      <c r="E70" s="197">
        <v>6.7500000000000004E-2</v>
      </c>
      <c r="F70" s="182" t="s">
        <v>536</v>
      </c>
    </row>
    <row r="71" spans="1:6" ht="16">
      <c r="A71" s="194" t="s">
        <v>584</v>
      </c>
      <c r="B71" s="195" t="s">
        <v>548</v>
      </c>
      <c r="C71" s="196">
        <v>1.9E-2</v>
      </c>
      <c r="D71" s="196">
        <v>7.85E-2</v>
      </c>
      <c r="E71" s="197">
        <v>2.8499999999999998E-2</v>
      </c>
      <c r="F71" s="182" t="s">
        <v>516</v>
      </c>
    </row>
    <row r="72" spans="1:6" ht="16">
      <c r="A72" s="194" t="s">
        <v>651</v>
      </c>
      <c r="B72" s="195" t="s">
        <v>515</v>
      </c>
      <c r="C72" s="196">
        <v>4.4999999999999998E-2</v>
      </c>
      <c r="D72" s="196">
        <v>0.11750000000000001</v>
      </c>
      <c r="E72" s="197">
        <v>6.7500000000000004E-2</v>
      </c>
      <c r="F72" s="182" t="s">
        <v>519</v>
      </c>
    </row>
    <row r="73" spans="1:6" ht="16">
      <c r="A73" s="194" t="s">
        <v>585</v>
      </c>
      <c r="B73" s="195" t="s">
        <v>540</v>
      </c>
      <c r="C73" s="196">
        <v>6.0000000000000001E-3</v>
      </c>
      <c r="D73" s="196">
        <v>5.9000000000000004E-2</v>
      </c>
      <c r="E73" s="197">
        <v>9.0000000000000011E-3</v>
      </c>
      <c r="F73" s="182" t="s">
        <v>641</v>
      </c>
    </row>
    <row r="74" spans="1:6" ht="16">
      <c r="A74" s="194" t="s">
        <v>586</v>
      </c>
      <c r="B74" s="195" t="s">
        <v>543</v>
      </c>
      <c r="C74" s="196">
        <v>5.0000000000000001E-3</v>
      </c>
      <c r="D74" s="196">
        <v>5.7500000000000002E-2</v>
      </c>
      <c r="E74" s="197">
        <v>7.4999999999999997E-3</v>
      </c>
      <c r="F74" s="182" t="s">
        <v>536</v>
      </c>
    </row>
    <row r="75" spans="1:6" ht="16">
      <c r="A75" s="194" t="s">
        <v>587</v>
      </c>
      <c r="B75" s="195" t="s">
        <v>548</v>
      </c>
      <c r="C75" s="196">
        <v>1.9E-2</v>
      </c>
      <c r="D75" s="196">
        <v>7.85E-2</v>
      </c>
      <c r="E75" s="197">
        <v>2.8499999999999998E-2</v>
      </c>
      <c r="F75" s="182" t="s">
        <v>516</v>
      </c>
    </row>
    <row r="76" spans="1:6" ht="16">
      <c r="A76" s="194" t="s">
        <v>588</v>
      </c>
      <c r="B76" s="195" t="s">
        <v>515</v>
      </c>
      <c r="C76" s="196">
        <v>4.4999999999999998E-2</v>
      </c>
      <c r="D76" s="196">
        <v>0.11750000000000001</v>
      </c>
      <c r="E76" s="197">
        <v>6.7500000000000004E-2</v>
      </c>
      <c r="F76" s="182" t="s">
        <v>536</v>
      </c>
    </row>
    <row r="77" spans="1:6" ht="16">
      <c r="A77" s="194" t="s">
        <v>698</v>
      </c>
      <c r="B77" s="195" t="s">
        <v>526</v>
      </c>
      <c r="C77" s="196">
        <v>0</v>
      </c>
      <c r="D77" s="196">
        <v>0.05</v>
      </c>
      <c r="E77" s="197">
        <v>0</v>
      </c>
      <c r="F77" s="182" t="s">
        <v>528</v>
      </c>
    </row>
    <row r="78" spans="1:6" ht="16">
      <c r="A78" s="194" t="s">
        <v>589</v>
      </c>
      <c r="B78" s="195" t="s">
        <v>535</v>
      </c>
      <c r="C78" s="196">
        <v>1.6E-2</v>
      </c>
      <c r="D78" s="196">
        <v>7.400000000000001E-2</v>
      </c>
      <c r="E78" s="197">
        <v>2.4E-2</v>
      </c>
      <c r="F78" s="182" t="s">
        <v>516</v>
      </c>
    </row>
    <row r="79" spans="1:6" ht="16">
      <c r="A79" s="194" t="s">
        <v>652</v>
      </c>
      <c r="B79" s="195" t="s">
        <v>526</v>
      </c>
      <c r="C79" s="196">
        <v>0</v>
      </c>
      <c r="D79" s="196">
        <v>0.05</v>
      </c>
      <c r="E79" s="197">
        <v>0</v>
      </c>
      <c r="F79" s="182" t="s">
        <v>528</v>
      </c>
    </row>
    <row r="80" spans="1:6" ht="16">
      <c r="A80" s="194" t="s">
        <v>590</v>
      </c>
      <c r="B80" s="195" t="s">
        <v>540</v>
      </c>
      <c r="C80" s="196">
        <v>6.0000000000000001E-3</v>
      </c>
      <c r="D80" s="196">
        <v>5.9000000000000004E-2</v>
      </c>
      <c r="E80" s="197">
        <v>9.0000000000000011E-3</v>
      </c>
      <c r="F80" s="182" t="s">
        <v>641</v>
      </c>
    </row>
    <row r="81" spans="1:6" ht="16">
      <c r="A81" s="194" t="s">
        <v>693</v>
      </c>
      <c r="B81" s="195" t="s">
        <v>518</v>
      </c>
      <c r="C81" s="196">
        <v>3.5999999999999997E-2</v>
      </c>
      <c r="D81" s="196">
        <v>0.104</v>
      </c>
      <c r="E81" s="197">
        <v>5.3999999999999992E-2</v>
      </c>
      <c r="F81" s="182" t="s">
        <v>516</v>
      </c>
    </row>
    <row r="82" spans="1:6" ht="16">
      <c r="A82" s="194" t="s">
        <v>591</v>
      </c>
      <c r="B82" s="195" t="s">
        <v>532</v>
      </c>
      <c r="C82" s="196">
        <v>1.2E-2</v>
      </c>
      <c r="D82" s="196">
        <v>6.8000000000000005E-2</v>
      </c>
      <c r="E82" s="197">
        <v>1.8000000000000002E-2</v>
      </c>
      <c r="F82" s="182" t="s">
        <v>641</v>
      </c>
    </row>
    <row r="83" spans="1:6" ht="16">
      <c r="A83" s="194" t="s">
        <v>653</v>
      </c>
      <c r="B83" s="195" t="s">
        <v>532</v>
      </c>
      <c r="C83" s="196">
        <v>1.2E-2</v>
      </c>
      <c r="D83" s="196">
        <v>6.8000000000000005E-2</v>
      </c>
      <c r="E83" s="197">
        <v>1.8000000000000002E-2</v>
      </c>
      <c r="F83" s="182" t="s">
        <v>528</v>
      </c>
    </row>
    <row r="84" spans="1:6" ht="16">
      <c r="A84" s="194" t="s">
        <v>592</v>
      </c>
      <c r="B84" s="195" t="s">
        <v>535</v>
      </c>
      <c r="C84" s="196">
        <v>1.6E-2</v>
      </c>
      <c r="D84" s="196">
        <v>7.400000000000001E-2</v>
      </c>
      <c r="E84" s="197">
        <v>2.4E-2</v>
      </c>
      <c r="F84" s="182" t="s">
        <v>641</v>
      </c>
    </row>
    <row r="85" spans="1:6" ht="16">
      <c r="A85" s="194" t="s">
        <v>593</v>
      </c>
      <c r="B85" s="195" t="s">
        <v>535</v>
      </c>
      <c r="C85" s="196">
        <v>1.6E-2</v>
      </c>
      <c r="D85" s="196">
        <v>7.400000000000001E-2</v>
      </c>
      <c r="E85" s="197">
        <v>2.4E-2</v>
      </c>
      <c r="F85" s="182" t="s">
        <v>522</v>
      </c>
    </row>
    <row r="86" spans="1:6" ht="16">
      <c r="A86" s="194" t="s">
        <v>594</v>
      </c>
      <c r="B86" s="195" t="s">
        <v>521</v>
      </c>
      <c r="C86" s="196">
        <v>6.5000000000000002E-2</v>
      </c>
      <c r="D86" s="196">
        <v>0.14750000000000002</v>
      </c>
      <c r="E86" s="197">
        <v>9.7500000000000003E-2</v>
      </c>
      <c r="F86" s="182" t="s">
        <v>516</v>
      </c>
    </row>
    <row r="87" spans="1:6" ht="16">
      <c r="A87" s="194" t="s">
        <v>595</v>
      </c>
      <c r="B87" s="195" t="s">
        <v>515</v>
      </c>
      <c r="C87" s="196">
        <v>4.4999999999999998E-2</v>
      </c>
      <c r="D87" s="196">
        <v>0.11750000000000001</v>
      </c>
      <c r="E87" s="197">
        <v>6.7500000000000004E-2</v>
      </c>
      <c r="F87" s="182" t="s">
        <v>641</v>
      </c>
    </row>
    <row r="88" spans="1:6" ht="16">
      <c r="A88" s="194" t="s">
        <v>596</v>
      </c>
      <c r="B88" s="195" t="s">
        <v>518</v>
      </c>
      <c r="C88" s="196">
        <v>3.5999999999999997E-2</v>
      </c>
      <c r="D88" s="196">
        <v>0.104</v>
      </c>
      <c r="E88" s="197">
        <v>5.3999999999999992E-2</v>
      </c>
      <c r="F88" s="182" t="s">
        <v>516</v>
      </c>
    </row>
    <row r="89" spans="1:6" ht="16">
      <c r="A89" s="194" t="s">
        <v>691</v>
      </c>
      <c r="B89" s="195" t="s">
        <v>530</v>
      </c>
      <c r="C89" s="196">
        <v>2.1999999999999999E-2</v>
      </c>
      <c r="D89" s="196">
        <v>8.3000000000000004E-2</v>
      </c>
      <c r="E89" s="197">
        <v>3.3000000000000002E-2</v>
      </c>
      <c r="F89" s="182" t="s">
        <v>533</v>
      </c>
    </row>
    <row r="90" spans="1:6" ht="16">
      <c r="A90" s="194" t="s">
        <v>597</v>
      </c>
      <c r="B90" s="195" t="s">
        <v>571</v>
      </c>
      <c r="C90" s="196">
        <v>2.5000000000000001E-2</v>
      </c>
      <c r="D90" s="196">
        <v>8.7500000000000008E-2</v>
      </c>
      <c r="E90" s="197">
        <v>3.7500000000000006E-2</v>
      </c>
      <c r="F90" s="182" t="s">
        <v>519</v>
      </c>
    </row>
    <row r="91" spans="1:6" ht="16">
      <c r="A91" s="194" t="s">
        <v>683</v>
      </c>
      <c r="B91" s="195" t="s">
        <v>515</v>
      </c>
      <c r="C91" s="196">
        <v>4.4999999999999998E-2</v>
      </c>
      <c r="D91" s="196">
        <v>0.11750000000000001</v>
      </c>
      <c r="E91" s="197">
        <v>6.7500000000000004E-2</v>
      </c>
      <c r="F91" s="182" t="s">
        <v>519</v>
      </c>
    </row>
    <row r="92" spans="1:6" ht="16">
      <c r="A92" s="194" t="s">
        <v>598</v>
      </c>
      <c r="B92" s="195" t="s">
        <v>530</v>
      </c>
      <c r="C92" s="196">
        <v>2.1999999999999999E-2</v>
      </c>
      <c r="D92" s="196">
        <v>8.3000000000000004E-2</v>
      </c>
      <c r="E92" s="197">
        <v>3.3000000000000002E-2</v>
      </c>
      <c r="F92" s="182" t="s">
        <v>519</v>
      </c>
    </row>
    <row r="93" spans="1:6" ht="16">
      <c r="A93" s="194" t="s">
        <v>654</v>
      </c>
      <c r="B93" s="195" t="s">
        <v>526</v>
      </c>
      <c r="C93" s="196">
        <v>0</v>
      </c>
      <c r="D93" s="196">
        <v>0.05</v>
      </c>
      <c r="E93" s="197">
        <v>0</v>
      </c>
      <c r="F93" s="182" t="s">
        <v>528</v>
      </c>
    </row>
    <row r="94" spans="1:6" ht="16">
      <c r="A94" s="194" t="s">
        <v>599</v>
      </c>
      <c r="B94" s="195" t="s">
        <v>526</v>
      </c>
      <c r="C94" s="196">
        <v>0</v>
      </c>
      <c r="D94" s="196">
        <v>0.05</v>
      </c>
      <c r="E94" s="197">
        <v>0</v>
      </c>
      <c r="F94" s="182" t="s">
        <v>527</v>
      </c>
    </row>
    <row r="95" spans="1:6" ht="16">
      <c r="A95" s="194" t="s">
        <v>600</v>
      </c>
      <c r="B95" s="195" t="s">
        <v>521</v>
      </c>
      <c r="C95" s="196">
        <v>6.5000000000000002E-2</v>
      </c>
      <c r="D95" s="196">
        <v>0.14750000000000002</v>
      </c>
      <c r="E95" s="197">
        <v>9.7500000000000003E-2</v>
      </c>
      <c r="F95" s="182" t="s">
        <v>522</v>
      </c>
    </row>
    <row r="96" spans="1:6" ht="16">
      <c r="A96" s="194" t="s">
        <v>655</v>
      </c>
      <c r="B96" s="195" t="s">
        <v>518</v>
      </c>
      <c r="C96" s="196">
        <v>3.5999999999999997E-2</v>
      </c>
      <c r="D96" s="196">
        <v>0.104</v>
      </c>
      <c r="E96" s="197">
        <v>5.3999999999999992E-2</v>
      </c>
      <c r="F96" s="182" t="s">
        <v>519</v>
      </c>
    </row>
    <row r="97" spans="1:6" ht="16">
      <c r="A97" s="194" t="s">
        <v>601</v>
      </c>
      <c r="B97" s="195" t="s">
        <v>526</v>
      </c>
      <c r="C97" s="196">
        <v>0</v>
      </c>
      <c r="D97" s="196">
        <v>0.05</v>
      </c>
      <c r="E97" s="197">
        <v>0</v>
      </c>
      <c r="F97" s="182" t="s">
        <v>528</v>
      </c>
    </row>
    <row r="98" spans="1:6" ht="16">
      <c r="A98" s="194" t="s">
        <v>602</v>
      </c>
      <c r="B98" s="195" t="s">
        <v>563</v>
      </c>
      <c r="C98" s="196">
        <v>7.0000000000000001E-3</v>
      </c>
      <c r="D98" s="196">
        <v>6.0500000000000005E-2</v>
      </c>
      <c r="E98" s="197">
        <v>1.0500000000000001E-2</v>
      </c>
      <c r="F98" s="182" t="s">
        <v>536</v>
      </c>
    </row>
    <row r="99" spans="1:6" ht="16">
      <c r="A99" s="194" t="s">
        <v>603</v>
      </c>
      <c r="B99" s="195" t="s">
        <v>561</v>
      </c>
      <c r="C99" s="196">
        <v>7.4999999999999997E-2</v>
      </c>
      <c r="D99" s="196">
        <v>0.16249999999999998</v>
      </c>
      <c r="E99" s="197">
        <v>0.11249999999999999</v>
      </c>
      <c r="F99" s="182" t="s">
        <v>641</v>
      </c>
    </row>
    <row r="100" spans="1:6" ht="16">
      <c r="A100" s="194" t="s">
        <v>604</v>
      </c>
      <c r="B100" s="195" t="s">
        <v>548</v>
      </c>
      <c r="C100" s="196">
        <v>1.9E-2</v>
      </c>
      <c r="D100" s="196">
        <v>7.85E-2</v>
      </c>
      <c r="E100" s="197">
        <v>2.8499999999999998E-2</v>
      </c>
      <c r="F100" s="182" t="s">
        <v>522</v>
      </c>
    </row>
    <row r="101" spans="1:6" ht="16">
      <c r="A101" s="194" t="s">
        <v>605</v>
      </c>
      <c r="B101" s="195" t="s">
        <v>515</v>
      </c>
      <c r="C101" s="196">
        <v>4.4999999999999998E-2</v>
      </c>
      <c r="D101" s="196">
        <v>0.11750000000000001</v>
      </c>
      <c r="E101" s="197">
        <v>6.7500000000000004E-2</v>
      </c>
      <c r="F101" s="182" t="s">
        <v>641</v>
      </c>
    </row>
    <row r="102" spans="1:6" ht="16">
      <c r="A102" s="194" t="s">
        <v>606</v>
      </c>
      <c r="B102" s="195" t="s">
        <v>518</v>
      </c>
      <c r="C102" s="196">
        <v>3.5999999999999997E-2</v>
      </c>
      <c r="D102" s="196">
        <v>0.104</v>
      </c>
      <c r="E102" s="197">
        <v>5.3999999999999992E-2</v>
      </c>
      <c r="F102" s="182" t="s">
        <v>522</v>
      </c>
    </row>
    <row r="103" spans="1:6" ht="16">
      <c r="A103" s="194" t="s">
        <v>607</v>
      </c>
      <c r="B103" s="195" t="s">
        <v>548</v>
      </c>
      <c r="C103" s="196">
        <v>1.9E-2</v>
      </c>
      <c r="D103" s="196">
        <v>7.85E-2</v>
      </c>
      <c r="E103" s="197">
        <v>2.8499999999999998E-2</v>
      </c>
      <c r="F103" s="182" t="s">
        <v>522</v>
      </c>
    </row>
    <row r="104" spans="1:6" ht="16">
      <c r="A104" s="194" t="s">
        <v>608</v>
      </c>
      <c r="B104" s="195" t="s">
        <v>530</v>
      </c>
      <c r="C104" s="196">
        <v>2.1999999999999999E-2</v>
      </c>
      <c r="D104" s="196">
        <v>8.3000000000000004E-2</v>
      </c>
      <c r="E104" s="197">
        <v>3.3000000000000002E-2</v>
      </c>
      <c r="F104" s="182" t="s">
        <v>641</v>
      </c>
    </row>
    <row r="105" spans="1:6" ht="16">
      <c r="A105" s="194" t="s">
        <v>609</v>
      </c>
      <c r="B105" s="195" t="s">
        <v>546</v>
      </c>
      <c r="C105" s="196">
        <v>8.5000000000000006E-3</v>
      </c>
      <c r="D105" s="196">
        <v>6.275E-2</v>
      </c>
      <c r="E105" s="197">
        <v>1.2750000000000001E-2</v>
      </c>
      <c r="F105" s="182" t="s">
        <v>516</v>
      </c>
    </row>
    <row r="106" spans="1:6" ht="16">
      <c r="A106" s="194" t="s">
        <v>656</v>
      </c>
      <c r="B106" s="195" t="s">
        <v>518</v>
      </c>
      <c r="C106" s="196">
        <v>3.5999999999999997E-2</v>
      </c>
      <c r="D106" s="196">
        <v>0.104</v>
      </c>
      <c r="E106" s="197">
        <v>5.3999999999999992E-2</v>
      </c>
      <c r="F106" s="182" t="s">
        <v>528</v>
      </c>
    </row>
    <row r="107" spans="1:6" ht="16">
      <c r="A107" s="194" t="s">
        <v>610</v>
      </c>
      <c r="B107" s="195" t="s">
        <v>543</v>
      </c>
      <c r="C107" s="196">
        <v>5.0000000000000001E-3</v>
      </c>
      <c r="D107" s="196">
        <v>5.7500000000000002E-2</v>
      </c>
      <c r="E107" s="197">
        <v>7.4999999999999997E-3</v>
      </c>
      <c r="F107" s="182" t="s">
        <v>536</v>
      </c>
    </row>
    <row r="108" spans="1:6" ht="16">
      <c r="A108" s="194" t="s">
        <v>696</v>
      </c>
      <c r="B108" s="195" t="s">
        <v>546</v>
      </c>
      <c r="C108" s="196">
        <v>8.5000000000000006E-3</v>
      </c>
      <c r="D108" s="196">
        <v>6.275E-2</v>
      </c>
      <c r="E108" s="197">
        <v>1.2750000000000001E-2</v>
      </c>
      <c r="F108" s="182" t="s">
        <v>536</v>
      </c>
    </row>
    <row r="109" spans="1:6" ht="16">
      <c r="A109" s="194" t="s">
        <v>684</v>
      </c>
      <c r="B109" s="195" t="s">
        <v>518</v>
      </c>
      <c r="C109" s="196">
        <v>3.5999999999999997E-2</v>
      </c>
      <c r="D109" s="196">
        <v>0.104</v>
      </c>
      <c r="E109" s="197">
        <v>5.3999999999999992E-2</v>
      </c>
      <c r="F109" s="182" t="s">
        <v>519</v>
      </c>
    </row>
    <row r="110" spans="1:6" ht="16">
      <c r="A110" s="194" t="s">
        <v>611</v>
      </c>
      <c r="B110" s="195" t="s">
        <v>530</v>
      </c>
      <c r="C110" s="196">
        <v>2.1999999999999999E-2</v>
      </c>
      <c r="D110" s="196">
        <v>8.3000000000000004E-2</v>
      </c>
      <c r="E110" s="197">
        <v>3.3000000000000002E-2</v>
      </c>
      <c r="F110" s="182" t="s">
        <v>516</v>
      </c>
    </row>
    <row r="111" spans="1:6" ht="16">
      <c r="A111" s="194" t="s">
        <v>612</v>
      </c>
      <c r="B111" s="195" t="s">
        <v>535</v>
      </c>
      <c r="C111" s="196">
        <v>1.6E-2</v>
      </c>
      <c r="D111" s="196">
        <v>7.400000000000001E-2</v>
      </c>
      <c r="E111" s="197">
        <v>2.4E-2</v>
      </c>
      <c r="F111" s="182" t="s">
        <v>516</v>
      </c>
    </row>
    <row r="112" spans="1:6" ht="16">
      <c r="A112" s="194" t="s">
        <v>685</v>
      </c>
      <c r="B112" s="195" t="s">
        <v>551</v>
      </c>
      <c r="C112" s="196">
        <v>5.5E-2</v>
      </c>
      <c r="D112" s="196">
        <v>0.13250000000000001</v>
      </c>
      <c r="E112" s="197">
        <v>8.2500000000000004E-2</v>
      </c>
      <c r="F112" s="182" t="s">
        <v>519</v>
      </c>
    </row>
    <row r="113" spans="1:6" ht="16">
      <c r="A113" s="194" t="s">
        <v>613</v>
      </c>
      <c r="B113" s="195" t="s">
        <v>540</v>
      </c>
      <c r="C113" s="196">
        <v>6.0000000000000001E-3</v>
      </c>
      <c r="D113" s="196">
        <v>5.9000000000000004E-2</v>
      </c>
      <c r="E113" s="197">
        <v>9.0000000000000011E-3</v>
      </c>
      <c r="F113" s="182" t="s">
        <v>536</v>
      </c>
    </row>
    <row r="114" spans="1:6" ht="16">
      <c r="A114" s="194" t="s">
        <v>614</v>
      </c>
      <c r="B114" s="195" t="s">
        <v>515</v>
      </c>
      <c r="C114" s="196">
        <v>4.4999999999999998E-2</v>
      </c>
      <c r="D114" s="196">
        <v>0.11750000000000001</v>
      </c>
      <c r="E114" s="197">
        <v>6.7500000000000004E-2</v>
      </c>
      <c r="F114" s="182" t="s">
        <v>519</v>
      </c>
    </row>
    <row r="115" spans="1:6" ht="16">
      <c r="A115" s="194" t="s">
        <v>694</v>
      </c>
      <c r="B115" s="195" t="s">
        <v>515</v>
      </c>
      <c r="C115" s="196">
        <v>4.4999999999999998E-2</v>
      </c>
      <c r="D115" s="196">
        <v>0.11750000000000001</v>
      </c>
      <c r="E115" s="197">
        <v>6.7500000000000004E-2</v>
      </c>
      <c r="F115" s="182" t="s">
        <v>516</v>
      </c>
    </row>
    <row r="116" spans="1:6" ht="16">
      <c r="A116" s="194" t="s">
        <v>615</v>
      </c>
      <c r="B116" s="195" t="s">
        <v>526</v>
      </c>
      <c r="C116" s="196">
        <v>0</v>
      </c>
      <c r="D116" s="196">
        <v>0.05</v>
      </c>
      <c r="E116" s="197">
        <v>0</v>
      </c>
      <c r="F116" s="182" t="s">
        <v>641</v>
      </c>
    </row>
    <row r="117" spans="1:6" ht="16">
      <c r="A117" s="194" t="s">
        <v>616</v>
      </c>
      <c r="B117" s="195" t="s">
        <v>546</v>
      </c>
      <c r="C117" s="196">
        <v>8.5000000000000006E-3</v>
      </c>
      <c r="D117" s="196">
        <v>6.275E-2</v>
      </c>
      <c r="E117" s="197">
        <v>1.2750000000000001E-2</v>
      </c>
      <c r="F117" s="182" t="s">
        <v>516</v>
      </c>
    </row>
    <row r="118" spans="1:6" ht="16">
      <c r="A118" s="194" t="s">
        <v>657</v>
      </c>
      <c r="B118" s="195" t="s">
        <v>571</v>
      </c>
      <c r="C118" s="196">
        <v>2.5000000000000001E-2</v>
      </c>
      <c r="D118" s="196">
        <v>8.7500000000000008E-2</v>
      </c>
      <c r="E118" s="197">
        <v>3.7500000000000006E-2</v>
      </c>
      <c r="F118" s="182" t="s">
        <v>516</v>
      </c>
    </row>
    <row r="119" spans="1:6" ht="16">
      <c r="A119" s="194" t="s">
        <v>617</v>
      </c>
      <c r="B119" s="195" t="s">
        <v>535</v>
      </c>
      <c r="C119" s="196">
        <v>1.6E-2</v>
      </c>
      <c r="D119" s="196">
        <v>7.400000000000001E-2</v>
      </c>
      <c r="E119" s="197">
        <v>2.4E-2</v>
      </c>
      <c r="F119" s="182" t="s">
        <v>519</v>
      </c>
    </row>
    <row r="120" spans="1:6" ht="16">
      <c r="A120" s="194" t="s">
        <v>618</v>
      </c>
      <c r="B120" s="195" t="s">
        <v>530</v>
      </c>
      <c r="C120" s="196">
        <v>2.1999999999999999E-2</v>
      </c>
      <c r="D120" s="196">
        <v>8.3000000000000004E-2</v>
      </c>
      <c r="E120" s="197">
        <v>3.3000000000000002E-2</v>
      </c>
      <c r="F120" s="182" t="s">
        <v>528</v>
      </c>
    </row>
    <row r="121" spans="1:6" ht="16">
      <c r="A121" s="194" t="s">
        <v>619</v>
      </c>
      <c r="B121" s="195" t="s">
        <v>515</v>
      </c>
      <c r="C121" s="196">
        <v>4.4999999999999998E-2</v>
      </c>
      <c r="D121" s="196">
        <v>0.11750000000000001</v>
      </c>
      <c r="E121" s="197">
        <v>6.7500000000000004E-2</v>
      </c>
      <c r="F121" s="182" t="s">
        <v>641</v>
      </c>
    </row>
    <row r="122" spans="1:6" ht="16">
      <c r="A122" s="194" t="s">
        <v>658</v>
      </c>
      <c r="B122" s="195" t="s">
        <v>535</v>
      </c>
      <c r="C122" s="196">
        <v>1.6E-2</v>
      </c>
      <c r="D122" s="196">
        <v>7.400000000000001E-2</v>
      </c>
      <c r="E122" s="197">
        <v>2.4E-2</v>
      </c>
      <c r="F122" s="182" t="s">
        <v>533</v>
      </c>
    </row>
    <row r="123" spans="1:6" ht="16">
      <c r="A123" s="194" t="s">
        <v>620</v>
      </c>
      <c r="B123" s="195" t="s">
        <v>551</v>
      </c>
      <c r="C123" s="196">
        <v>5.5E-2</v>
      </c>
      <c r="D123" s="196">
        <v>0.13250000000000001</v>
      </c>
      <c r="E123" s="197">
        <v>8.2500000000000004E-2</v>
      </c>
      <c r="F123" s="182" t="s">
        <v>533</v>
      </c>
    </row>
    <row r="124" spans="1:6" ht="16">
      <c r="A124" s="194" t="s">
        <v>621</v>
      </c>
      <c r="B124" s="195" t="s">
        <v>518</v>
      </c>
      <c r="C124" s="196">
        <v>3.5999999999999997E-2</v>
      </c>
      <c r="D124" s="196">
        <v>0.104</v>
      </c>
      <c r="E124" s="197">
        <v>5.3999999999999992E-2</v>
      </c>
      <c r="F124" s="182" t="s">
        <v>522</v>
      </c>
    </row>
    <row r="125" spans="1:6" ht="16">
      <c r="A125" s="194" t="s">
        <v>622</v>
      </c>
      <c r="B125" s="195" t="s">
        <v>526</v>
      </c>
      <c r="C125" s="196">
        <v>0</v>
      </c>
      <c r="D125" s="196">
        <v>0.05</v>
      </c>
      <c r="E125" s="197">
        <v>0</v>
      </c>
      <c r="F125" s="182" t="s">
        <v>528</v>
      </c>
    </row>
    <row r="126" spans="1:6" ht="16">
      <c r="A126" s="194" t="s">
        <v>623</v>
      </c>
      <c r="B126" s="195" t="s">
        <v>526</v>
      </c>
      <c r="C126" s="196">
        <v>0</v>
      </c>
      <c r="D126" s="196">
        <v>0.05</v>
      </c>
      <c r="E126" s="197">
        <v>0</v>
      </c>
      <c r="F126" s="182" t="s">
        <v>528</v>
      </c>
    </row>
    <row r="127" spans="1:6" ht="16">
      <c r="A127" s="194" t="s">
        <v>624</v>
      </c>
      <c r="B127" s="195" t="s">
        <v>540</v>
      </c>
      <c r="C127" s="196">
        <v>6.0000000000000001E-3</v>
      </c>
      <c r="D127" s="196">
        <v>5.9000000000000004E-2</v>
      </c>
      <c r="E127" s="197">
        <v>0</v>
      </c>
      <c r="F127" s="182" t="s">
        <v>641</v>
      </c>
    </row>
    <row r="128" spans="1:6" ht="16">
      <c r="A128" s="194" t="s">
        <v>625</v>
      </c>
      <c r="B128" s="195" t="s">
        <v>535</v>
      </c>
      <c r="C128" s="196">
        <v>1.6E-2</v>
      </c>
      <c r="D128" s="196">
        <v>7.400000000000001E-2</v>
      </c>
      <c r="E128" s="197">
        <v>2.4E-2</v>
      </c>
      <c r="F128" s="182" t="s">
        <v>641</v>
      </c>
    </row>
    <row r="129" spans="1:6" ht="16">
      <c r="A129" s="194" t="s">
        <v>626</v>
      </c>
      <c r="B129" s="195" t="s">
        <v>535</v>
      </c>
      <c r="C129" s="196">
        <v>1.6E-2</v>
      </c>
      <c r="D129" s="196">
        <v>7.400000000000001E-2</v>
      </c>
      <c r="E129" s="197">
        <v>2.4E-2</v>
      </c>
      <c r="F129" s="182" t="s">
        <v>533</v>
      </c>
    </row>
    <row r="130" spans="1:6" ht="16">
      <c r="A130" s="194" t="s">
        <v>627</v>
      </c>
      <c r="B130" s="195" t="s">
        <v>518</v>
      </c>
      <c r="C130" s="196">
        <v>3.5999999999999997E-2</v>
      </c>
      <c r="D130" s="196">
        <v>0.104</v>
      </c>
      <c r="E130" s="197">
        <v>5.3999999999999992E-2</v>
      </c>
      <c r="F130" s="182" t="s">
        <v>519</v>
      </c>
    </row>
    <row r="131" spans="1:6" ht="16">
      <c r="A131" s="194" t="s">
        <v>628</v>
      </c>
      <c r="B131" s="195" t="s">
        <v>530</v>
      </c>
      <c r="C131" s="196">
        <v>2.1999999999999999E-2</v>
      </c>
      <c r="D131" s="196">
        <v>8.3000000000000004E-2</v>
      </c>
      <c r="E131" s="197">
        <v>3.3000000000000002E-2</v>
      </c>
      <c r="F131" s="182" t="s">
        <v>528</v>
      </c>
    </row>
    <row r="132" spans="1:6" ht="16">
      <c r="A132" s="194" t="s">
        <v>686</v>
      </c>
      <c r="B132" s="195" t="s">
        <v>515</v>
      </c>
      <c r="C132" s="196">
        <v>4.4999999999999998E-2</v>
      </c>
      <c r="D132" s="196">
        <v>0.11750000000000001</v>
      </c>
      <c r="E132" s="197">
        <v>6.7500000000000004E-2</v>
      </c>
      <c r="F132" s="182" t="s">
        <v>519</v>
      </c>
    </row>
    <row r="133" spans="1:6" ht="16">
      <c r="A133" s="194" t="s">
        <v>629</v>
      </c>
      <c r="B133" s="195" t="s">
        <v>561</v>
      </c>
      <c r="C133" s="196">
        <v>7.4999999999999997E-2</v>
      </c>
      <c r="D133" s="196">
        <v>0.16249999999999998</v>
      </c>
      <c r="E133" s="197">
        <v>0.11249999999999999</v>
      </c>
      <c r="F133" s="182" t="s">
        <v>516</v>
      </c>
    </row>
    <row r="134" spans="1:6" ht="16">
      <c r="A134" s="194" t="s">
        <v>630</v>
      </c>
      <c r="B134" s="195" t="s">
        <v>543</v>
      </c>
      <c r="C134" s="196">
        <v>5.0000000000000001E-3</v>
      </c>
      <c r="D134" s="196">
        <v>5.7500000000000002E-2</v>
      </c>
      <c r="E134" s="197">
        <v>7.4999999999999997E-3</v>
      </c>
      <c r="F134" s="182" t="s">
        <v>536</v>
      </c>
    </row>
    <row r="135" spans="1:6" ht="16">
      <c r="A135" s="194" t="s">
        <v>631</v>
      </c>
      <c r="B135" s="195" t="s">
        <v>574</v>
      </c>
      <c r="C135" s="196">
        <v>4.0000000000000001E-3</v>
      </c>
      <c r="D135" s="196">
        <v>5.6000000000000001E-2</v>
      </c>
      <c r="E135" s="197">
        <v>6.0000000000000001E-3</v>
      </c>
      <c r="F135" s="182" t="s">
        <v>528</v>
      </c>
    </row>
    <row r="136" spans="1:6" ht="16">
      <c r="A136" s="194" t="s">
        <v>632</v>
      </c>
      <c r="B136" s="195" t="s">
        <v>526</v>
      </c>
      <c r="C136" s="196">
        <v>0</v>
      </c>
      <c r="D136" s="196">
        <v>5.2900000000000003E-2</v>
      </c>
      <c r="E136" s="197">
        <v>0</v>
      </c>
      <c r="F136" s="182" t="s">
        <v>553</v>
      </c>
    </row>
    <row r="137" spans="1:6" ht="16">
      <c r="A137" s="194" t="s">
        <v>633</v>
      </c>
      <c r="B137" s="195" t="s">
        <v>530</v>
      </c>
      <c r="C137" s="196">
        <v>2.1999999999999999E-2</v>
      </c>
      <c r="D137" s="196">
        <v>8.3000000000000004E-2</v>
      </c>
      <c r="E137" s="197">
        <v>3.3000000000000002E-2</v>
      </c>
      <c r="F137" s="182" t="s">
        <v>522</v>
      </c>
    </row>
    <row r="138" spans="1:6" ht="16">
      <c r="A138" s="194" t="s">
        <v>634</v>
      </c>
      <c r="B138" s="195" t="s">
        <v>561</v>
      </c>
      <c r="C138" s="196">
        <v>7.4999999999999997E-2</v>
      </c>
      <c r="D138" s="196">
        <v>0.16249999999999998</v>
      </c>
      <c r="E138" s="197">
        <v>0.11249999999999999</v>
      </c>
      <c r="F138" s="182" t="s">
        <v>522</v>
      </c>
    </row>
    <row r="139" spans="1:6" ht="16">
      <c r="A139" s="194" t="s">
        <v>635</v>
      </c>
      <c r="B139" s="195" t="s">
        <v>551</v>
      </c>
      <c r="C139" s="196">
        <v>5.5E-2</v>
      </c>
      <c r="D139" s="196">
        <v>0.13250000000000001</v>
      </c>
      <c r="E139" s="197">
        <v>8.2500000000000004E-2</v>
      </c>
      <c r="F139" s="182" t="s">
        <v>641</v>
      </c>
    </row>
    <row r="140" spans="1:6" ht="16">
      <c r="A140" s="194" t="s">
        <v>659</v>
      </c>
      <c r="B140" s="195" t="s">
        <v>515</v>
      </c>
      <c r="C140" s="196">
        <v>4.4999999999999998E-2</v>
      </c>
      <c r="D140" s="196">
        <v>0.11750000000000001</v>
      </c>
      <c r="E140" s="197">
        <v>6.7500000000000004E-2</v>
      </c>
      <c r="F140" s="182" t="s">
        <v>519</v>
      </c>
    </row>
    <row r="141" spans="1:6">
      <c r="A141" s="198" t="s">
        <v>476</v>
      </c>
      <c r="B141" s="198" t="s">
        <v>699</v>
      </c>
      <c r="C141" s="198" t="s">
        <v>700</v>
      </c>
      <c r="D141" s="198" t="s">
        <v>701</v>
      </c>
      <c r="E141" s="50"/>
      <c r="F141" s="50"/>
    </row>
    <row r="142" spans="1:6">
      <c r="A142" s="182" t="s">
        <v>519</v>
      </c>
      <c r="B142" s="199">
        <v>3.3596502349547593E-2</v>
      </c>
      <c r="C142" s="199">
        <v>0.10039475352432138</v>
      </c>
      <c r="D142" s="199">
        <v>5.0394753524321392E-2</v>
      </c>
      <c r="E142" s="50"/>
      <c r="F142" s="50"/>
    </row>
    <row r="143" spans="1:6">
      <c r="A143" s="182" t="s">
        <v>641</v>
      </c>
      <c r="B143" s="199">
        <v>1.0035901145989772E-2</v>
      </c>
      <c r="C143" s="199">
        <v>6.5053851718984659E-2</v>
      </c>
      <c r="D143" s="199">
        <v>1.5053851718984658E-2</v>
      </c>
      <c r="E143" s="50"/>
      <c r="F143" s="50"/>
    </row>
    <row r="144" spans="1:6">
      <c r="A144" s="182" t="s">
        <v>527</v>
      </c>
      <c r="B144" s="199">
        <v>3.2499265757329183E-5</v>
      </c>
      <c r="C144" s="199">
        <v>5.0048748898635989E-2</v>
      </c>
      <c r="D144" s="199">
        <v>4.8748898635993778E-5</v>
      </c>
      <c r="E144" s="50"/>
      <c r="F144" s="50"/>
    </row>
    <row r="145" spans="1:6">
      <c r="A145" s="182" t="s">
        <v>533</v>
      </c>
      <c r="B145" s="199">
        <v>5.0976676663901467E-2</v>
      </c>
      <c r="C145" s="199">
        <v>0.12646501499585222</v>
      </c>
      <c r="D145" s="199">
        <v>7.6465014995852204E-2</v>
      </c>
      <c r="E145" s="50"/>
      <c r="F145" s="50"/>
    </row>
    <row r="146" spans="1:6">
      <c r="A146" s="182" t="s">
        <v>522</v>
      </c>
      <c r="B146" s="199">
        <v>2.4151684133909942E-2</v>
      </c>
      <c r="C146" s="199">
        <v>8.6227526200864907E-2</v>
      </c>
      <c r="D146" s="199">
        <v>3.6227526200864911E-2</v>
      </c>
      <c r="E146" s="50"/>
      <c r="F146" s="50"/>
    </row>
    <row r="147" spans="1:6">
      <c r="A147" s="182" t="s">
        <v>516</v>
      </c>
      <c r="B147" s="199">
        <v>1.9763518915280838E-2</v>
      </c>
      <c r="C147" s="199">
        <v>7.9645278372921249E-2</v>
      </c>
      <c r="D147" s="199">
        <v>2.9645278372921257E-2</v>
      </c>
      <c r="E147" s="50"/>
      <c r="F147" s="50"/>
    </row>
    <row r="148" spans="1:6">
      <c r="A148" s="182" t="s">
        <v>536</v>
      </c>
      <c r="B148" s="199">
        <v>7.6259587998964325E-3</v>
      </c>
      <c r="C148" s="199">
        <v>6.1438938199844653E-2</v>
      </c>
      <c r="D148" s="199">
        <v>1.1438938199844649E-2</v>
      </c>
      <c r="E148" s="50"/>
      <c r="F148" s="50"/>
    </row>
    <row r="149" spans="1:6">
      <c r="A149" s="182" t="s">
        <v>553</v>
      </c>
      <c r="B149" s="199">
        <v>0</v>
      </c>
      <c r="C149" s="199">
        <v>5.000000000000001E-2</v>
      </c>
      <c r="D149" s="199">
        <v>0</v>
      </c>
      <c r="E149" s="50"/>
      <c r="F149" s="50"/>
    </row>
    <row r="150" spans="1:6">
      <c r="A150" s="182" t="s">
        <v>528</v>
      </c>
      <c r="B150" s="199">
        <v>8.6273759134598334E-3</v>
      </c>
      <c r="C150" s="199">
        <v>6.2941063870189759E-2</v>
      </c>
      <c r="D150" s="199">
        <v>1.2941063870189749E-2</v>
      </c>
      <c r="E150" s="50"/>
      <c r="F150" s="50"/>
    </row>
    <row r="151" spans="1:6">
      <c r="A151" s="182" t="s">
        <v>702</v>
      </c>
      <c r="B151" s="200">
        <v>8.9999999999999993E-3</v>
      </c>
      <c r="C151" s="199">
        <v>6.3500000000000001E-2</v>
      </c>
      <c r="D151" s="199">
        <v>1.2999999999999999E-2</v>
      </c>
      <c r="E151" s="50"/>
      <c r="F151" s="50"/>
    </row>
  </sheetData>
  <pageMargins left="0.75" right="0.75" top="1" bottom="1" header="0.5" footer="0.5"/>
  <pageSetup orientation="portrait" horizontalDpi="4294967292" verticalDpi="429496729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C3"/>
  <sheetViews>
    <sheetView workbookViewId="0">
      <selection activeCell="Q62" sqref="Q62"/>
    </sheetView>
  </sheetViews>
  <sheetFormatPr baseColWidth="10" defaultColWidth="11.42578125" defaultRowHeight="14"/>
  <sheetData>
    <row r="1" spans="2:3">
      <c r="B1" t="s">
        <v>447</v>
      </c>
    </row>
    <row r="2" spans="2:3">
      <c r="B2" t="s">
        <v>202</v>
      </c>
      <c r="C2" t="s">
        <v>452</v>
      </c>
    </row>
    <row r="3" spans="2:3">
      <c r="B3" t="s">
        <v>390</v>
      </c>
      <c r="C3" t="s">
        <v>453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42"/>
  <sheetViews>
    <sheetView workbookViewId="0">
      <selection activeCell="A33" sqref="A33:F42"/>
    </sheetView>
  </sheetViews>
  <sheetFormatPr baseColWidth="10" defaultRowHeight="14"/>
  <cols>
    <col min="2" max="2" width="21.28515625" customWidth="1"/>
    <col min="3" max="3" width="21.5703125" customWidth="1"/>
    <col min="4" max="4" width="21.140625" customWidth="1"/>
    <col min="5" max="5" width="26.42578125" customWidth="1"/>
    <col min="6" max="6" width="27.5703125" customWidth="1"/>
    <col min="7" max="7" width="26" customWidth="1"/>
    <col min="8" max="8" width="24" customWidth="1"/>
    <col min="9" max="9" width="18.28515625" customWidth="1"/>
    <col min="10" max="10" width="22" customWidth="1"/>
  </cols>
  <sheetData>
    <row r="1" spans="1:17" ht="16">
      <c r="C1" t="s">
        <v>796</v>
      </c>
      <c r="D1" t="s">
        <v>797</v>
      </c>
      <c r="E1" t="s">
        <v>798</v>
      </c>
      <c r="F1" t="s">
        <v>799</v>
      </c>
      <c r="G1" t="s">
        <v>800</v>
      </c>
      <c r="I1" t="s">
        <v>801</v>
      </c>
      <c r="J1" t="s">
        <v>802</v>
      </c>
      <c r="K1" t="s">
        <v>797</v>
      </c>
      <c r="L1" t="s">
        <v>799</v>
      </c>
      <c r="M1" s="208"/>
      <c r="N1" s="208"/>
      <c r="O1" s="208"/>
      <c r="P1" s="208"/>
      <c r="Q1" s="208"/>
    </row>
    <row r="2" spans="1:17" ht="16">
      <c r="M2" s="208"/>
      <c r="N2" s="208"/>
      <c r="O2" s="208"/>
      <c r="P2" s="208"/>
      <c r="Q2" s="208"/>
    </row>
    <row r="3" spans="1:17" ht="16">
      <c r="A3" t="s">
        <v>717</v>
      </c>
      <c r="C3">
        <v>62761</v>
      </c>
      <c r="D3">
        <v>45708</v>
      </c>
      <c r="E3">
        <v>52191</v>
      </c>
      <c r="F3">
        <f t="shared" ref="F3:F8" si="0">C3-D3+E3</f>
        <v>69244</v>
      </c>
      <c r="I3">
        <v>59387</v>
      </c>
      <c r="J3">
        <v>43013</v>
      </c>
      <c r="K3">
        <v>45708</v>
      </c>
      <c r="L3">
        <f t="shared" ref="L3:L8" si="1">I3-J3+K3</f>
        <v>62082</v>
      </c>
      <c r="M3" s="208"/>
      <c r="N3" s="208"/>
      <c r="O3" s="208"/>
      <c r="P3" s="208"/>
      <c r="Q3" s="208"/>
    </row>
    <row r="4" spans="1:17" ht="16">
      <c r="A4" t="s">
        <v>724</v>
      </c>
      <c r="C4">
        <f>13098</f>
        <v>13098</v>
      </c>
      <c r="D4">
        <v>9824</v>
      </c>
      <c r="E4">
        <v>10110</v>
      </c>
      <c r="F4">
        <f t="shared" si="0"/>
        <v>13384</v>
      </c>
      <c r="I4">
        <v>12740</v>
      </c>
      <c r="J4">
        <v>9460</v>
      </c>
      <c r="K4">
        <v>9824</v>
      </c>
      <c r="L4">
        <f t="shared" si="1"/>
        <v>13104</v>
      </c>
      <c r="M4" s="208"/>
      <c r="N4" s="208"/>
      <c r="O4" s="208"/>
      <c r="P4" s="208"/>
      <c r="Q4" s="208"/>
    </row>
    <row r="5" spans="1:17" ht="16">
      <c r="A5" t="s">
        <v>711</v>
      </c>
      <c r="C5">
        <v>19601</v>
      </c>
      <c r="D5">
        <v>12541</v>
      </c>
      <c r="E5">
        <v>17092</v>
      </c>
      <c r="F5">
        <f t="shared" si="0"/>
        <v>24152</v>
      </c>
      <c r="I5">
        <v>12874</v>
      </c>
      <c r="J5">
        <v>8348</v>
      </c>
      <c r="K5">
        <v>12541</v>
      </c>
      <c r="L5">
        <f t="shared" si="1"/>
        <v>17067</v>
      </c>
      <c r="M5" s="208"/>
      <c r="N5" s="208"/>
      <c r="O5" s="208"/>
      <c r="P5" s="208"/>
      <c r="Q5" s="208"/>
    </row>
    <row r="6" spans="1:17" ht="16">
      <c r="A6" t="s">
        <v>712</v>
      </c>
      <c r="C6">
        <f>-235</f>
        <v>-235</v>
      </c>
      <c r="D6">
        <v>336</v>
      </c>
      <c r="E6">
        <v>225</v>
      </c>
      <c r="F6">
        <f t="shared" si="0"/>
        <v>-346</v>
      </c>
      <c r="I6">
        <v>-444</v>
      </c>
      <c r="J6">
        <v>-340</v>
      </c>
      <c r="K6">
        <v>336</v>
      </c>
      <c r="L6">
        <f t="shared" si="1"/>
        <v>232</v>
      </c>
      <c r="M6" s="208"/>
      <c r="N6" s="208"/>
      <c r="O6" s="208"/>
      <c r="P6" s="208"/>
      <c r="Q6" s="208"/>
    </row>
    <row r="7" spans="1:17" ht="16">
      <c r="A7" t="s">
        <v>713</v>
      </c>
      <c r="C7">
        <f>14499+11778</f>
        <v>26277</v>
      </c>
      <c r="D7">
        <f>2979+14496</f>
        <v>17475</v>
      </c>
      <c r="E7">
        <v>3851</v>
      </c>
      <c r="F7">
        <f t="shared" si="0"/>
        <v>12653</v>
      </c>
      <c r="I7">
        <f>9625+15470+I4</f>
        <v>37835</v>
      </c>
      <c r="J7">
        <f>2463+532</f>
        <v>2995</v>
      </c>
      <c r="K7">
        <f>2979+14496</f>
        <v>17475</v>
      </c>
      <c r="L7">
        <f t="shared" si="1"/>
        <v>52315</v>
      </c>
      <c r="M7" s="208"/>
      <c r="N7" s="208"/>
      <c r="O7" s="208"/>
      <c r="P7" s="208"/>
      <c r="Q7" s="208"/>
    </row>
    <row r="8" spans="1:17" ht="16">
      <c r="A8" t="s">
        <v>714</v>
      </c>
      <c r="C8">
        <v>6752</v>
      </c>
      <c r="D8">
        <f>1690+365</f>
        <v>2055</v>
      </c>
      <c r="E8">
        <f>1883+390</f>
        <v>2273</v>
      </c>
      <c r="F8">
        <f t="shared" si="0"/>
        <v>6970</v>
      </c>
      <c r="I8">
        <f>6266+1524</f>
        <v>7790</v>
      </c>
      <c r="J8">
        <f>1543+385</f>
        <v>1928</v>
      </c>
      <c r="K8">
        <f>1690+365</f>
        <v>2055</v>
      </c>
      <c r="L8">
        <f t="shared" si="1"/>
        <v>7917</v>
      </c>
      <c r="M8" s="208"/>
      <c r="N8" s="208"/>
      <c r="O8" s="208"/>
      <c r="P8" s="208"/>
      <c r="Q8" s="208"/>
    </row>
    <row r="9" spans="1:17" ht="16">
      <c r="A9" t="s">
        <v>715</v>
      </c>
      <c r="C9">
        <v>11.62</v>
      </c>
      <c r="E9" s="247">
        <v>0.1042</v>
      </c>
      <c r="M9" s="208"/>
      <c r="N9" s="208"/>
      <c r="O9" s="208"/>
      <c r="P9" s="208"/>
      <c r="Q9" s="208"/>
    </row>
    <row r="10" spans="1:17" ht="16">
      <c r="A10" t="s">
        <v>716</v>
      </c>
      <c r="M10" s="208"/>
      <c r="N10" s="208"/>
      <c r="O10" s="208"/>
      <c r="P10" s="208"/>
      <c r="Q10" s="208"/>
    </row>
    <row r="11" spans="1:17" ht="16">
      <c r="A11" t="s">
        <v>720</v>
      </c>
      <c r="C11">
        <v>3433</v>
      </c>
      <c r="D11">
        <v>9075</v>
      </c>
      <c r="E11">
        <v>3407</v>
      </c>
      <c r="F11">
        <f>AVERAGE(C11:E11)</f>
        <v>5305</v>
      </c>
      <c r="I11">
        <v>5560</v>
      </c>
      <c r="J11">
        <v>4752</v>
      </c>
      <c r="K11">
        <v>9075</v>
      </c>
      <c r="L11">
        <f>AVERAGE(I11:K11)</f>
        <v>6462.333333333333</v>
      </c>
      <c r="M11" s="208"/>
      <c r="N11" s="208"/>
      <c r="O11" s="208"/>
      <c r="P11" s="208"/>
      <c r="Q11" s="208"/>
    </row>
    <row r="12" spans="1:17" ht="16">
      <c r="A12" t="s">
        <v>707</v>
      </c>
      <c r="C12">
        <v>29500</v>
      </c>
      <c r="D12">
        <v>33154</v>
      </c>
      <c r="E12">
        <v>29590</v>
      </c>
      <c r="F12">
        <f t="shared" ref="F12:F31" si="2">AVERAGE(C12:E12)</f>
        <v>30748</v>
      </c>
      <c r="I12">
        <v>35508</v>
      </c>
      <c r="J12">
        <v>36216</v>
      </c>
      <c r="K12">
        <v>33154</v>
      </c>
      <c r="L12">
        <f t="shared" ref="L12:L31" si="3">AVERAGE(I12:K12)</f>
        <v>34959.333333333336</v>
      </c>
      <c r="M12" s="208"/>
      <c r="N12" s="208"/>
      <c r="O12" s="208"/>
      <c r="P12" s="208"/>
      <c r="Q12" s="208"/>
    </row>
    <row r="13" spans="1:17" ht="16">
      <c r="A13" t="s">
        <v>803</v>
      </c>
      <c r="C13">
        <v>1776</v>
      </c>
      <c r="D13">
        <v>4142</v>
      </c>
      <c r="E13">
        <v>3051</v>
      </c>
      <c r="F13">
        <f t="shared" si="2"/>
        <v>2989.6666666666665</v>
      </c>
      <c r="I13">
        <v>4634</v>
      </c>
      <c r="J13">
        <v>3573</v>
      </c>
      <c r="K13">
        <v>4142</v>
      </c>
      <c r="L13">
        <f t="shared" si="3"/>
        <v>4116.333333333333</v>
      </c>
      <c r="M13" s="208"/>
      <c r="N13" s="208"/>
      <c r="O13" s="208"/>
      <c r="P13" s="208"/>
      <c r="Q13" s="208"/>
    </row>
    <row r="14" spans="1:17" ht="16">
      <c r="A14" t="s">
        <v>804</v>
      </c>
      <c r="C14">
        <v>25037</v>
      </c>
      <c r="D14">
        <v>27498</v>
      </c>
      <c r="E14">
        <v>24823</v>
      </c>
      <c r="F14">
        <f t="shared" si="2"/>
        <v>25786</v>
      </c>
      <c r="I14">
        <v>20649</v>
      </c>
      <c r="J14">
        <v>24043</v>
      </c>
      <c r="K14">
        <v>27498</v>
      </c>
      <c r="L14">
        <f t="shared" si="3"/>
        <v>24063.333333333332</v>
      </c>
      <c r="M14" s="208"/>
      <c r="N14" s="208"/>
      <c r="O14" s="208"/>
      <c r="P14" s="208"/>
      <c r="Q14" s="208"/>
    </row>
    <row r="15" spans="1:17" ht="16">
      <c r="A15" t="s">
        <v>709</v>
      </c>
      <c r="C15">
        <v>17421</v>
      </c>
      <c r="D15">
        <v>20689</v>
      </c>
      <c r="E15">
        <v>19574</v>
      </c>
      <c r="F15">
        <f t="shared" si="2"/>
        <v>19228</v>
      </c>
      <c r="I15">
        <v>20302</v>
      </c>
      <c r="J15">
        <v>20093</v>
      </c>
      <c r="K15">
        <v>20689</v>
      </c>
      <c r="L15">
        <f t="shared" si="3"/>
        <v>20361.333333333332</v>
      </c>
      <c r="M15" s="208"/>
      <c r="N15" s="208"/>
      <c r="O15" s="208"/>
      <c r="P15" s="208"/>
      <c r="Q15" s="208"/>
    </row>
    <row r="16" spans="1:17" ht="16">
      <c r="M16" s="208"/>
      <c r="N16" s="208"/>
      <c r="O16" s="208"/>
      <c r="P16" s="208"/>
      <c r="Q16" s="208"/>
    </row>
    <row r="17" spans="1:17" ht="16">
      <c r="M17" s="208"/>
      <c r="N17" s="208"/>
      <c r="O17" s="208"/>
      <c r="P17" s="208"/>
      <c r="Q17" s="208"/>
    </row>
    <row r="18" spans="1:17" ht="16">
      <c r="A18" t="s">
        <v>718</v>
      </c>
      <c r="C18">
        <f>C13+C14</f>
        <v>26813</v>
      </c>
      <c r="D18">
        <f>D13+D14</f>
        <v>31640</v>
      </c>
      <c r="E18">
        <f>E13+E14</f>
        <v>27874</v>
      </c>
      <c r="F18">
        <f t="shared" si="2"/>
        <v>28775.666666666668</v>
      </c>
      <c r="I18">
        <f>I13+I14</f>
        <v>25283</v>
      </c>
      <c r="J18">
        <f>J13+J14</f>
        <v>27616</v>
      </c>
      <c r="K18">
        <f>K13+K14</f>
        <v>31640</v>
      </c>
      <c r="L18">
        <f t="shared" si="3"/>
        <v>28179.666666666668</v>
      </c>
      <c r="M18" s="208"/>
      <c r="N18" s="208"/>
      <c r="O18" s="208"/>
      <c r="P18" s="208"/>
      <c r="Q18" s="208"/>
    </row>
    <row r="19" spans="1:17" ht="16">
      <c r="A19" t="s">
        <v>719</v>
      </c>
      <c r="C19">
        <v>123249</v>
      </c>
      <c r="D19">
        <v>123249</v>
      </c>
      <c r="E19">
        <v>123249</v>
      </c>
      <c r="F19">
        <f t="shared" si="2"/>
        <v>123249</v>
      </c>
      <c r="I19">
        <v>66226</v>
      </c>
      <c r="J19">
        <v>63115</v>
      </c>
      <c r="K19">
        <v>123249</v>
      </c>
      <c r="L19">
        <f t="shared" si="3"/>
        <v>84196.666666666672</v>
      </c>
      <c r="M19" s="208"/>
      <c r="N19" s="208"/>
      <c r="O19" s="208"/>
      <c r="P19" s="208"/>
      <c r="Q19" s="208"/>
    </row>
    <row r="20" spans="1:17" ht="16">
      <c r="M20" s="208"/>
      <c r="N20" s="208"/>
      <c r="O20" s="208"/>
      <c r="P20" s="208"/>
      <c r="Q20" s="208"/>
    </row>
    <row r="21" spans="1:17" ht="16">
      <c r="M21" s="208"/>
      <c r="N21" s="208"/>
      <c r="O21" s="208"/>
      <c r="P21" s="208"/>
      <c r="Q21" s="208"/>
    </row>
    <row r="22" spans="1:17">
      <c r="A22" t="s">
        <v>721</v>
      </c>
    </row>
    <row r="23" spans="1:17">
      <c r="A23" t="s">
        <v>722</v>
      </c>
    </row>
    <row r="25" spans="1:17">
      <c r="A25" t="s">
        <v>723</v>
      </c>
      <c r="C25">
        <f>C18/C19</f>
        <v>0.21755146086377983</v>
      </c>
      <c r="D25">
        <f>D18/D19</f>
        <v>0.25671607883228259</v>
      </c>
      <c r="E25">
        <f>E18/E19</f>
        <v>0.22616004998012154</v>
      </c>
      <c r="F25">
        <f t="shared" si="2"/>
        <v>0.23347586322539463</v>
      </c>
      <c r="I25">
        <f>I18/I19</f>
        <v>0.38176848971702959</v>
      </c>
      <c r="J25">
        <f>J18/J19</f>
        <v>0.4375505030499881</v>
      </c>
      <c r="K25">
        <f>K18/K19</f>
        <v>0.25671607883228259</v>
      </c>
      <c r="L25">
        <f t="shared" si="3"/>
        <v>0.35867835719976676</v>
      </c>
    </row>
    <row r="28" spans="1:17">
      <c r="A28" t="s">
        <v>805</v>
      </c>
      <c r="C28">
        <f>C12-C11</f>
        <v>26067</v>
      </c>
      <c r="D28">
        <f>D12-D11</f>
        <v>24079</v>
      </c>
      <c r="E28">
        <f>E12-E11</f>
        <v>26183</v>
      </c>
      <c r="F28">
        <f t="shared" si="2"/>
        <v>25443</v>
      </c>
      <c r="I28">
        <f>I12-I11</f>
        <v>29948</v>
      </c>
      <c r="J28">
        <f>J12-J11</f>
        <v>31464</v>
      </c>
      <c r="K28">
        <f>K12-K11</f>
        <v>24079</v>
      </c>
      <c r="L28">
        <f t="shared" si="3"/>
        <v>28497</v>
      </c>
    </row>
    <row r="29" spans="1:17">
      <c r="A29" t="s">
        <v>806</v>
      </c>
      <c r="C29">
        <f>C15-C13</f>
        <v>15645</v>
      </c>
      <c r="D29">
        <f>D15-D13</f>
        <v>16547</v>
      </c>
      <c r="E29">
        <f>E15-E13</f>
        <v>16523</v>
      </c>
      <c r="F29">
        <f t="shared" si="2"/>
        <v>16238.333333333334</v>
      </c>
      <c r="I29">
        <f>I15-I13</f>
        <v>15668</v>
      </c>
      <c r="J29">
        <f>J15-J13</f>
        <v>16520</v>
      </c>
      <c r="K29">
        <f>K15-K13</f>
        <v>16547</v>
      </c>
      <c r="L29">
        <f t="shared" si="3"/>
        <v>16245</v>
      </c>
    </row>
    <row r="31" spans="1:17">
      <c r="A31" t="s">
        <v>710</v>
      </c>
      <c r="C31">
        <f>C28-C29</f>
        <v>10422</v>
      </c>
      <c r="D31">
        <f>D28-D29</f>
        <v>7532</v>
      </c>
      <c r="E31">
        <f>E28-E29</f>
        <v>9660</v>
      </c>
      <c r="F31">
        <f t="shared" si="2"/>
        <v>9204.6666666666661</v>
      </c>
      <c r="I31">
        <f>I28-I29</f>
        <v>14280</v>
      </c>
      <c r="J31">
        <f>J28-J29</f>
        <v>14944</v>
      </c>
      <c r="K31">
        <f>K28-K29</f>
        <v>7532</v>
      </c>
      <c r="L31">
        <f t="shared" si="3"/>
        <v>12252</v>
      </c>
    </row>
    <row r="32" spans="1:17">
      <c r="B32" s="209"/>
      <c r="C32" s="209"/>
      <c r="D32" s="209"/>
      <c r="E32" s="209"/>
      <c r="F32" s="209"/>
    </row>
    <row r="33" spans="2:6">
      <c r="B33" s="209"/>
      <c r="C33" s="209"/>
      <c r="D33" s="209"/>
      <c r="E33" s="209"/>
      <c r="F33" s="209"/>
    </row>
    <row r="35" spans="2:6">
      <c r="B35" s="209"/>
      <c r="C35" s="209"/>
      <c r="D35" s="209"/>
      <c r="E35" s="209"/>
      <c r="F35" s="209"/>
    </row>
    <row r="36" spans="2:6">
      <c r="B36" s="209"/>
      <c r="C36" s="209"/>
      <c r="D36" s="209"/>
      <c r="E36" s="209"/>
      <c r="F36" s="209"/>
    </row>
    <row r="37" spans="2:6">
      <c r="B37" s="209"/>
      <c r="C37" s="209"/>
      <c r="D37" s="209"/>
      <c r="E37" s="209"/>
    </row>
    <row r="38" spans="2:6">
      <c r="F38" s="209"/>
    </row>
    <row r="39" spans="2:6">
      <c r="F39" s="209"/>
    </row>
    <row r="40" spans="2:6">
      <c r="F40" s="209"/>
    </row>
    <row r="41" spans="2:6">
      <c r="F41" s="209"/>
    </row>
    <row r="42" spans="2:6">
      <c r="F42" s="20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1"/>
  <sheetViews>
    <sheetView workbookViewId="0">
      <selection activeCell="D1" sqref="D1:L1"/>
    </sheetView>
  </sheetViews>
  <sheetFormatPr baseColWidth="10" defaultRowHeight="14"/>
  <cols>
    <col min="5" max="5" width="8.42578125" customWidth="1"/>
    <col min="6" max="6" width="34" customWidth="1"/>
    <col min="11" max="11" width="15.5703125" customWidth="1"/>
    <col min="12" max="12" width="30.28515625" customWidth="1"/>
  </cols>
  <sheetData>
    <row r="1" spans="4:12" ht="24">
      <c r="D1" s="288" t="s">
        <v>728</v>
      </c>
      <c r="E1" s="289"/>
      <c r="F1" s="289"/>
      <c r="G1" s="289"/>
      <c r="H1" s="289"/>
      <c r="I1" s="289"/>
      <c r="J1" s="289"/>
      <c r="K1" s="289"/>
      <c r="L1" s="290"/>
    </row>
    <row r="2" spans="4:12">
      <c r="D2" s="210" t="s">
        <v>729</v>
      </c>
      <c r="E2" s="211"/>
      <c r="F2" s="211"/>
      <c r="G2" s="211">
        <v>2013</v>
      </c>
      <c r="H2" s="211">
        <v>2014</v>
      </c>
      <c r="I2" s="211">
        <v>2015</v>
      </c>
      <c r="J2" s="211">
        <v>2016</v>
      </c>
      <c r="K2" s="211">
        <v>2017</v>
      </c>
      <c r="L2" s="212" t="s">
        <v>730</v>
      </c>
    </row>
    <row r="3" spans="4:12">
      <c r="D3" s="213" t="s">
        <v>731</v>
      </c>
      <c r="E3" s="214"/>
      <c r="F3" s="211" t="s">
        <v>732</v>
      </c>
      <c r="G3" s="215">
        <v>33.270000000000003</v>
      </c>
      <c r="H3" s="215">
        <v>34.869999999999997</v>
      </c>
      <c r="I3" s="215">
        <v>32.22</v>
      </c>
      <c r="J3" s="215">
        <v>32.909999999999997</v>
      </c>
      <c r="K3" s="216">
        <v>34</v>
      </c>
      <c r="L3" s="217">
        <f>(K3/G3)^0.25-1</f>
        <v>5.4408566366317412E-3</v>
      </c>
    </row>
    <row r="4" spans="4:12">
      <c r="D4" s="218" t="s">
        <v>733</v>
      </c>
      <c r="E4" s="219"/>
      <c r="F4" s="214" t="s">
        <v>734</v>
      </c>
      <c r="G4" s="211">
        <v>12.16</v>
      </c>
      <c r="H4" s="215">
        <v>14.4</v>
      </c>
      <c r="I4" s="211">
        <v>15.98</v>
      </c>
      <c r="J4" s="211">
        <v>17.239999999999998</v>
      </c>
      <c r="K4" s="211">
        <v>19.059999999999999</v>
      </c>
      <c r="L4" s="220">
        <f>(K4/G4)^0.25-1</f>
        <v>0.11891560382997923</v>
      </c>
    </row>
    <row r="5" spans="4:12">
      <c r="D5" s="218"/>
      <c r="E5" s="219"/>
      <c r="F5" s="214" t="s">
        <v>735</v>
      </c>
      <c r="G5" s="211">
        <v>1.8</v>
      </c>
      <c r="H5" s="211">
        <v>1.81</v>
      </c>
      <c r="I5" s="211">
        <v>2.2999999999999998</v>
      </c>
      <c r="J5" s="211">
        <v>2.64</v>
      </c>
      <c r="K5" s="211">
        <v>3.16</v>
      </c>
      <c r="L5" s="220">
        <f>(K5/G5)^0.25-1</f>
        <v>0.15107506023287609</v>
      </c>
    </row>
    <row r="6" spans="4:12">
      <c r="D6" s="218"/>
      <c r="E6" s="219"/>
      <c r="F6" s="214" t="s">
        <v>736</v>
      </c>
      <c r="G6" s="211"/>
      <c r="H6" s="211">
        <v>2.15</v>
      </c>
      <c r="I6" s="211">
        <v>2.6</v>
      </c>
      <c r="J6" s="211">
        <v>2.58</v>
      </c>
      <c r="K6" s="211">
        <v>3.52</v>
      </c>
      <c r="L6" s="220">
        <f>(K6/H6)^(1/3)-1</f>
        <v>0.17860442651774311</v>
      </c>
    </row>
    <row r="7" spans="4:12">
      <c r="D7" s="218"/>
      <c r="E7" s="219"/>
      <c r="F7" s="214" t="s">
        <v>737</v>
      </c>
      <c r="G7" s="211"/>
      <c r="H7" s="211"/>
      <c r="I7" s="211"/>
      <c r="J7" s="211">
        <v>1.67</v>
      </c>
      <c r="K7" s="211">
        <v>1.9</v>
      </c>
      <c r="L7" s="220">
        <f>K7/J7-1</f>
        <v>0.13772455089820368</v>
      </c>
    </row>
    <row r="8" spans="4:12">
      <c r="D8" s="210"/>
      <c r="E8" s="211"/>
      <c r="F8" s="214" t="s">
        <v>738</v>
      </c>
      <c r="G8" s="211">
        <v>1.38</v>
      </c>
      <c r="H8" s="211"/>
      <c r="I8" s="211"/>
      <c r="J8" s="211"/>
      <c r="K8" s="211"/>
      <c r="L8" s="220"/>
    </row>
    <row r="9" spans="4:12">
      <c r="D9" s="210"/>
      <c r="E9" s="211"/>
      <c r="F9" s="214" t="s">
        <v>739</v>
      </c>
      <c r="G9" s="211">
        <v>2.19</v>
      </c>
      <c r="H9" s="211"/>
      <c r="I9" s="211"/>
      <c r="J9" s="211"/>
      <c r="K9" s="211"/>
      <c r="L9" s="220"/>
    </row>
    <row r="10" spans="4:12">
      <c r="D10" s="210"/>
      <c r="E10" s="211"/>
      <c r="F10" s="214" t="s">
        <v>740</v>
      </c>
      <c r="G10" s="211"/>
      <c r="H10" s="211">
        <v>2.0099999999999998</v>
      </c>
      <c r="I10" s="211">
        <v>1.99</v>
      </c>
      <c r="J10" s="211">
        <v>2.16</v>
      </c>
      <c r="K10" s="211"/>
      <c r="L10" s="220">
        <f>(J10/H10)^0.5-1</f>
        <v>3.6642110697632235E-2</v>
      </c>
    </row>
    <row r="11" spans="4:12">
      <c r="D11" s="210"/>
      <c r="E11" s="211"/>
      <c r="F11" s="214" t="s">
        <v>741</v>
      </c>
      <c r="G11" s="211">
        <v>1.91</v>
      </c>
      <c r="H11" s="211">
        <v>0.3</v>
      </c>
      <c r="I11" s="211">
        <v>0.28000000000000003</v>
      </c>
      <c r="J11" s="211">
        <v>0.2</v>
      </c>
      <c r="K11" s="211">
        <v>1.1000000000000001</v>
      </c>
      <c r="L11" s="220">
        <f>(K11/G11)^0.25-1</f>
        <v>-0.12885624128854778</v>
      </c>
    </row>
    <row r="12" spans="4:12" ht="17" thickBot="1">
      <c r="D12" s="221" t="s">
        <v>742</v>
      </c>
      <c r="E12" s="222"/>
      <c r="F12" s="222"/>
      <c r="G12" s="223">
        <f>SUM(G3:G11)</f>
        <v>52.71</v>
      </c>
      <c r="H12" s="223">
        <f>SUM(H3:H11)</f>
        <v>55.539999999999992</v>
      </c>
      <c r="I12" s="223">
        <f>SUM(I3:I11)</f>
        <v>55.370000000000005</v>
      </c>
      <c r="J12" s="223">
        <f>SUM(J3:J11)</f>
        <v>59.399999999999991</v>
      </c>
      <c r="K12" s="223">
        <f>SUM(K3:K11)</f>
        <v>62.74</v>
      </c>
      <c r="L12" s="224">
        <f>(K12/G12)^0.25-1</f>
        <v>4.4510654956408047E-2</v>
      </c>
    </row>
    <row r="13" spans="4:12" ht="26">
      <c r="D13" s="291" t="s">
        <v>743</v>
      </c>
      <c r="E13" s="292"/>
      <c r="F13" s="293"/>
      <c r="G13" s="293"/>
      <c r="H13" s="293"/>
      <c r="I13" s="293"/>
      <c r="J13" s="293"/>
      <c r="K13" s="293"/>
      <c r="L13" s="294"/>
    </row>
    <row r="14" spans="4:12">
      <c r="D14" s="210"/>
      <c r="E14" s="211"/>
      <c r="F14" s="211"/>
      <c r="G14" s="227">
        <v>2013</v>
      </c>
      <c r="H14" s="227">
        <v>2014</v>
      </c>
      <c r="I14" s="227">
        <v>2015</v>
      </c>
      <c r="J14" s="227">
        <v>2016</v>
      </c>
      <c r="K14" s="227">
        <v>2017</v>
      </c>
      <c r="L14" s="220" t="s">
        <v>730</v>
      </c>
    </row>
    <row r="15" spans="4:12">
      <c r="D15" s="210" t="s">
        <v>744</v>
      </c>
      <c r="E15" s="211"/>
      <c r="F15" s="211"/>
      <c r="G15" s="228">
        <v>0.59458</v>
      </c>
      <c r="H15" s="228">
        <v>0.62348000000000003</v>
      </c>
      <c r="I15" s="228">
        <v>0.63238000000000005</v>
      </c>
      <c r="J15" s="228">
        <v>0.61585000000000001</v>
      </c>
      <c r="K15" s="228">
        <v>0.61799999999999999</v>
      </c>
      <c r="L15" s="220">
        <f>(K15/G15)^0.25 -1</f>
        <v>9.7050877408493275E-3</v>
      </c>
    </row>
    <row r="16" spans="4:12">
      <c r="D16" s="210" t="s">
        <v>745</v>
      </c>
      <c r="E16" s="211"/>
      <c r="F16" s="211"/>
      <c r="G16" s="228">
        <v>0.23652999999999999</v>
      </c>
      <c r="H16" s="228">
        <v>0.25457999999999997</v>
      </c>
      <c r="I16" s="228">
        <v>0.26212999999999997</v>
      </c>
      <c r="J16" s="228">
        <v>0.22542999999999999</v>
      </c>
      <c r="K16" s="228">
        <v>0.26469999999999999</v>
      </c>
      <c r="L16" s="220">
        <f>(K16/G16)^0.25 -1</f>
        <v>2.8529914102463527E-2</v>
      </c>
    </row>
    <row r="17" spans="1:12" ht="15" thickBot="1">
      <c r="D17" s="221" t="s">
        <v>746</v>
      </c>
      <c r="E17" s="222"/>
      <c r="F17" s="222"/>
      <c r="G17" s="229">
        <v>0.18478</v>
      </c>
      <c r="H17" s="229">
        <v>0.19358</v>
      </c>
      <c r="I17" s="229">
        <v>0.20899999999999999</v>
      </c>
      <c r="J17" s="229">
        <v>0.18375</v>
      </c>
      <c r="K17" s="229">
        <v>0.19195000000000001</v>
      </c>
      <c r="L17" s="230">
        <f>(K17/G17)^0.25 -1</f>
        <v>9.56268132674154E-3</v>
      </c>
    </row>
    <row r="18" spans="1:12" ht="24">
      <c r="D18" s="295" t="s">
        <v>747</v>
      </c>
      <c r="E18" s="296"/>
      <c r="F18" s="296"/>
      <c r="G18" s="296"/>
      <c r="H18" s="296"/>
      <c r="I18" s="296"/>
      <c r="J18" s="296"/>
      <c r="K18" s="296"/>
      <c r="L18" s="297"/>
    </row>
    <row r="19" spans="1:12">
      <c r="D19" s="210"/>
      <c r="E19" s="211"/>
      <c r="F19" s="211"/>
      <c r="G19" s="211">
        <v>2013</v>
      </c>
      <c r="H19" s="211">
        <v>2014</v>
      </c>
      <c r="I19" s="211">
        <v>2015</v>
      </c>
      <c r="J19" s="211">
        <v>2016</v>
      </c>
      <c r="K19" s="211">
        <v>2017</v>
      </c>
      <c r="L19" s="212" t="s">
        <v>748</v>
      </c>
    </row>
    <row r="20" spans="1:12">
      <c r="D20" s="210" t="s">
        <v>200</v>
      </c>
      <c r="E20" s="211"/>
      <c r="F20" s="211"/>
      <c r="G20" s="211">
        <v>12.26</v>
      </c>
      <c r="H20" s="211">
        <v>15.77</v>
      </c>
      <c r="I20" s="211">
        <v>-0.251</v>
      </c>
      <c r="J20" s="211">
        <v>13.14</v>
      </c>
      <c r="K20" s="211">
        <v>16.579999999999998</v>
      </c>
      <c r="L20" s="220">
        <f>(K20/G20)^0.25-1</f>
        <v>7.8384194679800956E-2</v>
      </c>
    </row>
    <row r="21" spans="1:12" ht="15" thickBot="1">
      <c r="D21" s="221"/>
      <c r="E21" s="222"/>
      <c r="F21" s="222"/>
      <c r="G21" s="222"/>
      <c r="H21" s="222"/>
      <c r="I21" s="222"/>
      <c r="J21" s="222"/>
      <c r="K21" s="222"/>
      <c r="L21" s="231"/>
    </row>
    <row r="23" spans="1:12" ht="15" thickBot="1"/>
    <row r="24" spans="1:12">
      <c r="A24" s="232"/>
      <c r="B24" s="225"/>
      <c r="C24" s="225" t="s">
        <v>725</v>
      </c>
      <c r="D24" s="225" t="s">
        <v>749</v>
      </c>
      <c r="E24" s="225" t="s">
        <v>726</v>
      </c>
      <c r="F24" s="225" t="s">
        <v>749</v>
      </c>
      <c r="G24" s="225" t="s">
        <v>727</v>
      </c>
      <c r="H24" s="226" t="s">
        <v>749</v>
      </c>
    </row>
    <row r="25" spans="1:12">
      <c r="A25" s="233" t="s">
        <v>717</v>
      </c>
      <c r="B25" s="234"/>
      <c r="C25" s="234">
        <v>16.100000000000001</v>
      </c>
      <c r="D25" s="235">
        <v>0.09</v>
      </c>
      <c r="E25" s="234">
        <v>17</v>
      </c>
      <c r="F25" s="235">
        <v>0.15</v>
      </c>
      <c r="G25" s="234">
        <v>19.2</v>
      </c>
      <c r="H25" s="236">
        <v>0.19</v>
      </c>
    </row>
    <row r="26" spans="1:12">
      <c r="A26" s="233" t="s">
        <v>750</v>
      </c>
      <c r="B26" s="234"/>
      <c r="C26" s="234"/>
      <c r="D26" s="234"/>
      <c r="E26" s="234"/>
      <c r="F26" s="234"/>
      <c r="G26" s="234"/>
      <c r="H26" s="237"/>
    </row>
    <row r="27" spans="1:12">
      <c r="A27" s="233" t="s">
        <v>731</v>
      </c>
      <c r="B27" s="234" t="s">
        <v>751</v>
      </c>
      <c r="C27" s="234">
        <v>8.1999999999999993</v>
      </c>
      <c r="D27" s="235">
        <v>0.03</v>
      </c>
      <c r="E27" s="234">
        <v>8.6999999999999993</v>
      </c>
      <c r="F27" s="235">
        <v>0.06</v>
      </c>
      <c r="G27" s="234">
        <v>10.199999999999999</v>
      </c>
      <c r="H27" s="236">
        <v>0.16</v>
      </c>
    </row>
    <row r="28" spans="1:12">
      <c r="A28" s="233" t="s">
        <v>752</v>
      </c>
      <c r="B28" s="234" t="s">
        <v>753</v>
      </c>
      <c r="C28" s="234">
        <v>5.2</v>
      </c>
      <c r="D28" s="235">
        <v>0.24</v>
      </c>
      <c r="E28" s="234">
        <v>5.5</v>
      </c>
      <c r="F28" s="235">
        <v>0.27</v>
      </c>
      <c r="G28" s="234">
        <v>6.1</v>
      </c>
      <c r="H28" s="236">
        <v>0.26</v>
      </c>
    </row>
    <row r="29" spans="1:12">
      <c r="A29" s="233"/>
      <c r="B29" s="234" t="s">
        <v>735</v>
      </c>
      <c r="C29" s="234">
        <v>0.84</v>
      </c>
      <c r="D29" s="235">
        <v>0.17</v>
      </c>
      <c r="E29" s="234">
        <v>0.88</v>
      </c>
      <c r="F29" s="235">
        <v>0.22</v>
      </c>
      <c r="G29" s="234">
        <v>0.91900000000000004</v>
      </c>
      <c r="H29" s="236">
        <v>0.08</v>
      </c>
    </row>
    <row r="30" spans="1:12">
      <c r="A30" s="233"/>
      <c r="B30" s="234" t="s">
        <v>754</v>
      </c>
      <c r="C30" s="234">
        <v>1</v>
      </c>
      <c r="D30" s="235">
        <v>0.2</v>
      </c>
      <c r="E30" s="234">
        <v>1.1000000000000001</v>
      </c>
      <c r="F30" s="235">
        <v>0.23</v>
      </c>
      <c r="G30" s="234">
        <v>1.1000000000000001</v>
      </c>
      <c r="H30" s="236">
        <v>0.21</v>
      </c>
    </row>
    <row r="31" spans="1:12" ht="15" thickBot="1">
      <c r="A31" s="238"/>
      <c r="B31" s="239" t="s">
        <v>737</v>
      </c>
      <c r="C31" s="239">
        <v>0.49</v>
      </c>
      <c r="D31" s="240">
        <v>0.17</v>
      </c>
      <c r="E31" s="239">
        <v>0.51700000000000002</v>
      </c>
      <c r="F31" s="240">
        <v>0.18</v>
      </c>
      <c r="G31" s="239">
        <v>0.496</v>
      </c>
      <c r="H31" s="241">
        <v>0.06</v>
      </c>
    </row>
  </sheetData>
  <mergeCells count="3">
    <mergeCell ref="D1:L1"/>
    <mergeCell ref="D13:L13"/>
    <mergeCell ref="D18:L1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4"/>
  <sheetViews>
    <sheetView workbookViewId="0">
      <selection activeCell="G15" sqref="G15"/>
    </sheetView>
  </sheetViews>
  <sheetFormatPr baseColWidth="10" defaultRowHeight="14"/>
  <sheetData>
    <row r="1" spans="1:7">
      <c r="C1">
        <v>2013</v>
      </c>
      <c r="D1">
        <v>2014</v>
      </c>
      <c r="E1">
        <v>2015</v>
      </c>
      <c r="F1">
        <v>2016</v>
      </c>
      <c r="G1">
        <v>2017</v>
      </c>
    </row>
    <row r="2" spans="1:7">
      <c r="A2" t="s">
        <v>755</v>
      </c>
      <c r="C2">
        <v>21.42</v>
      </c>
      <c r="D2">
        <v>20.52</v>
      </c>
      <c r="E2">
        <v>20.65</v>
      </c>
      <c r="F2">
        <v>23.43</v>
      </c>
      <c r="G2">
        <v>23.8</v>
      </c>
    </row>
    <row r="3" spans="1:7">
      <c r="A3" t="s">
        <v>756</v>
      </c>
      <c r="C3">
        <v>4.734</v>
      </c>
      <c r="D3">
        <v>4.17</v>
      </c>
      <c r="E3">
        <v>4.2699999999999996</v>
      </c>
      <c r="F3">
        <v>5.17</v>
      </c>
      <c r="G3">
        <v>5.55</v>
      </c>
    </row>
    <row r="4" spans="1:7">
      <c r="A4" t="s">
        <v>757</v>
      </c>
      <c r="C4">
        <v>4.17</v>
      </c>
      <c r="D4">
        <v>4.2699999999999996</v>
      </c>
      <c r="E4">
        <v>5.17</v>
      </c>
      <c r="F4">
        <v>5.55</v>
      </c>
      <c r="G4">
        <v>6.98</v>
      </c>
    </row>
    <row r="5" spans="1:7" ht="16">
      <c r="A5" s="242" t="s">
        <v>758</v>
      </c>
      <c r="B5" s="242"/>
      <c r="C5" s="242">
        <f>C2*2/(C3+C4)</f>
        <v>4.8113207547169816</v>
      </c>
      <c r="D5" s="242">
        <f>D2*2/(D3+D4)</f>
        <v>4.8625592417061609</v>
      </c>
      <c r="E5" s="242">
        <f>E2*2/(E3+E4)</f>
        <v>4.375</v>
      </c>
      <c r="F5" s="242">
        <f>F2*2/(F3+F4)</f>
        <v>4.3712686567164187</v>
      </c>
      <c r="G5" s="242">
        <f>G2*2/(G3+G4)</f>
        <v>3.7988826815642458</v>
      </c>
    </row>
    <row r="7" spans="1:7">
      <c r="A7" t="s">
        <v>759</v>
      </c>
    </row>
    <row r="8" spans="1:7">
      <c r="A8" t="s">
        <v>760</v>
      </c>
      <c r="C8">
        <v>3.8330000000000002</v>
      </c>
      <c r="D8">
        <v>3.58</v>
      </c>
      <c r="E8">
        <v>4.43</v>
      </c>
      <c r="F8">
        <v>4.79</v>
      </c>
      <c r="G8">
        <v>4.6900000000000004</v>
      </c>
    </row>
    <row r="9" spans="1:7">
      <c r="A9" t="s">
        <v>761</v>
      </c>
      <c r="C9">
        <v>3.58</v>
      </c>
      <c r="D9">
        <v>4.43</v>
      </c>
      <c r="E9">
        <v>4.79</v>
      </c>
      <c r="F9">
        <v>4.6900000000000004</v>
      </c>
      <c r="G9">
        <v>5.61</v>
      </c>
    </row>
    <row r="10" spans="1:7">
      <c r="A10" t="s">
        <v>762</v>
      </c>
    </row>
    <row r="12" spans="1:7">
      <c r="A12" t="s">
        <v>763</v>
      </c>
    </row>
    <row r="13" spans="1:7">
      <c r="A13" t="s">
        <v>764</v>
      </c>
      <c r="C13">
        <v>3.0230000000000001</v>
      </c>
      <c r="D13">
        <v>2.97</v>
      </c>
      <c r="E13">
        <v>2.75</v>
      </c>
      <c r="F13">
        <v>2.06</v>
      </c>
      <c r="G13">
        <v>2.48</v>
      </c>
    </row>
    <row r="14" spans="1:7">
      <c r="A14" t="s">
        <v>765</v>
      </c>
      <c r="C14">
        <v>2.97</v>
      </c>
      <c r="D14">
        <v>2.75</v>
      </c>
      <c r="E14">
        <v>2.06</v>
      </c>
      <c r="F14">
        <v>2.48</v>
      </c>
      <c r="G14">
        <v>2.93</v>
      </c>
    </row>
    <row r="15" spans="1:7">
      <c r="A15" t="s">
        <v>766</v>
      </c>
    </row>
    <row r="17" spans="1:7">
      <c r="A17" t="s">
        <v>767</v>
      </c>
      <c r="C17">
        <v>52.7</v>
      </c>
      <c r="D17">
        <v>55.87</v>
      </c>
      <c r="E17">
        <v>55.36</v>
      </c>
      <c r="F17">
        <v>59.39</v>
      </c>
      <c r="G17">
        <v>62.76</v>
      </c>
    </row>
    <row r="18" spans="1:7">
      <c r="A18" t="s">
        <v>768</v>
      </c>
      <c r="C18">
        <v>84.350999999999999</v>
      </c>
      <c r="D18">
        <v>92.36</v>
      </c>
      <c r="E18">
        <v>91.96</v>
      </c>
      <c r="F18">
        <v>101.46</v>
      </c>
      <c r="G18">
        <v>113.33</v>
      </c>
    </row>
    <row r="19" spans="1:7">
      <c r="A19" t="s">
        <v>769</v>
      </c>
      <c r="C19">
        <v>92.36</v>
      </c>
      <c r="D19">
        <v>91.96</v>
      </c>
      <c r="E19">
        <v>101.46</v>
      </c>
      <c r="F19">
        <v>113.33</v>
      </c>
      <c r="G19">
        <v>123.25</v>
      </c>
    </row>
    <row r="20" spans="1:7" ht="16">
      <c r="A20" s="242" t="s">
        <v>770</v>
      </c>
      <c r="B20" s="242"/>
      <c r="C20" s="242">
        <f>C17*2/(C18+C19)</f>
        <v>0.59645409736801891</v>
      </c>
      <c r="D20" s="242">
        <f>D17*2/(D18+D19)</f>
        <v>0.60622829861111116</v>
      </c>
      <c r="E20" s="242">
        <f>E17*2/(E18+E19)</f>
        <v>0.57243304725467892</v>
      </c>
      <c r="F20" s="242">
        <f>F17*2/(F18+F19)</f>
        <v>0.55300526095255831</v>
      </c>
      <c r="G20" s="242">
        <f>G17*2/(G18+G19)</f>
        <v>0.53056048693887903</v>
      </c>
    </row>
    <row r="22" spans="1:7">
      <c r="A22" t="s">
        <v>707</v>
      </c>
      <c r="C22">
        <v>32.08</v>
      </c>
      <c r="D22">
        <v>27.73</v>
      </c>
      <c r="E22">
        <v>28.32</v>
      </c>
      <c r="F22">
        <v>35.51</v>
      </c>
      <c r="G22">
        <v>29.5</v>
      </c>
    </row>
    <row r="23" spans="1:7">
      <c r="A23" t="s">
        <v>709</v>
      </c>
      <c r="C23">
        <v>13.57</v>
      </c>
      <c r="D23">
        <v>16.02</v>
      </c>
      <c r="E23">
        <v>15.65</v>
      </c>
      <c r="F23">
        <v>20.3</v>
      </c>
      <c r="G23">
        <v>17.420000000000002</v>
      </c>
    </row>
    <row r="24" spans="1:7" ht="16">
      <c r="A24" s="242" t="s">
        <v>771</v>
      </c>
      <c r="B24" s="242"/>
      <c r="C24" s="242">
        <f>C22/C23</f>
        <v>2.3640383198231389</v>
      </c>
      <c r="D24" s="242">
        <f>D22/D23</f>
        <v>1.7309612983770288</v>
      </c>
      <c r="E24" s="242">
        <f>E22/E23</f>
        <v>1.8095846645367413</v>
      </c>
      <c r="F24" s="242">
        <f>F22/F23</f>
        <v>1.7492610837438423</v>
      </c>
      <c r="G24" s="242">
        <f>G22/G23</f>
        <v>1.6934557979334097</v>
      </c>
    </row>
    <row r="26" spans="1:7">
      <c r="A26" t="s">
        <v>708</v>
      </c>
      <c r="C26">
        <v>20.09</v>
      </c>
      <c r="D26">
        <v>14.05</v>
      </c>
      <c r="E26">
        <v>25.31</v>
      </c>
      <c r="F26">
        <v>17.100000000000001</v>
      </c>
      <c r="G26">
        <v>14</v>
      </c>
    </row>
    <row r="27" spans="1:7">
      <c r="A27" t="s">
        <v>772</v>
      </c>
      <c r="C27">
        <v>3.58</v>
      </c>
      <c r="D27">
        <v>4.43</v>
      </c>
      <c r="E27">
        <v>4.79</v>
      </c>
      <c r="F27">
        <v>4.6900000000000004</v>
      </c>
      <c r="G27">
        <v>5.61</v>
      </c>
    </row>
    <row r="28" spans="1:7">
      <c r="A28" t="s">
        <v>709</v>
      </c>
      <c r="C28">
        <v>9.7799999999999994</v>
      </c>
      <c r="D28">
        <v>11.22</v>
      </c>
      <c r="E28">
        <v>10.68</v>
      </c>
      <c r="F28">
        <v>12.86</v>
      </c>
      <c r="G28">
        <v>11.33</v>
      </c>
    </row>
    <row r="29" spans="1:7" ht="16">
      <c r="A29" s="242" t="s">
        <v>773</v>
      </c>
      <c r="B29" s="242"/>
      <c r="C29" s="242">
        <f>(C26+C27)/C28</f>
        <v>2.4202453987730066</v>
      </c>
      <c r="D29" s="242">
        <f>(D26+D27)/D28</f>
        <v>1.6470588235294117</v>
      </c>
      <c r="E29" s="242">
        <f>(E26+E27)/E28</f>
        <v>2.8183520599250933</v>
      </c>
      <c r="F29" s="242">
        <f>(F26+F27)/F28</f>
        <v>1.694401244167963</v>
      </c>
      <c r="G29" s="242">
        <f>(G26+G27)/G28</f>
        <v>1.7308031774051191</v>
      </c>
    </row>
    <row r="30" spans="1:7" ht="16">
      <c r="A30" s="242" t="s">
        <v>774</v>
      </c>
      <c r="B30" s="242"/>
      <c r="C30" s="242">
        <f>C26/C28</f>
        <v>2.054192229038855</v>
      </c>
      <c r="D30" s="242">
        <f>D26/D28</f>
        <v>1.2522281639928698</v>
      </c>
      <c r="E30" s="242">
        <f>E26/E28</f>
        <v>2.3698501872659175</v>
      </c>
      <c r="F30" s="242">
        <f>F26/F28</f>
        <v>1.3297045101088649</v>
      </c>
      <c r="G30" s="242">
        <f>G26/G28</f>
        <v>1.235657546337158</v>
      </c>
    </row>
    <row r="32" spans="1:7">
      <c r="A32" t="s">
        <v>775</v>
      </c>
      <c r="C32">
        <f>0.281+13.17</f>
        <v>13.451000000000001</v>
      </c>
      <c r="D32">
        <f>0.561+13.02</f>
        <v>13.581</v>
      </c>
      <c r="E32">
        <f>20.93+0.041</f>
        <v>20.971</v>
      </c>
      <c r="F32">
        <f>0.025+21.53</f>
        <v>21.555</v>
      </c>
      <c r="G32">
        <f>25.9+0.037</f>
        <v>25.936999999999998</v>
      </c>
    </row>
    <row r="33" spans="1:7">
      <c r="A33" t="s">
        <v>776</v>
      </c>
      <c r="C33">
        <v>92.36</v>
      </c>
      <c r="D33">
        <v>91.96</v>
      </c>
      <c r="E33">
        <v>101.46</v>
      </c>
      <c r="F33">
        <v>113.33</v>
      </c>
      <c r="G33">
        <v>123.25</v>
      </c>
    </row>
    <row r="34" spans="1:7" ht="16">
      <c r="A34" s="242" t="s">
        <v>777</v>
      </c>
      <c r="B34" s="242"/>
      <c r="C34" s="242">
        <f>C32/C33</f>
        <v>0.14563663923776526</v>
      </c>
      <c r="D34" s="242">
        <f>D32/D33</f>
        <v>0.14768377555458895</v>
      </c>
      <c r="E34" s="242">
        <f>E32/E33</f>
        <v>0.20669229252907551</v>
      </c>
      <c r="F34" s="242">
        <f>F32/F33</f>
        <v>0.19019677049324979</v>
      </c>
      <c r="G34" s="242">
        <f>G32/G33</f>
        <v>0.21044219066937117</v>
      </c>
    </row>
    <row r="36" spans="1:7">
      <c r="A36" t="s">
        <v>778</v>
      </c>
      <c r="C36">
        <f>52.26+C32</f>
        <v>65.710999999999999</v>
      </c>
      <c r="D36">
        <f>55.87+D32</f>
        <v>69.450999999999993</v>
      </c>
      <c r="E36">
        <f>E32+61.09</f>
        <v>82.061000000000007</v>
      </c>
      <c r="F36">
        <f>66.23+F32</f>
        <v>87.784999999999997</v>
      </c>
      <c r="G36">
        <f>G32+69.02</f>
        <v>94.956999999999994</v>
      </c>
    </row>
    <row r="37" spans="1:7" ht="16">
      <c r="A37" s="242" t="s">
        <v>779</v>
      </c>
      <c r="B37" s="242"/>
      <c r="C37" s="242">
        <f>C32/C36</f>
        <v>0.20469936540305278</v>
      </c>
      <c r="D37" s="242">
        <f>D32/D36</f>
        <v>0.19554794027443811</v>
      </c>
      <c r="E37" s="242">
        <f>E32/E36</f>
        <v>0.2555537953473635</v>
      </c>
      <c r="F37" s="242">
        <f>F32/F36</f>
        <v>0.24554308822691803</v>
      </c>
      <c r="G37" s="242">
        <f>G32/G36</f>
        <v>0.27314468654232971</v>
      </c>
    </row>
    <row r="38" spans="1:7" ht="16">
      <c r="A38" s="242" t="s">
        <v>780</v>
      </c>
      <c r="B38" s="242"/>
      <c r="C38" s="242">
        <f>C32/C39</f>
        <v>0.25738614619211636</v>
      </c>
      <c r="D38" s="242">
        <f>D32/D39</f>
        <v>0.24308215500268482</v>
      </c>
      <c r="E38" s="242">
        <f>E32/E39</f>
        <v>0.34328040595842196</v>
      </c>
      <c r="F38" s="242">
        <f>F32/F39</f>
        <v>0.32545674165785893</v>
      </c>
      <c r="G38" s="242">
        <f>G32/G39</f>
        <v>0.3757896261953057</v>
      </c>
    </row>
    <row r="39" spans="1:7">
      <c r="A39" t="s">
        <v>781</v>
      </c>
      <c r="C39">
        <v>52.26</v>
      </c>
      <c r="D39">
        <v>55.87</v>
      </c>
      <c r="E39">
        <v>61.09</v>
      </c>
      <c r="F39">
        <v>66.23</v>
      </c>
      <c r="G39">
        <v>69.02</v>
      </c>
    </row>
    <row r="40" spans="1:7">
      <c r="A40" t="s">
        <v>200</v>
      </c>
      <c r="C40">
        <v>12.26</v>
      </c>
      <c r="D40">
        <v>15.77</v>
      </c>
      <c r="E40">
        <v>-0.251</v>
      </c>
      <c r="F40">
        <v>13.14</v>
      </c>
      <c r="G40">
        <v>16.579999999999998</v>
      </c>
    </row>
    <row r="41" spans="1:7">
      <c r="A41" t="s">
        <v>712</v>
      </c>
      <c r="C41">
        <v>0.24399999999999999</v>
      </c>
      <c r="D41">
        <v>0.192</v>
      </c>
      <c r="E41">
        <v>0.33700000000000002</v>
      </c>
      <c r="F41">
        <v>0.73299999999999998</v>
      </c>
      <c r="G41">
        <v>0.64600000000000002</v>
      </c>
    </row>
    <row r="42" spans="1:7" ht="16">
      <c r="A42" s="242" t="s">
        <v>782</v>
      </c>
      <c r="B42" s="242"/>
      <c r="C42" s="242">
        <f>C40/C41</f>
        <v>50.245901639344261</v>
      </c>
      <c r="D42" s="242">
        <f>D40/D41</f>
        <v>82.135416666666657</v>
      </c>
      <c r="E42" s="242">
        <f>E40/E41</f>
        <v>-0.74480712166172103</v>
      </c>
      <c r="F42" s="242">
        <f>F40/F41</f>
        <v>17.926330150068214</v>
      </c>
      <c r="G42" s="242">
        <f>G40/G41</f>
        <v>25.665634674922597</v>
      </c>
    </row>
    <row r="44" spans="1:7">
      <c r="A44" t="s">
        <v>783</v>
      </c>
      <c r="C44">
        <v>31.29</v>
      </c>
      <c r="D44">
        <v>35.35</v>
      </c>
      <c r="E44">
        <v>34.700000000000003</v>
      </c>
      <c r="F44">
        <v>35.96</v>
      </c>
      <c r="G44">
        <v>38.96</v>
      </c>
    </row>
    <row r="45" spans="1:7">
      <c r="A45" t="s">
        <v>784</v>
      </c>
      <c r="C45">
        <v>52.71</v>
      </c>
      <c r="D45">
        <v>55.87</v>
      </c>
      <c r="E45">
        <v>55.36</v>
      </c>
      <c r="F45">
        <v>59.39</v>
      </c>
      <c r="G45">
        <v>62.76</v>
      </c>
    </row>
    <row r="46" spans="1:7" ht="16">
      <c r="A46" s="242" t="s">
        <v>785</v>
      </c>
      <c r="B46" s="242"/>
      <c r="C46" s="242">
        <f>C44/C45</f>
        <v>0.59362549800796816</v>
      </c>
      <c r="D46" s="242">
        <f>D44/D45</f>
        <v>0.63271881152675857</v>
      </c>
      <c r="E46" s="242">
        <f>E44/E45</f>
        <v>0.62680635838150289</v>
      </c>
      <c r="F46" s="242">
        <f>F44/F45</f>
        <v>0.60548913958578887</v>
      </c>
      <c r="G46" s="242">
        <f>G44/G45</f>
        <v>0.62077756532823458</v>
      </c>
    </row>
    <row r="47" spans="1:7">
      <c r="A47" t="s">
        <v>786</v>
      </c>
      <c r="C47">
        <v>12.26</v>
      </c>
      <c r="D47">
        <v>15.77</v>
      </c>
      <c r="E47">
        <v>-0.251</v>
      </c>
      <c r="F47">
        <v>13.14</v>
      </c>
      <c r="G47">
        <v>16.579999999999998</v>
      </c>
    </row>
    <row r="48" spans="1:7" ht="16">
      <c r="A48" s="242" t="s">
        <v>745</v>
      </c>
      <c r="B48" s="242"/>
      <c r="C48" s="242">
        <f>C47/C45</f>
        <v>0.23259343578068678</v>
      </c>
      <c r="D48" s="242">
        <f>D47/D45</f>
        <v>0.28226239484517629</v>
      </c>
      <c r="E48" s="242">
        <f>E47/E45</f>
        <v>-4.5339595375722547E-3</v>
      </c>
      <c r="F48" s="242">
        <f>F47/F45</f>
        <v>0.22124936858056912</v>
      </c>
      <c r="G48" s="242">
        <f>G47/G45</f>
        <v>0.26418100701083491</v>
      </c>
    </row>
    <row r="49" spans="1:7">
      <c r="A49" t="s">
        <v>787</v>
      </c>
      <c r="C49">
        <v>9.6199999999999992</v>
      </c>
      <c r="D49">
        <v>11.7</v>
      </c>
      <c r="E49">
        <v>11.42</v>
      </c>
      <c r="F49">
        <v>10.32</v>
      </c>
      <c r="G49">
        <v>9.6</v>
      </c>
    </row>
    <row r="50" spans="1:7" ht="16">
      <c r="A50" s="242" t="s">
        <v>746</v>
      </c>
      <c r="B50" s="242"/>
      <c r="C50" s="242">
        <f>C49/C45</f>
        <v>0.1825080629861506</v>
      </c>
      <c r="D50" s="242">
        <f>D49/D45</f>
        <v>0.20941471272597101</v>
      </c>
      <c r="E50" s="242">
        <f>E49/E45</f>
        <v>0.20628612716763006</v>
      </c>
      <c r="F50" s="242">
        <f>F49/F45</f>
        <v>0.17376662737834653</v>
      </c>
      <c r="G50" s="242">
        <f>G49/G45</f>
        <v>0.15296367112810708</v>
      </c>
    </row>
    <row r="51" spans="1:7">
      <c r="A51" t="s">
        <v>788</v>
      </c>
      <c r="C51">
        <f>C49/C33</f>
        <v>0.10415764400173234</v>
      </c>
      <c r="D51">
        <f>D49/D33</f>
        <v>0.1272292301000435</v>
      </c>
      <c r="E51">
        <f>E49/E33</f>
        <v>0.11255667258032723</v>
      </c>
      <c r="F51">
        <f>F49/F33</f>
        <v>9.1061501808876733E-2</v>
      </c>
      <c r="G51">
        <f>G49/G33</f>
        <v>7.7890466531440161E-2</v>
      </c>
    </row>
    <row r="52" spans="1:7" ht="16">
      <c r="A52" s="242" t="s">
        <v>789</v>
      </c>
      <c r="C52">
        <v>51.203000000000003</v>
      </c>
      <c r="D52">
        <v>58.26</v>
      </c>
      <c r="E52">
        <v>55.87</v>
      </c>
      <c r="F52">
        <v>61.09</v>
      </c>
      <c r="G52">
        <v>66.23</v>
      </c>
    </row>
    <row r="53" spans="1:7">
      <c r="C53">
        <v>58.26</v>
      </c>
      <c r="D53">
        <v>55.87</v>
      </c>
      <c r="E53">
        <v>61.09</v>
      </c>
      <c r="F53">
        <v>66.23</v>
      </c>
      <c r="G53">
        <v>69.02</v>
      </c>
    </row>
    <row r="54" spans="1:7" ht="16">
      <c r="A54" s="242" t="s">
        <v>790</v>
      </c>
      <c r="C54" s="242">
        <f>C49*2/(C52+C53)</f>
        <v>0.17576715419822223</v>
      </c>
      <c r="D54" s="242">
        <f>D49*2/(D52+D53)</f>
        <v>0.20502935249277141</v>
      </c>
      <c r="E54" s="242">
        <f>E49*2/(E52+E53)</f>
        <v>0.19528043775649792</v>
      </c>
      <c r="F54" s="242">
        <f>F49*2/(F52+F53)</f>
        <v>0.16211121583411875</v>
      </c>
      <c r="G54" s="242">
        <f>G49*2/(G52+G53)</f>
        <v>0.14195933456561921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Read me first</vt:lpstr>
      <vt:lpstr>Master Inputs Start here</vt:lpstr>
      <vt:lpstr>Earnings Normalizer</vt:lpstr>
      <vt:lpstr>Cost of capital worksheet</vt:lpstr>
      <vt:lpstr>Valuation Model</vt:lpstr>
      <vt:lpstr>R&amp;D converter</vt:lpstr>
      <vt:lpstr>Operating lease converter</vt:lpstr>
      <vt:lpstr>Option Value</vt:lpstr>
      <vt:lpstr>Ratings estimator</vt:lpstr>
      <vt:lpstr>Industry averages</vt:lpstr>
      <vt:lpstr>Country ERP</vt:lpstr>
      <vt:lpstr>Answers</vt:lpstr>
      <vt:lpstr>12 month training</vt:lpstr>
      <vt:lpstr>revenue analysis by sector</vt:lpstr>
      <vt:lpstr>financial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Yuxin Zhang</cp:lastModifiedBy>
  <cp:lastPrinted>1999-04-05T16:26:46Z</cp:lastPrinted>
  <dcterms:created xsi:type="dcterms:W3CDTF">1999-04-05T16:05:46Z</dcterms:created>
  <dcterms:modified xsi:type="dcterms:W3CDTF">2018-12-19T16:25:37Z</dcterms:modified>
</cp:coreProperties>
</file>