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ackup\4 tax\2016\"/>
    </mc:Choice>
  </mc:AlternateContent>
  <bookViews>
    <workbookView xWindow="0" yWindow="0" windowWidth="15360" windowHeight="4956" tabRatio="840"/>
  </bookViews>
  <sheets>
    <sheet name="自關係企業進貨" sheetId="8" r:id="rId1"/>
    <sheet name="支付美國漢高 for biz transfer" sheetId="6" r:id="rId2"/>
    <sheet name="sales by SBU" sheetId="9" r:id="rId3"/>
    <sheet name="Sheet1" sheetId="10" r:id="rId4"/>
  </sheets>
  <definedNames>
    <definedName name="_xlnm.Print_Area" localSheetId="2">'sales by SBU'!$M$10:$O$30</definedName>
    <definedName name="_xlnm.Print_Area" localSheetId="0">自關係企業進貨!$BG$1:$BY$30</definedName>
    <definedName name="SPWS_WBID">"033DAE04-1279-40FE-B8C9-0EDE67000000"</definedName>
    <definedName name="SPWS_WSID" localSheetId="1" hidden="1">"908F296B-D9DE-4183-CE3F-3F7B00000000"</definedName>
    <definedName name="SPWS_WSID" localSheetId="0" hidden="1">"0B73B1A7-C017-43B8-3FB6-6D1900000000"</definedName>
  </definedNames>
  <calcPr calcId="162913"/>
</workbook>
</file>

<file path=xl/calcChain.xml><?xml version="1.0" encoding="utf-8"?>
<calcChain xmlns="http://schemas.openxmlformats.org/spreadsheetml/2006/main">
  <c r="CQ5" i="8" l="1"/>
  <c r="CS12" i="8" l="1"/>
  <c r="CP12" i="8"/>
  <c r="CN12" i="8"/>
  <c r="CM12" i="8"/>
  <c r="CS11" i="8"/>
  <c r="CN11" i="8"/>
  <c r="CM11" i="8"/>
  <c r="CP8" i="8"/>
  <c r="CL7" i="8"/>
  <c r="CR7" i="8" s="1"/>
  <c r="CP6" i="8"/>
  <c r="CP11" i="8" s="1"/>
  <c r="CO6" i="8"/>
  <c r="CL4" i="8"/>
  <c r="CO11" i="8" l="1"/>
  <c r="CO8" i="8"/>
  <c r="CR4" i="8"/>
  <c r="CQ6" i="8"/>
  <c r="CL5" i="8"/>
  <c r="CR5" i="8" s="1"/>
  <c r="CL6" i="8" l="1"/>
  <c r="CL11" i="8" s="1"/>
  <c r="CO12" i="8"/>
  <c r="CQ8" i="8"/>
  <c r="CQ12" i="8" s="1"/>
  <c r="CQ11" i="8"/>
  <c r="CL8" i="8" l="1"/>
  <c r="CR8" i="8" s="1"/>
  <c r="CR12" i="8" s="1"/>
  <c r="CR6" i="8"/>
  <c r="CR11" i="8" s="1"/>
  <c r="CL12" i="8" l="1"/>
  <c r="C100" i="6"/>
  <c r="C101" i="6" s="1"/>
  <c r="G98" i="6"/>
  <c r="C97" i="6"/>
  <c r="V23" i="9"/>
  <c r="V21" i="9"/>
  <c r="V16" i="9"/>
  <c r="V25" i="9" l="1"/>
  <c r="W24" i="9"/>
  <c r="W23" i="9"/>
  <c r="W22" i="9"/>
  <c r="W21" i="9"/>
  <c r="W20" i="9"/>
  <c r="W19" i="9"/>
  <c r="W18" i="9"/>
  <c r="W17" i="9"/>
  <c r="W16" i="9"/>
  <c r="W15" i="9"/>
  <c r="CG4" i="8" l="1"/>
  <c r="CG6" i="8" s="1"/>
  <c r="CB4" i="8"/>
  <c r="CH4" i="8" s="1"/>
  <c r="CF7" i="8"/>
  <c r="CB7" i="8" s="1"/>
  <c r="CH7" i="8" s="1"/>
  <c r="CF8" i="8"/>
  <c r="CE5" i="8"/>
  <c r="CE6" i="8" s="1"/>
  <c r="CE8" i="8" s="1"/>
  <c r="CF5" i="8"/>
  <c r="CF6" i="8" s="1"/>
  <c r="CF11" i="8" s="1"/>
  <c r="CE7" i="8"/>
  <c r="CI12" i="8"/>
  <c r="CD12" i="8"/>
  <c r="CC12" i="8"/>
  <c r="CI11" i="8"/>
  <c r="CD11" i="8"/>
  <c r="CC11" i="8"/>
  <c r="C91" i="6"/>
  <c r="CE11" i="8" l="1"/>
  <c r="CF12" i="8"/>
  <c r="CG8" i="8"/>
  <c r="CG12" i="8" s="1"/>
  <c r="CE12" i="8"/>
  <c r="CB5" i="8"/>
  <c r="CH5" i="8" s="1"/>
  <c r="CG11" i="8"/>
  <c r="C88" i="6"/>
  <c r="C92" i="6"/>
  <c r="G89" i="6"/>
  <c r="G80" i="6"/>
  <c r="CB8" i="8" l="1"/>
  <c r="CB12" i="8" s="1"/>
  <c r="CB6" i="8"/>
  <c r="R25" i="9"/>
  <c r="S24" i="9"/>
  <c r="S23" i="9"/>
  <c r="S22" i="9"/>
  <c r="S21" i="9"/>
  <c r="S20" i="9"/>
  <c r="S19" i="9"/>
  <c r="S18" i="9"/>
  <c r="S17" i="9"/>
  <c r="S16" i="9"/>
  <c r="S15" i="9"/>
  <c r="CH8" i="8" l="1"/>
  <c r="CB11" i="8"/>
  <c r="CH6" i="8"/>
  <c r="BU4" i="8"/>
  <c r="O24" i="9" l="1"/>
  <c r="N16" i="9"/>
  <c r="N25" i="9" s="1"/>
  <c r="BV7" i="8"/>
  <c r="O23" i="9" l="1"/>
  <c r="O22" i="9"/>
  <c r="O21" i="9"/>
  <c r="O20" i="9"/>
  <c r="O19" i="9"/>
  <c r="O18" i="9"/>
  <c r="O17" i="9"/>
  <c r="O16" i="9"/>
  <c r="O15" i="9"/>
  <c r="C82" i="6"/>
  <c r="C79" i="6" l="1"/>
  <c r="C83" i="6" l="1"/>
  <c r="BU7" i="8" l="1"/>
  <c r="BU6" i="8"/>
  <c r="BU8" i="8" l="1"/>
  <c r="BU5" i="8"/>
  <c r="BW6" i="8"/>
  <c r="BW4" i="8"/>
  <c r="BV8" i="8"/>
  <c r="BV5" i="8"/>
  <c r="BW5" i="8" l="1"/>
  <c r="BW7" i="8"/>
  <c r="BW8" i="8" s="1"/>
  <c r="BR4" i="8"/>
  <c r="BY12" i="8" l="1"/>
  <c r="BX12" i="8"/>
  <c r="BW12" i="8"/>
  <c r="BV12" i="8"/>
  <c r="BU12" i="8"/>
  <c r="BT12" i="8"/>
  <c r="BS12" i="8"/>
  <c r="BY11" i="8"/>
  <c r="BX11" i="8"/>
  <c r="BW11" i="8"/>
  <c r="BV11" i="8"/>
  <c r="BU11" i="8"/>
  <c r="BT11" i="8"/>
  <c r="BS11" i="8"/>
  <c r="BR8" i="8"/>
  <c r="BR12" i="8" s="1"/>
  <c r="BR7" i="8"/>
  <c r="BR5" i="8"/>
  <c r="BR6" i="8" l="1"/>
  <c r="BR11" i="8" s="1"/>
  <c r="BN12" i="8"/>
  <c r="BM12" i="8"/>
  <c r="BL12" i="8"/>
  <c r="BK12" i="8"/>
  <c r="BJ12" i="8"/>
  <c r="BI12" i="8"/>
  <c r="BN11" i="8"/>
  <c r="BM11" i="8"/>
  <c r="BL11" i="8"/>
  <c r="BK11" i="8"/>
  <c r="BJ11" i="8"/>
  <c r="BI11" i="8"/>
  <c r="BH8" i="8"/>
  <c r="BH12" i="8" s="1"/>
  <c r="BH7" i="8"/>
  <c r="BH5" i="8"/>
  <c r="BH6" i="8" s="1"/>
  <c r="BH11" i="8" s="1"/>
  <c r="BH4" i="8"/>
  <c r="BO12" i="8"/>
  <c r="BO11" i="8"/>
  <c r="C74" i="6"/>
  <c r="C73" i="6"/>
  <c r="K23" i="9"/>
  <c r="K22" i="9"/>
  <c r="K20" i="9"/>
  <c r="K19" i="9"/>
  <c r="K18" i="9"/>
  <c r="K17" i="9"/>
  <c r="G23" i="9"/>
  <c r="G22" i="9"/>
  <c r="G21" i="9"/>
  <c r="G20" i="9"/>
  <c r="G19" i="9"/>
  <c r="G18" i="9"/>
  <c r="G17" i="9"/>
  <c r="G16" i="9"/>
  <c r="G15" i="9"/>
  <c r="K15" i="9"/>
  <c r="J21" i="9"/>
  <c r="K21" i="9" s="1"/>
  <c r="J16" i="9"/>
  <c r="K16" i="9" s="1"/>
  <c r="H59" i="6"/>
  <c r="H63" i="6"/>
  <c r="C62" i="6"/>
  <c r="C63" i="6" s="1"/>
  <c r="C60" i="6"/>
  <c r="AX4" i="8"/>
  <c r="BD4" i="8"/>
  <c r="BE6" i="8"/>
  <c r="BE7" i="8"/>
  <c r="BC8" i="8"/>
  <c r="BC7" i="8"/>
  <c r="BB8" i="8"/>
  <c r="BB12" i="8" s="1"/>
  <c r="BB7" i="8"/>
  <c r="AX7" i="8" s="1"/>
  <c r="BD7" i="8" s="1"/>
  <c r="BA8" i="8"/>
  <c r="BA7" i="8"/>
  <c r="BA5" i="8"/>
  <c r="AX5" i="8"/>
  <c r="AX6" i="8" s="1"/>
  <c r="BA6" i="8"/>
  <c r="BA11" i="8"/>
  <c r="BC5" i="8"/>
  <c r="BC6" i="8"/>
  <c r="BC11" i="8" s="1"/>
  <c r="BB6" i="8"/>
  <c r="AZ6" i="8"/>
  <c r="AZ8" i="8" s="1"/>
  <c r="AZ12" i="8" s="1"/>
  <c r="AY6" i="8"/>
  <c r="AY8" i="8" s="1"/>
  <c r="AY12" i="8" s="1"/>
  <c r="AY11" i="8"/>
  <c r="BE12" i="8"/>
  <c r="BC12" i="8"/>
  <c r="BA12" i="8"/>
  <c r="BE11" i="8"/>
  <c r="BB11" i="8"/>
  <c r="AZ11" i="8"/>
  <c r="AU6" i="8"/>
  <c r="AU11" i="8" s="1"/>
  <c r="AU7" i="8"/>
  <c r="AN7" i="8" s="1"/>
  <c r="AT7" i="8" s="1"/>
  <c r="C51" i="6"/>
  <c r="C54" i="6"/>
  <c r="G52" i="6"/>
  <c r="G51" i="6"/>
  <c r="AS7" i="8"/>
  <c r="AS6" i="8"/>
  <c r="AS5" i="8"/>
  <c r="AR7" i="8"/>
  <c r="AR8" i="8" s="1"/>
  <c r="AR12" i="8" s="1"/>
  <c r="AR6" i="8"/>
  <c r="AR4" i="8"/>
  <c r="AR11" i="8" s="1"/>
  <c r="AR5" i="8"/>
  <c r="AQ6" i="8"/>
  <c r="AQ7" i="8"/>
  <c r="AU12" i="8"/>
  <c r="AN4" i="8"/>
  <c r="AO6" i="8"/>
  <c r="AO8" i="8"/>
  <c r="AO12" i="8"/>
  <c r="AP6" i="8"/>
  <c r="AP8" i="8" s="1"/>
  <c r="AP12" i="8" s="1"/>
  <c r="AT4" i="8"/>
  <c r="AQ12" i="8"/>
  <c r="AS11" i="8"/>
  <c r="AQ11" i="8"/>
  <c r="AO11" i="8"/>
  <c r="B23" i="9"/>
  <c r="C21" i="9"/>
  <c r="M8" i="8"/>
  <c r="O8" i="8"/>
  <c r="M7" i="8"/>
  <c r="M6" i="8"/>
  <c r="O6" i="8"/>
  <c r="M5" i="8"/>
  <c r="M4" i="8"/>
  <c r="O4" i="8"/>
  <c r="O7" i="8"/>
  <c r="O5" i="8"/>
  <c r="R7" i="8"/>
  <c r="U7" i="8"/>
  <c r="X7" i="8" s="1"/>
  <c r="R5" i="8"/>
  <c r="X5" i="8" s="1"/>
  <c r="U5" i="8"/>
  <c r="R4" i="8"/>
  <c r="R6" i="8" s="1"/>
  <c r="U4" i="8"/>
  <c r="U6" i="8" s="1"/>
  <c r="S6" i="8"/>
  <c r="S8" i="8" s="1"/>
  <c r="S12" i="8" s="1"/>
  <c r="T6" i="8"/>
  <c r="T8" i="8"/>
  <c r="T12" i="8" s="1"/>
  <c r="V6" i="8"/>
  <c r="V11" i="8"/>
  <c r="V7" i="8"/>
  <c r="V8" i="8"/>
  <c r="V12" i="8" s="1"/>
  <c r="W6" i="8"/>
  <c r="W7" i="8"/>
  <c r="W8" i="8"/>
  <c r="W12" i="8" s="1"/>
  <c r="AF4" i="8"/>
  <c r="AC4" i="8" s="1"/>
  <c r="AI4" i="8" s="1"/>
  <c r="AG4" i="8"/>
  <c r="AG6" i="8" s="1"/>
  <c r="AG5" i="8"/>
  <c r="AH7" i="8"/>
  <c r="AH8" i="8" s="1"/>
  <c r="AH12" i="8" s="1"/>
  <c r="G43" i="6"/>
  <c r="C41" i="6"/>
  <c r="C42" i="6"/>
  <c r="G42" i="6"/>
  <c r="AF5" i="8"/>
  <c r="AC5" i="8" s="1"/>
  <c r="AI5" i="8" s="1"/>
  <c r="AH5" i="8"/>
  <c r="AF7" i="8"/>
  <c r="AJ12" i="8"/>
  <c r="AJ11" i="8"/>
  <c r="AH6" i="8"/>
  <c r="AE6" i="8"/>
  <c r="AE8" i="8"/>
  <c r="AE12" i="8"/>
  <c r="AD6" i="8"/>
  <c r="AD8" i="8"/>
  <c r="AD12" i="8"/>
  <c r="AF6" i="8"/>
  <c r="AF8" i="8" s="1"/>
  <c r="AF12" i="8" s="1"/>
  <c r="C23" i="9"/>
  <c r="C20" i="9"/>
  <c r="C18" i="9"/>
  <c r="C16" i="9"/>
  <c r="C14" i="9"/>
  <c r="AH11" i="8"/>
  <c r="AE11" i="8"/>
  <c r="C32" i="6"/>
  <c r="C35" i="6" s="1"/>
  <c r="C36" i="6" s="1"/>
  <c r="C31" i="6"/>
  <c r="W11" i="8"/>
  <c r="D17" i="8"/>
  <c r="D19" i="8" s="1"/>
  <c r="D20" i="8" s="1"/>
  <c r="C17" i="8"/>
  <c r="C19" i="8"/>
  <c r="C20" i="8"/>
  <c r="C26" i="6"/>
  <c r="C27" i="6"/>
  <c r="C17" i="6"/>
  <c r="C18" i="6"/>
  <c r="C8" i="6"/>
  <c r="C9" i="6" s="1"/>
  <c r="J6" i="8"/>
  <c r="J8" i="8"/>
  <c r="E6" i="8"/>
  <c r="E8" i="8" s="1"/>
  <c r="T11" i="8"/>
  <c r="C44" i="6"/>
  <c r="C45" i="6" s="1"/>
  <c r="AD11" i="8"/>
  <c r="C15" i="9"/>
  <c r="C17" i="9"/>
  <c r="C19" i="9"/>
  <c r="C22" i="9"/>
  <c r="AS8" i="8"/>
  <c r="AS12" i="8"/>
  <c r="R11" i="8" l="1"/>
  <c r="R8" i="8"/>
  <c r="R12" i="8" s="1"/>
  <c r="X6" i="8"/>
  <c r="AG11" i="8"/>
  <c r="U8" i="8"/>
  <c r="U12" i="8" s="1"/>
  <c r="U11" i="8"/>
  <c r="AG7" i="8"/>
  <c r="AC7" i="8" s="1"/>
  <c r="AI7" i="8" s="1"/>
  <c r="S11" i="8"/>
  <c r="BD5" i="8"/>
  <c r="X4" i="8"/>
  <c r="AN5" i="8"/>
  <c r="AN6" i="8" s="1"/>
  <c r="AP11" i="8"/>
  <c r="AX8" i="8"/>
  <c r="AX11" i="8"/>
  <c r="BD6" i="8"/>
  <c r="BD11" i="8" s="1"/>
  <c r="X8" i="8"/>
  <c r="X12" i="8" s="1"/>
  <c r="AC6" i="8"/>
  <c r="AF11" i="8"/>
  <c r="AT5" i="8" l="1"/>
  <c r="X11" i="8"/>
  <c r="AG8" i="8"/>
  <c r="AG12" i="8" s="1"/>
  <c r="AN11" i="8"/>
  <c r="AT6" i="8"/>
  <c r="AT11" i="8" s="1"/>
  <c r="AN8" i="8"/>
  <c r="AC8" i="8"/>
  <c r="AC11" i="8"/>
  <c r="AI6" i="8"/>
  <c r="AI11" i="8" s="1"/>
  <c r="BD8" i="8"/>
  <c r="BD12" i="8" s="1"/>
  <c r="AX12" i="8"/>
  <c r="AC12" i="8" l="1"/>
  <c r="AI8" i="8"/>
  <c r="AI12" i="8" s="1"/>
  <c r="AN12" i="8"/>
  <c r="AT8" i="8"/>
  <c r="AT12" i="8" s="1"/>
  <c r="CH12" i="8"/>
  <c r="CH11" i="8"/>
</calcChain>
</file>

<file path=xl/comments1.xml><?xml version="1.0" encoding="utf-8"?>
<comments xmlns="http://schemas.openxmlformats.org/spreadsheetml/2006/main">
  <authors>
    <author>Allan</author>
    <author>lienj</author>
  </authors>
  <commentList>
    <comment ref="C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分析進貨與支付德國漢高之權利金。</t>
        </r>
      </text>
    </comment>
    <comment ref="D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分析支付給日本之權利金</t>
        </r>
      </text>
    </comment>
    <comment ref="R4" authorId="1" shapeId="0">
      <text>
        <r>
          <rPr>
            <b/>
            <sz val="9"/>
            <color indexed="81"/>
            <rFont val="新細明體"/>
            <family val="1"/>
            <charset val="136"/>
          </rPr>
          <t>lienj:</t>
        </r>
        <r>
          <rPr>
            <sz val="9"/>
            <color indexed="81"/>
            <rFont val="新細明體"/>
            <family val="1"/>
            <charset val="136"/>
          </rPr>
          <t xml:space="preserve">
HAW deduct TG from DahShang
</t>
        </r>
      </text>
    </comment>
    <comment ref="AC4" authorId="1" shapeId="0">
      <text>
        <r>
          <rPr>
            <b/>
            <sz val="9"/>
            <color indexed="81"/>
            <rFont val="新細明體"/>
            <family val="1"/>
            <charset val="136"/>
          </rPr>
          <t>lienj:</t>
        </r>
        <r>
          <rPr>
            <sz val="9"/>
            <color indexed="81"/>
            <rFont val="新細明體"/>
            <family val="1"/>
            <charset val="136"/>
          </rPr>
          <t xml:space="preserve">
HAW deduct TG from DahShang
</t>
        </r>
      </text>
    </comment>
    <comment ref="AN4" authorId="1" shapeId="0">
      <text>
        <r>
          <rPr>
            <b/>
            <sz val="9"/>
            <color indexed="81"/>
            <rFont val="新細明體"/>
            <family val="1"/>
            <charset val="136"/>
          </rPr>
          <t>lienj:</t>
        </r>
        <r>
          <rPr>
            <sz val="9"/>
            <color indexed="81"/>
            <rFont val="新細明體"/>
            <family val="1"/>
            <charset val="136"/>
          </rPr>
          <t xml:space="preserve">
HAW deduct TG from DahShang
</t>
        </r>
      </text>
    </comment>
    <comment ref="AX4" authorId="1" shapeId="0">
      <text>
        <r>
          <rPr>
            <b/>
            <sz val="9"/>
            <color indexed="81"/>
            <rFont val="新細明體"/>
            <family val="1"/>
            <charset val="136"/>
          </rPr>
          <t>lienj:</t>
        </r>
        <r>
          <rPr>
            <sz val="9"/>
            <color indexed="81"/>
            <rFont val="新細明體"/>
            <family val="1"/>
            <charset val="136"/>
          </rPr>
          <t xml:space="preserve">
HAW deduct TG from DahShang
</t>
        </r>
      </text>
    </comment>
    <comment ref="BU4" authorId="1" shapeId="0">
      <text>
        <r>
          <rPr>
            <b/>
            <sz val="9"/>
            <color indexed="81"/>
            <rFont val="Tahoma"/>
            <family val="2"/>
          </rPr>
          <t>lienj:</t>
        </r>
        <r>
          <rPr>
            <sz val="9"/>
            <color indexed="81"/>
            <rFont val="Tahoma"/>
            <family val="2"/>
          </rPr>
          <t xml:space="preserve">
GL801300
kpmg adj 198056
</t>
        </r>
      </text>
    </comment>
    <comment ref="R5" authorId="1" shapeId="0">
      <text>
        <r>
          <rPr>
            <b/>
            <sz val="9"/>
            <color indexed="81"/>
            <rFont val="新細明體"/>
            <family val="1"/>
            <charset val="136"/>
          </rPr>
          <t>lienj:</t>
        </r>
        <r>
          <rPr>
            <sz val="9"/>
            <color indexed="81"/>
            <rFont val="新細明體"/>
            <family val="1"/>
            <charset val="136"/>
          </rPr>
          <t xml:space="preserve">
price diff 5985
</t>
        </r>
      </text>
    </comment>
    <comment ref="B16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含MARK UP, 銷貨運費,壞帳費用,銷貨佣金</t>
        </r>
      </text>
    </comment>
    <comment ref="B18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包括支付德國漢高之權利金</t>
        </r>
      </text>
    </comment>
    <comment ref="F20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From:台灣漢高自關係企業進貨，轉售予客戶（不包括關係企業）所賺得之三年平均營業淨利率。</t>
        </r>
      </text>
    </comment>
    <comment ref="X20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From:台灣漢高自關係企業進貨，轉售予客戶（不包括關係企業）所賺得之三年平均營業淨利率。</t>
        </r>
      </text>
    </comment>
  </commentList>
</comments>
</file>

<file path=xl/comments2.xml><?xml version="1.0" encoding="utf-8"?>
<comments xmlns="http://schemas.openxmlformats.org/spreadsheetml/2006/main">
  <authors>
    <author>Allan</author>
    <author>lienj</author>
  </authors>
  <commentList>
    <comment ref="B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B1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B20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B29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C31" authorId="1" shapeId="0">
      <text>
        <r>
          <rPr>
            <b/>
            <sz val="9"/>
            <color indexed="81"/>
            <rFont val="新細明體"/>
            <family val="1"/>
            <charset val="136"/>
          </rPr>
          <t>lienj:</t>
        </r>
        <r>
          <rPr>
            <sz val="9"/>
            <color indexed="81"/>
            <rFont val="新細明體"/>
            <family val="1"/>
            <charset val="136"/>
          </rPr>
          <t xml:space="preserve">
excluding LCD products</t>
        </r>
      </text>
    </comment>
    <comment ref="B38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C40" authorId="1" shapeId="0">
      <text>
        <r>
          <rPr>
            <b/>
            <sz val="9"/>
            <color indexed="81"/>
            <rFont val="新細明體"/>
            <family val="1"/>
            <charset val="136"/>
          </rPr>
          <t>lienj:</t>
        </r>
        <r>
          <rPr>
            <sz val="9"/>
            <color indexed="81"/>
            <rFont val="新細明體"/>
            <family val="1"/>
            <charset val="136"/>
          </rPr>
          <t xml:space="preserve">
excluding LCD products</t>
        </r>
      </text>
    </comment>
    <comment ref="B47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C49" authorId="1" shapeId="0">
      <text>
        <r>
          <rPr>
            <b/>
            <sz val="9"/>
            <color indexed="81"/>
            <rFont val="新細明體"/>
            <family val="1"/>
            <charset val="136"/>
          </rPr>
          <t>lienj:</t>
        </r>
        <r>
          <rPr>
            <sz val="9"/>
            <color indexed="81"/>
            <rFont val="新細明體"/>
            <family val="1"/>
            <charset val="136"/>
          </rPr>
          <t xml:space="preserve">
excluding LCD products</t>
        </r>
      </text>
    </comment>
    <comment ref="B56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G56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B67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B76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B85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C91" authorId="1" shapeId="0">
      <text>
        <r>
          <rPr>
            <b/>
            <sz val="9"/>
            <color indexed="81"/>
            <rFont val="Tahoma"/>
            <charset val="1"/>
          </rPr>
          <t>lienj:</t>
        </r>
        <r>
          <rPr>
            <sz val="9"/>
            <color indexed="81"/>
            <rFont val="Tahoma"/>
            <charset val="1"/>
          </rPr>
          <t xml:space="preserve">
check MU2 &amp; royalty</t>
        </r>
      </text>
    </comment>
    <comment ref="B94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Allan:</t>
        </r>
        <r>
          <rPr>
            <sz val="9"/>
            <color indexed="81"/>
            <rFont val="新細明體"/>
            <family val="1"/>
            <charset val="136"/>
          </rPr>
          <t xml:space="preserve">
分析給美國之佣金支出</t>
        </r>
      </text>
    </comment>
    <comment ref="C100" authorId="1" shapeId="0">
      <text>
        <r>
          <rPr>
            <b/>
            <sz val="9"/>
            <color indexed="81"/>
            <rFont val="Tahoma"/>
            <charset val="1"/>
          </rPr>
          <t>lienj:</t>
        </r>
        <r>
          <rPr>
            <sz val="9"/>
            <color indexed="81"/>
            <rFont val="Tahoma"/>
            <charset val="1"/>
          </rPr>
          <t xml:space="preserve">
check MU2 &amp; royalty</t>
        </r>
      </text>
    </comment>
  </commentList>
</comments>
</file>

<file path=xl/comments3.xml><?xml version="1.0" encoding="utf-8"?>
<comments xmlns="http://schemas.openxmlformats.org/spreadsheetml/2006/main">
  <authors>
    <author>lienj</author>
  </authors>
  <commentList>
    <comment ref="R23" authorId="0" shapeId="0">
      <text>
        <r>
          <rPr>
            <b/>
            <sz val="9"/>
            <color indexed="81"/>
            <rFont val="Tahoma"/>
            <family val="2"/>
          </rPr>
          <t>lienj:</t>
        </r>
        <r>
          <rPr>
            <sz val="9"/>
            <color indexed="81"/>
            <rFont val="Tahoma"/>
            <family val="2"/>
          </rPr>
          <t xml:space="preserve">
adj accrued L6
59729</t>
        </r>
      </text>
    </comment>
    <comment ref="V23" authorId="0" shapeId="0">
      <text>
        <r>
          <rPr>
            <b/>
            <sz val="9"/>
            <color indexed="81"/>
            <rFont val="Tahoma"/>
            <family val="2"/>
          </rPr>
          <t>lienj:</t>
        </r>
        <r>
          <rPr>
            <sz val="9"/>
            <color indexed="81"/>
            <rFont val="Tahoma"/>
            <family val="2"/>
          </rPr>
          <t xml:space="preserve">
adj accrued L6
59729</t>
        </r>
      </text>
    </comment>
  </commentList>
</comments>
</file>

<file path=xl/sharedStrings.xml><?xml version="1.0" encoding="utf-8"?>
<sst xmlns="http://schemas.openxmlformats.org/spreadsheetml/2006/main" count="412" uniqueCount="154">
  <si>
    <t>AVG</t>
    <phoneticPr fontId="2" type="noConversion"/>
  </si>
  <si>
    <t>營收淨額</t>
    <phoneticPr fontId="2" type="noConversion"/>
  </si>
  <si>
    <t>營業成本</t>
    <phoneticPr fontId="2" type="noConversion"/>
  </si>
  <si>
    <t>營業毛利</t>
    <phoneticPr fontId="2" type="noConversion"/>
  </si>
  <si>
    <t>營業淨利</t>
    <phoneticPr fontId="2" type="noConversion"/>
  </si>
  <si>
    <t>營業淨利率</t>
    <phoneticPr fontId="2" type="noConversion"/>
  </si>
  <si>
    <t>Purchase (NTD:thousand)</t>
    <phoneticPr fontId="2" type="noConversion"/>
  </si>
  <si>
    <t>自關係人</t>
    <phoneticPr fontId="2" type="noConversion"/>
  </si>
  <si>
    <t>自非關係人
(大祥)</t>
    <phoneticPr fontId="2" type="noConversion"/>
  </si>
  <si>
    <t>Total</t>
    <phoneticPr fontId="2" type="noConversion"/>
  </si>
  <si>
    <t>營業成本 **</t>
    <phoneticPr fontId="2" type="noConversion"/>
  </si>
  <si>
    <t>營業費用*</t>
    <phoneticPr fontId="2" type="noConversion"/>
  </si>
  <si>
    <r>
      <t>*</t>
    </r>
    <r>
      <rPr>
        <sz val="12"/>
        <color indexed="10"/>
        <rFont val="細明體"/>
        <family val="3"/>
        <charset val="136"/>
      </rPr>
      <t>自</t>
    </r>
    <r>
      <rPr>
        <b/>
        <sz val="12"/>
        <color indexed="10"/>
        <rFont val="細明體"/>
        <family val="3"/>
        <charset val="136"/>
      </rPr>
      <t>關係人</t>
    </r>
    <r>
      <rPr>
        <sz val="12"/>
        <color indexed="10"/>
        <rFont val="細明體"/>
        <family val="3"/>
        <charset val="136"/>
      </rPr>
      <t>進貨轉售所發生之費用包括「德國漢高之權利金支出」，自</t>
    </r>
    <r>
      <rPr>
        <b/>
        <sz val="12"/>
        <color indexed="10"/>
        <rFont val="細明體"/>
        <family val="3"/>
        <charset val="136"/>
      </rPr>
      <t>非關係人</t>
    </r>
    <r>
      <rPr>
        <sz val="12"/>
        <color indexed="10"/>
        <rFont val="細明體"/>
        <family val="3"/>
        <charset val="136"/>
      </rPr>
      <t>進貨轉售所發生之費用包括「日本漢高之權利金支出」</t>
    </r>
    <phoneticPr fontId="2" type="noConversion"/>
  </si>
  <si>
    <t>commission expense</t>
    <phoneticPr fontId="2" type="noConversion"/>
  </si>
  <si>
    <t>營業費用</t>
    <phoneticPr fontId="2" type="noConversion"/>
  </si>
  <si>
    <t>Note:</t>
    <phoneticPr fontId="2" type="noConversion"/>
  </si>
  <si>
    <t>分析自關係企業進貨轉售財務資訊</t>
    <phoneticPr fontId="2" type="noConversion"/>
  </si>
  <si>
    <t>分析支付美國漢高佣金之財務資訊(NTD: Thousand)</t>
    <phoneticPr fontId="2" type="noConversion"/>
  </si>
  <si>
    <t xml:space="preserve">*Please provide final figures to tie up with the final tax return of Henkel Taiwan for year 2009. </t>
    <phoneticPr fontId="2" type="noConversion"/>
  </si>
  <si>
    <t>自關係人進貨製造、轉售予非關係人</t>
    <phoneticPr fontId="2" type="noConversion"/>
  </si>
  <si>
    <t>自關係人進貨製造、轉售予關係人</t>
    <phoneticPr fontId="2" type="noConversion"/>
  </si>
  <si>
    <t>** 含MARK UP, 銷貨運費,壞帳費用,銷貨佣金,製造成本,進貨成本</t>
    <phoneticPr fontId="2" type="noConversion"/>
  </si>
  <si>
    <t>自關係人進貨(本身未製造)轉售</t>
    <phoneticPr fontId="2" type="noConversion"/>
  </si>
  <si>
    <t>銷售自製品予關係人</t>
    <phoneticPr fontId="2" type="noConversion"/>
  </si>
  <si>
    <t>銷售自製品予非關係人</t>
    <phoneticPr fontId="2" type="noConversion"/>
  </si>
  <si>
    <t>Provided by Claire</t>
    <phoneticPr fontId="2" type="noConversion"/>
  </si>
  <si>
    <t>royalty</t>
    <phoneticPr fontId="2" type="noConversion"/>
  </si>
  <si>
    <t>營業毛利率</t>
    <phoneticPr fontId="2" type="noConversion"/>
  </si>
  <si>
    <t>部門別</t>
    <phoneticPr fontId="2" type="noConversion"/>
  </si>
  <si>
    <t>業務執掌</t>
    <phoneticPr fontId="2" type="noConversion"/>
  </si>
  <si>
    <t>業務部</t>
    <phoneticPr fontId="2" type="noConversion"/>
  </si>
  <si>
    <t>技術部</t>
    <phoneticPr fontId="2" type="noConversion"/>
  </si>
  <si>
    <t>行銷部</t>
    <phoneticPr fontId="2" type="noConversion"/>
  </si>
  <si>
    <t>人事管理部</t>
    <phoneticPr fontId="2" type="noConversion"/>
  </si>
  <si>
    <t>採購部</t>
    <phoneticPr fontId="2" type="noConversion"/>
  </si>
  <si>
    <t>資訊部</t>
    <phoneticPr fontId="2" type="noConversion"/>
  </si>
  <si>
    <t>客戶維護及開發以增加銷售金額及利潤. 服務客戶需求及解決客戶問題, 以提高服務滿意度.</t>
    <phoneticPr fontId="2" type="noConversion"/>
  </si>
  <si>
    <t>進行產品測試改良以提高品質及生產效率或降低成本. 協同業務部門解決客戶技術問題或開發新應用以增加銷售金額.</t>
    <phoneticPr fontId="2" type="noConversion"/>
  </si>
  <si>
    <t>生產部</t>
    <phoneticPr fontId="2" type="noConversion"/>
  </si>
  <si>
    <t>供應鏈部</t>
    <phoneticPr fontId="2" type="noConversion"/>
  </si>
  <si>
    <t>財務部</t>
    <phoneticPr fontId="2" type="noConversion"/>
  </si>
  <si>
    <t>類型</t>
    <phoneticPr fontId="2" type="noConversion"/>
  </si>
  <si>
    <t>佔總收比例</t>
    <phoneticPr fontId="2" type="noConversion"/>
  </si>
  <si>
    <t>營業收入 (台幣千元)</t>
    <phoneticPr fontId="2" type="noConversion"/>
  </si>
  <si>
    <t>市場調查及商情資訊收集. 新產品上市活動或經由舉辦活動廣告參展等拓商商務.</t>
    <phoneticPr fontId="2" type="noConversion"/>
  </si>
  <si>
    <t>原物料及商品之規劃採購, 以滿足業務需求及維持最佳庫存. 客戶訂單處理及服務窗口.</t>
    <phoneticPr fontId="2" type="noConversion"/>
  </si>
  <si>
    <t xml:space="preserve">本地自製品之製造生產 </t>
    <phoneticPr fontId="2" type="noConversion"/>
  </si>
  <si>
    <t>帳務及稅務相關事項之處理. 資金及客戶信用管理. 財務分析與目標管理.</t>
    <phoneticPr fontId="2" type="noConversion"/>
  </si>
  <si>
    <t>員工之招募,訓練,考核,升遷或解僱等人事之管理與處理. 公司一般行政事務之管理.</t>
    <phoneticPr fontId="2" type="noConversion"/>
  </si>
  <si>
    <t>產商之評估篩選 採購採格之議訂及確認</t>
    <phoneticPr fontId="2" type="noConversion"/>
  </si>
  <si>
    <t>電腦硬體及軟體資訊之管理. 公司系統之維護及提供使用者之支援服務.</t>
    <phoneticPr fontId="2" type="noConversion"/>
  </si>
  <si>
    <t>電子應用之黏劑或洗劑</t>
    <phoneticPr fontId="2" type="noConversion"/>
  </si>
  <si>
    <t>汽車應用之黏劑或洗劑</t>
    <phoneticPr fontId="2" type="noConversion"/>
  </si>
  <si>
    <t>鋼鐵應用之黏劑或洗劑</t>
    <phoneticPr fontId="2" type="noConversion"/>
  </si>
  <si>
    <t>航太應用之黏劑或洗劑</t>
    <phoneticPr fontId="2" type="noConversion"/>
  </si>
  <si>
    <t>一般工業之黏劑或洗劑</t>
    <phoneticPr fontId="2" type="noConversion"/>
  </si>
  <si>
    <t>生活用品之黏劑或洗劑</t>
    <phoneticPr fontId="2" type="noConversion"/>
  </si>
  <si>
    <t>出口聯屬公司之銷售</t>
    <phoneticPr fontId="2" type="noConversion"/>
  </si>
  <si>
    <t>其他</t>
    <phoneticPr fontId="2" type="noConversion"/>
  </si>
  <si>
    <t>Total :</t>
    <phoneticPr fontId="2" type="noConversion"/>
  </si>
  <si>
    <t>* figures tie w/ tax report</t>
    <phoneticPr fontId="2" type="noConversion"/>
  </si>
  <si>
    <t>(NTD:thousand)</t>
    <phoneticPr fontId="2" type="noConversion"/>
  </si>
  <si>
    <r>
      <t>◎依進貨類別作</t>
    </r>
    <r>
      <rPr>
        <b/>
        <sz val="11"/>
        <color indexed="10"/>
        <rFont val="Arial"/>
        <family val="2"/>
      </rPr>
      <t>2010</t>
    </r>
    <r>
      <rPr>
        <b/>
        <sz val="11"/>
        <color indexed="10"/>
        <rFont val="新細明體"/>
        <family val="1"/>
        <charset val="136"/>
      </rPr>
      <t>年度營收拆帳</t>
    </r>
    <r>
      <rPr>
        <b/>
        <sz val="11"/>
        <color indexed="10"/>
        <rFont val="Arial"/>
        <family val="2"/>
      </rPr>
      <t xml:space="preserve"> (data provided by Jessie Lien)</t>
    </r>
    <phoneticPr fontId="2" type="noConversion"/>
  </si>
  <si>
    <r>
      <t>自關係人進貨</t>
    </r>
    <r>
      <rPr>
        <sz val="11"/>
        <rFont val="Arial"/>
        <family val="2"/>
      </rPr>
      <t>(</t>
    </r>
    <r>
      <rPr>
        <sz val="11"/>
        <rFont val="細明體"/>
        <family val="3"/>
        <charset val="136"/>
      </rPr>
      <t>本身未製造</t>
    </r>
    <r>
      <rPr>
        <sz val="11"/>
        <rFont val="Arial"/>
        <family val="2"/>
      </rPr>
      <t>)</t>
    </r>
    <r>
      <rPr>
        <sz val="11"/>
        <rFont val="細明體"/>
        <family val="3"/>
        <charset val="136"/>
      </rPr>
      <t>轉售</t>
    </r>
    <phoneticPr fontId="2" type="noConversion"/>
  </si>
  <si>
    <t>營收淨額</t>
    <phoneticPr fontId="2" type="noConversion"/>
  </si>
  <si>
    <r>
      <t>營業成本</t>
    </r>
    <r>
      <rPr>
        <sz val="11"/>
        <rFont val="Arial"/>
        <family val="2"/>
      </rPr>
      <t xml:space="preserve"> **</t>
    </r>
    <phoneticPr fontId="2" type="noConversion"/>
  </si>
  <si>
    <t>營業毛利</t>
    <phoneticPr fontId="2" type="noConversion"/>
  </si>
  <si>
    <r>
      <t>營業費用</t>
    </r>
    <r>
      <rPr>
        <sz val="11"/>
        <rFont val="Arial"/>
        <family val="2"/>
      </rPr>
      <t>*</t>
    </r>
    <phoneticPr fontId="2" type="noConversion"/>
  </si>
  <si>
    <t>營業淨利</t>
    <phoneticPr fontId="2" type="noConversion"/>
  </si>
  <si>
    <t>營業毛利率</t>
    <phoneticPr fontId="2" type="noConversion"/>
  </si>
  <si>
    <t>營業淨利率</t>
    <phoneticPr fontId="2" type="noConversion"/>
  </si>
  <si>
    <r>
      <t xml:space="preserve">** </t>
    </r>
    <r>
      <rPr>
        <sz val="11"/>
        <rFont val="細明體"/>
        <family val="3"/>
        <charset val="136"/>
      </rPr>
      <t>含</t>
    </r>
    <r>
      <rPr>
        <sz val="11"/>
        <rFont val="Arial"/>
        <family val="2"/>
      </rPr>
      <t xml:space="preserve">MARK UP, </t>
    </r>
    <r>
      <rPr>
        <sz val="11"/>
        <rFont val="細明體"/>
        <family val="3"/>
        <charset val="136"/>
      </rPr>
      <t>銷貨運費</t>
    </r>
    <r>
      <rPr>
        <sz val="11"/>
        <rFont val="Arial"/>
        <family val="2"/>
      </rPr>
      <t>,</t>
    </r>
    <r>
      <rPr>
        <sz val="11"/>
        <rFont val="細明體"/>
        <family val="3"/>
        <charset val="136"/>
      </rPr>
      <t>壞帳費用</t>
    </r>
    <r>
      <rPr>
        <sz val="11"/>
        <rFont val="Arial"/>
        <family val="2"/>
      </rPr>
      <t>,</t>
    </r>
    <r>
      <rPr>
        <sz val="11"/>
        <rFont val="細明體"/>
        <family val="3"/>
        <charset val="136"/>
      </rPr>
      <t>銷貨佣金</t>
    </r>
    <r>
      <rPr>
        <sz val="11"/>
        <rFont val="Arial"/>
        <family val="2"/>
      </rPr>
      <t>,</t>
    </r>
    <r>
      <rPr>
        <sz val="11"/>
        <rFont val="細明體"/>
        <family val="3"/>
        <charset val="136"/>
      </rPr>
      <t>製造成本</t>
    </r>
    <r>
      <rPr>
        <sz val="11"/>
        <rFont val="Arial"/>
        <family val="2"/>
      </rPr>
      <t>,</t>
    </r>
    <r>
      <rPr>
        <sz val="11"/>
        <rFont val="細明體"/>
        <family val="3"/>
        <charset val="136"/>
      </rPr>
      <t>進貨成本</t>
    </r>
    <phoneticPr fontId="2" type="noConversion"/>
  </si>
  <si>
    <r>
      <t>*</t>
    </r>
    <r>
      <rPr>
        <sz val="11"/>
        <color indexed="10"/>
        <rFont val="細明體"/>
        <family val="3"/>
        <charset val="136"/>
      </rPr>
      <t>自</t>
    </r>
    <r>
      <rPr>
        <b/>
        <sz val="11"/>
        <color indexed="10"/>
        <rFont val="細明體"/>
        <family val="3"/>
        <charset val="136"/>
      </rPr>
      <t>關係人</t>
    </r>
    <r>
      <rPr>
        <sz val="11"/>
        <color indexed="10"/>
        <rFont val="細明體"/>
        <family val="3"/>
        <charset val="136"/>
      </rPr>
      <t>進貨轉售所發生之費用包括「德國漢高之權利金支出」，自</t>
    </r>
    <r>
      <rPr>
        <b/>
        <sz val="11"/>
        <color indexed="10"/>
        <rFont val="細明體"/>
        <family val="3"/>
        <charset val="136"/>
      </rPr>
      <t>非關係人</t>
    </r>
    <r>
      <rPr>
        <sz val="11"/>
        <color indexed="10"/>
        <rFont val="細明體"/>
        <family val="3"/>
        <charset val="136"/>
      </rPr>
      <t>進貨轉售所發生之費用包括「日本漢高之權利金支出」</t>
    </r>
    <r>
      <rPr>
        <sz val="11"/>
        <color indexed="10"/>
        <rFont val="Arial"/>
        <family val="2"/>
      </rPr>
      <t>(2010</t>
    </r>
    <r>
      <rPr>
        <sz val="11"/>
        <color indexed="10"/>
        <rFont val="細明體"/>
        <family val="3"/>
        <charset val="136"/>
      </rPr>
      <t>年度已無對日本漢高支付權利金</t>
    </r>
    <r>
      <rPr>
        <sz val="11"/>
        <color indexed="10"/>
        <rFont val="Arial"/>
        <family val="2"/>
      </rPr>
      <t>)</t>
    </r>
    <phoneticPr fontId="2" type="noConversion"/>
  </si>
  <si>
    <t xml:space="preserve"> </t>
    <phoneticPr fontId="2" type="noConversion"/>
  </si>
  <si>
    <t>* incl. royalty 105,419</t>
    <phoneticPr fontId="2" type="noConversion"/>
  </si>
  <si>
    <r>
      <t xml:space="preserve">自非關係人
</t>
    </r>
    <r>
      <rPr>
        <sz val="11"/>
        <rFont val="Arial"/>
        <family val="2"/>
      </rPr>
      <t>(</t>
    </r>
    <r>
      <rPr>
        <sz val="11"/>
        <rFont val="細明體"/>
        <family val="3"/>
        <charset val="136"/>
      </rPr>
      <t>大祥</t>
    </r>
    <r>
      <rPr>
        <sz val="11"/>
        <rFont val="Arial"/>
        <family val="2"/>
      </rPr>
      <t xml:space="preserve"> 63319)</t>
    </r>
    <phoneticPr fontId="2" type="noConversion"/>
  </si>
  <si>
    <t>check sales data vs. material accounting view to identify TG/FG</t>
    <phoneticPr fontId="2" type="noConversion"/>
  </si>
  <si>
    <t>data by Jessie Lien</t>
    <phoneticPr fontId="2" type="noConversion"/>
  </si>
  <si>
    <t>tied w/ tax report (per book)</t>
    <phoneticPr fontId="2" type="noConversion"/>
  </si>
  <si>
    <t>tied w/ tax report (per book)</t>
    <phoneticPr fontId="2" type="noConversion"/>
  </si>
  <si>
    <t xml:space="preserve"> </t>
    <phoneticPr fontId="2" type="noConversion"/>
  </si>
  <si>
    <t>2011 Sales</t>
    <phoneticPr fontId="2" type="noConversion"/>
  </si>
  <si>
    <t>化妝品部門之髮類產品</t>
    <phoneticPr fontId="2" type="noConversion"/>
  </si>
  <si>
    <r>
      <t>◎依進貨類別作</t>
    </r>
    <r>
      <rPr>
        <b/>
        <sz val="11"/>
        <color indexed="10"/>
        <rFont val="Arial"/>
        <family val="2"/>
      </rPr>
      <t>2011</t>
    </r>
    <r>
      <rPr>
        <b/>
        <sz val="11"/>
        <color indexed="10"/>
        <rFont val="新細明體"/>
        <family val="1"/>
        <charset val="136"/>
      </rPr>
      <t>年度營收拆帳</t>
    </r>
    <r>
      <rPr>
        <b/>
        <sz val="11"/>
        <color indexed="10"/>
        <rFont val="Arial"/>
        <family val="2"/>
      </rPr>
      <t xml:space="preserve"> (data provided by Jessie Lien)</t>
    </r>
    <phoneticPr fontId="2" type="noConversion"/>
  </si>
  <si>
    <t>* incl. royalty</t>
    <phoneticPr fontId="2" type="noConversion"/>
  </si>
  <si>
    <r>
      <t xml:space="preserve">自非關係人
</t>
    </r>
    <r>
      <rPr>
        <sz val="11"/>
        <rFont val="Arial"/>
        <family val="2"/>
      </rPr>
      <t>(</t>
    </r>
    <r>
      <rPr>
        <sz val="11"/>
        <rFont val="細明體"/>
        <family val="3"/>
        <charset val="136"/>
      </rPr>
      <t>大祥</t>
    </r>
    <r>
      <rPr>
        <sz val="11"/>
        <rFont val="Arial"/>
        <family val="2"/>
      </rPr>
      <t xml:space="preserve"> 63319 &amp; Dajin)</t>
    </r>
    <phoneticPr fontId="2" type="noConversion"/>
  </si>
  <si>
    <r>
      <t>◎依進貨類別作</t>
    </r>
    <r>
      <rPr>
        <b/>
        <sz val="11"/>
        <color indexed="10"/>
        <rFont val="Arial"/>
        <family val="2"/>
      </rPr>
      <t>2012</t>
    </r>
    <r>
      <rPr>
        <b/>
        <sz val="11"/>
        <color indexed="10"/>
        <rFont val="新細明體"/>
        <family val="1"/>
        <charset val="136"/>
      </rPr>
      <t>年度營收拆帳</t>
    </r>
    <r>
      <rPr>
        <b/>
        <sz val="11"/>
        <color indexed="10"/>
        <rFont val="Arial"/>
        <family val="2"/>
      </rPr>
      <t xml:space="preserve"> </t>
    </r>
    <phoneticPr fontId="2" type="noConversion"/>
  </si>
  <si>
    <t>FER</t>
  </si>
  <si>
    <t>HAW</t>
  </si>
  <si>
    <t>ROH</t>
  </si>
  <si>
    <t>#N/A</t>
  </si>
  <si>
    <t>2012 UA Utilise by customer by material .xls</t>
    <phoneticPr fontId="2" type="noConversion"/>
  </si>
  <si>
    <t>Loss in UK business (L3 166,535, L46 -47,655)</t>
    <phoneticPr fontId="2" type="noConversion"/>
  </si>
  <si>
    <t>產品類型</t>
  </si>
  <si>
    <t>占總收比例</t>
  </si>
  <si>
    <t>(新台幣仟元)</t>
  </si>
  <si>
    <t>電子應用之黏劑或洗劑</t>
  </si>
  <si>
    <t>汽車應用之黏劑或洗劑</t>
  </si>
  <si>
    <t>鋼鐵應用之黏劑或洗劑</t>
  </si>
  <si>
    <t>航太應用之黏劑或洗劑</t>
  </si>
  <si>
    <t>一般工業之黏劑或洗劑</t>
  </si>
  <si>
    <t>生活用品之黏劑或洗劑</t>
  </si>
  <si>
    <t>出口聯屬公司之銷售</t>
  </si>
  <si>
    <t>化妝品部門之髮類產品</t>
  </si>
  <si>
    <t>其他</t>
  </si>
  <si>
    <t>總計</t>
  </si>
  <si>
    <t>營業收入</t>
    <phoneticPr fontId="35" type="noConversion"/>
  </si>
  <si>
    <t>分析支付日本漢高biz transfer財務資訊(NTD: Thousand)</t>
    <phoneticPr fontId="2" type="noConversion"/>
  </si>
  <si>
    <t>* from Renee Chao 2013.07.23</t>
    <phoneticPr fontId="2" type="noConversion"/>
  </si>
  <si>
    <t>tied w/ tax report (per book)</t>
    <phoneticPr fontId="2" type="noConversion"/>
  </si>
  <si>
    <r>
      <t>◎依進貨類別作</t>
    </r>
    <r>
      <rPr>
        <b/>
        <sz val="11"/>
        <color indexed="10"/>
        <rFont val="Arial"/>
        <family val="2"/>
      </rPr>
      <t>2013</t>
    </r>
    <r>
      <rPr>
        <b/>
        <sz val="11"/>
        <color indexed="10"/>
        <rFont val="新細明體"/>
        <family val="1"/>
        <charset val="136"/>
      </rPr>
      <t>年度營收拆帳</t>
    </r>
    <r>
      <rPr>
        <b/>
        <sz val="11"/>
        <color indexed="10"/>
        <rFont val="Arial"/>
        <family val="2"/>
      </rPr>
      <t xml:space="preserve"> </t>
    </r>
    <phoneticPr fontId="39" type="noConversion"/>
  </si>
  <si>
    <t>(NTD:thousand)</t>
  </si>
  <si>
    <r>
      <t>自關係人進貨</t>
    </r>
    <r>
      <rPr>
        <sz val="11"/>
        <rFont val="Arial"/>
        <family val="2"/>
      </rPr>
      <t>(</t>
    </r>
    <r>
      <rPr>
        <sz val="11"/>
        <rFont val="細明體"/>
        <family val="3"/>
        <charset val="136"/>
      </rPr>
      <t>本身未製造</t>
    </r>
    <r>
      <rPr>
        <sz val="11"/>
        <rFont val="Arial"/>
        <family val="2"/>
      </rPr>
      <t>)</t>
    </r>
    <r>
      <rPr>
        <sz val="11"/>
        <rFont val="細明體"/>
        <family val="3"/>
        <charset val="136"/>
      </rPr>
      <t>轉售</t>
    </r>
  </si>
  <si>
    <t>自關係人進貨製造、轉售予非關係人</t>
  </si>
  <si>
    <t>自關係人進貨製造、轉售予關係人</t>
  </si>
  <si>
    <t>銷售自製品予關係人</t>
  </si>
  <si>
    <t>銷售自製品予非關係人</t>
  </si>
  <si>
    <r>
      <t xml:space="preserve">自非關係人
</t>
    </r>
    <r>
      <rPr>
        <sz val="11"/>
        <rFont val="Arial"/>
        <family val="2"/>
      </rPr>
      <t>(</t>
    </r>
    <r>
      <rPr>
        <sz val="11"/>
        <rFont val="細明體"/>
        <family val="3"/>
        <charset val="136"/>
      </rPr>
      <t>大祥</t>
    </r>
    <r>
      <rPr>
        <sz val="11"/>
        <rFont val="Arial"/>
        <family val="2"/>
      </rPr>
      <t xml:space="preserve"> 63319 &amp; Dajin)</t>
    </r>
  </si>
  <si>
    <t>Total</t>
  </si>
  <si>
    <t>tied w/ tax report (per book)</t>
  </si>
  <si>
    <t>營收淨額</t>
  </si>
  <si>
    <r>
      <t>營業成本</t>
    </r>
    <r>
      <rPr>
        <sz val="11"/>
        <rFont val="Arial"/>
        <family val="2"/>
      </rPr>
      <t xml:space="preserve"> **</t>
    </r>
  </si>
  <si>
    <t>營業毛利</t>
  </si>
  <si>
    <r>
      <t>營業費用</t>
    </r>
    <r>
      <rPr>
        <sz val="11"/>
        <rFont val="Arial"/>
        <family val="2"/>
      </rPr>
      <t>*</t>
    </r>
  </si>
  <si>
    <t>營業淨利</t>
  </si>
  <si>
    <r>
      <t>*</t>
    </r>
    <r>
      <rPr>
        <sz val="11"/>
        <color indexed="10"/>
        <rFont val="細明體"/>
        <family val="3"/>
        <charset val="136"/>
      </rPr>
      <t>自</t>
    </r>
    <r>
      <rPr>
        <b/>
        <sz val="11"/>
        <color indexed="10"/>
        <rFont val="細明體"/>
        <family val="3"/>
        <charset val="136"/>
      </rPr>
      <t>關係人</t>
    </r>
    <r>
      <rPr>
        <sz val="11"/>
        <color indexed="10"/>
        <rFont val="細明體"/>
        <family val="3"/>
        <charset val="136"/>
      </rPr>
      <t>進貨轉售所發生之費用包括「</t>
    </r>
    <r>
      <rPr>
        <sz val="11"/>
        <color indexed="10"/>
        <rFont val="Arial"/>
        <family val="2"/>
      </rPr>
      <t>HIMISG</t>
    </r>
    <r>
      <rPr>
        <sz val="11"/>
        <color indexed="10"/>
        <rFont val="細明體"/>
        <family val="3"/>
        <charset val="136"/>
      </rPr>
      <t>之權利金支出」，自</t>
    </r>
    <r>
      <rPr>
        <b/>
        <sz val="11"/>
        <color indexed="10"/>
        <rFont val="細明體"/>
        <family val="3"/>
        <charset val="136"/>
      </rPr>
      <t>非關係人</t>
    </r>
    <r>
      <rPr>
        <sz val="11"/>
        <color indexed="10"/>
        <rFont val="細明體"/>
        <family val="3"/>
        <charset val="136"/>
      </rPr>
      <t>進貨轉售所發生之費用包括「日本漢高之權利金支出」</t>
    </r>
    <r>
      <rPr>
        <sz val="11"/>
        <color indexed="10"/>
        <rFont val="Arial"/>
        <family val="2"/>
      </rPr>
      <t>(2010</t>
    </r>
    <r>
      <rPr>
        <sz val="11"/>
        <color indexed="10"/>
        <rFont val="細明體"/>
        <family val="3"/>
        <charset val="136"/>
      </rPr>
      <t>年度已無對日本漢高支付權利金</t>
    </r>
    <r>
      <rPr>
        <sz val="11"/>
        <color indexed="10"/>
        <rFont val="Arial"/>
        <family val="2"/>
      </rPr>
      <t>)</t>
    </r>
    <phoneticPr fontId="2" type="noConversion"/>
  </si>
  <si>
    <t>分析支付美國漢高佣金之財務資訊(NTD: Thousand)</t>
    <phoneticPr fontId="2" type="noConversion"/>
  </si>
  <si>
    <t>營收淨額</t>
    <phoneticPr fontId="2" type="noConversion"/>
  </si>
  <si>
    <t>營業成本</t>
    <phoneticPr fontId="2" type="noConversion"/>
  </si>
  <si>
    <t>營業毛利</t>
    <phoneticPr fontId="2" type="noConversion"/>
  </si>
  <si>
    <t>commission expense</t>
    <phoneticPr fontId="2" type="noConversion"/>
  </si>
  <si>
    <t>營業淨利</t>
    <phoneticPr fontId="2" type="noConversion"/>
  </si>
  <si>
    <t>營業淨利率</t>
    <phoneticPr fontId="2" type="noConversion"/>
  </si>
  <si>
    <t>SIS by mat idh</t>
    <phoneticPr fontId="2" type="noConversion"/>
  </si>
  <si>
    <t xml:space="preserve">  </t>
    <phoneticPr fontId="2" type="noConversion"/>
  </si>
  <si>
    <r>
      <t>◎依進貨類別作</t>
    </r>
    <r>
      <rPr>
        <b/>
        <sz val="11"/>
        <color indexed="10"/>
        <rFont val="Arial"/>
        <family val="2"/>
      </rPr>
      <t>2014</t>
    </r>
    <r>
      <rPr>
        <b/>
        <sz val="11"/>
        <color indexed="10"/>
        <rFont val="新細明體"/>
        <family val="1"/>
        <charset val="136"/>
      </rPr>
      <t>年度營收拆帳</t>
    </r>
    <r>
      <rPr>
        <b/>
        <sz val="11"/>
        <color indexed="10"/>
        <rFont val="Arial"/>
        <family val="2"/>
      </rPr>
      <t xml:space="preserve"> </t>
    </r>
    <phoneticPr fontId="39" type="noConversion"/>
  </si>
  <si>
    <t>from COPA sales -subcontract item</t>
  </si>
  <si>
    <t>IC - AG/AI</t>
  </si>
  <si>
    <t xml:space="preserve">  </t>
  </si>
  <si>
    <t>COPA/FER</t>
  </si>
  <si>
    <t>家庭用品 (洗衣劑殺蟲劑)</t>
  </si>
  <si>
    <t>其他 (service fee to IC)</t>
  </si>
  <si>
    <r>
      <t>◎依進貨類別作</t>
    </r>
    <r>
      <rPr>
        <b/>
        <sz val="11"/>
        <color indexed="10"/>
        <rFont val="Arial"/>
        <family val="2"/>
      </rPr>
      <t>2015</t>
    </r>
    <r>
      <rPr>
        <b/>
        <sz val="11"/>
        <color indexed="10"/>
        <rFont val="新細明體"/>
        <family val="1"/>
        <charset val="136"/>
      </rPr>
      <t>年度營收拆帳</t>
    </r>
    <r>
      <rPr>
        <b/>
        <sz val="11"/>
        <color indexed="10"/>
        <rFont val="Arial"/>
        <family val="2"/>
      </rPr>
      <t xml:space="preserve"> </t>
    </r>
  </si>
  <si>
    <t>2015 per tax</t>
  </si>
  <si>
    <t>AI IC</t>
  </si>
  <si>
    <t>AI</t>
  </si>
  <si>
    <t>2016 tax</t>
  </si>
  <si>
    <t>9665 AI</t>
  </si>
  <si>
    <t>6600 AT</t>
  </si>
  <si>
    <t>6710 AG</t>
  </si>
  <si>
    <t>9095 AE</t>
  </si>
  <si>
    <t>Apple parts</t>
  </si>
  <si>
    <r>
      <t>◎依進貨類別作</t>
    </r>
    <r>
      <rPr>
        <b/>
        <sz val="11"/>
        <color indexed="10"/>
        <rFont val="Arial"/>
        <family val="2"/>
      </rPr>
      <t>2016</t>
    </r>
    <r>
      <rPr>
        <b/>
        <sz val="11"/>
        <color indexed="10"/>
        <rFont val="新細明體"/>
        <family val="1"/>
        <charset val="136"/>
      </rPr>
      <t>年度營收拆帳</t>
    </r>
    <r>
      <rPr>
        <b/>
        <sz val="11"/>
        <color indexed="10"/>
        <rFont val="Arial"/>
        <family val="2"/>
      </rPr>
      <t xml:space="preserve"> </t>
    </r>
  </si>
  <si>
    <t>2016 per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</si>
</sst>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64" formatCode="#,##0_ "/>
    <numFmt numFmtId="165" formatCode="0.0%"/>
    <numFmt numFmtId="166" formatCode="#,##0_ ;[Red]\-#,##0\ "/>
    <numFmt numFmtId="167" formatCode="_-* #,##0_-;\-* #,##0_-;_-* &quot;-&quot;??_-;_-@_-"/>
  </numFmts>
  <fonts count="4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細明體"/>
      <family val="3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2"/>
      <color indexed="10"/>
      <name val="Arial"/>
      <family val="2"/>
    </font>
    <font>
      <sz val="12"/>
      <color indexed="10"/>
      <name val="細明體"/>
      <family val="3"/>
      <charset val="136"/>
    </font>
    <font>
      <b/>
      <sz val="12"/>
      <color indexed="10"/>
      <name val="細明體"/>
      <family val="3"/>
      <charset val="136"/>
    </font>
    <font>
      <b/>
      <sz val="12"/>
      <name val="細明體"/>
      <family val="3"/>
      <charset val="136"/>
    </font>
    <font>
      <b/>
      <i/>
      <sz val="12"/>
      <color indexed="12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9"/>
      <name val="細明體"/>
      <family val="3"/>
      <charset val="136"/>
    </font>
    <font>
      <b/>
      <sz val="12"/>
      <color indexed="9"/>
      <name val="細明體"/>
      <family val="3"/>
      <charset val="136"/>
    </font>
    <font>
      <sz val="12"/>
      <color indexed="23"/>
      <name val="新細明體"/>
      <family val="1"/>
      <charset val="136"/>
    </font>
    <font>
      <b/>
      <sz val="12"/>
      <color indexed="63"/>
      <name val="Arial"/>
      <family val="2"/>
    </font>
    <font>
      <sz val="12"/>
      <color indexed="54"/>
      <name val="Arial"/>
      <family val="2"/>
    </font>
    <font>
      <sz val="12"/>
      <color indexed="54"/>
      <name val="細明體"/>
      <family val="3"/>
      <charset val="136"/>
    </font>
    <font>
      <b/>
      <sz val="12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1"/>
      <color indexed="10"/>
      <name val="新細明體"/>
      <family val="1"/>
      <charset val="136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細明體"/>
      <family val="3"/>
      <charset val="136"/>
    </font>
    <font>
      <sz val="11"/>
      <name val="新細明體"/>
      <family val="1"/>
      <charset val="136"/>
    </font>
    <font>
      <sz val="11"/>
      <color indexed="10"/>
      <name val="Arial"/>
      <family val="2"/>
    </font>
    <font>
      <sz val="11"/>
      <color indexed="10"/>
      <name val="細明體"/>
      <family val="3"/>
      <charset val="136"/>
    </font>
    <font>
      <b/>
      <sz val="11"/>
      <color indexed="10"/>
      <name val="細明體"/>
      <family val="3"/>
      <charset val="136"/>
    </font>
    <font>
      <i/>
      <sz val="11"/>
      <name val="Arial"/>
      <family val="2"/>
    </font>
    <font>
      <sz val="9"/>
      <name val="Arial"/>
      <family val="2"/>
    </font>
    <font>
      <sz val="12"/>
      <color indexed="44"/>
      <name val="Arial"/>
      <family val="2"/>
    </font>
    <font>
      <sz val="9"/>
      <name val="細明體"/>
      <family val="3"/>
      <charset val="136"/>
    </font>
    <font>
      <sz val="10"/>
      <name val="標楷體"/>
      <family val="4"/>
      <charset val="136"/>
    </font>
    <font>
      <sz val="9"/>
      <color indexed="9"/>
      <name val="標楷體"/>
      <family val="4"/>
      <charset val="136"/>
    </font>
    <font>
      <sz val="9"/>
      <name val="標楷體"/>
      <family val="4"/>
      <charset val="136"/>
    </font>
    <font>
      <sz val="9"/>
      <name val="Calibri"/>
      <family val="2"/>
      <charset val="136"/>
      <scheme val="minor"/>
    </font>
    <font>
      <sz val="11"/>
      <color rgb="FFFF0000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8" tint="0.3999755851924192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1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/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2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1" fontId="3" fillId="0" borderId="0" xfId="1" applyFont="1">
      <alignment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1" fontId="3" fillId="0" borderId="0" xfId="1" applyFont="1" applyAlignment="1">
      <alignment horizontal="center" vertical="center"/>
    </xf>
    <xf numFmtId="41" fontId="5" fillId="0" borderId="1" xfId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0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41" fontId="15" fillId="0" borderId="0" xfId="1" applyFont="1" applyFill="1" applyBorder="1" applyAlignment="1">
      <alignment horizontal="center" vertical="center"/>
    </xf>
    <xf numFmtId="41" fontId="15" fillId="0" borderId="0" xfId="1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right" vertical="center"/>
    </xf>
    <xf numFmtId="10" fontId="3" fillId="0" borderId="0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41" fontId="3" fillId="0" borderId="5" xfId="1" applyFont="1" applyFill="1" applyBorder="1" applyAlignment="1">
      <alignment horizontal="center" vertical="center"/>
    </xf>
    <xf numFmtId="41" fontId="3" fillId="0" borderId="6" xfId="1" applyFont="1" applyFill="1" applyBorder="1" applyAlignment="1">
      <alignment horizontal="center" vertical="center"/>
    </xf>
    <xf numFmtId="41" fontId="3" fillId="0" borderId="7" xfId="1" applyFont="1" applyFill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41" fontId="3" fillId="0" borderId="9" xfId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41" fontId="20" fillId="0" borderId="0" xfId="1" applyFont="1" applyFill="1" applyBorder="1" applyAlignment="1">
      <alignment horizontal="center" vertical="center"/>
    </xf>
    <xf numFmtId="41" fontId="19" fillId="0" borderId="0" xfId="1" applyFont="1" applyFill="1" applyBorder="1" applyAlignment="1">
      <alignment horizontal="center" vertical="center"/>
    </xf>
    <xf numFmtId="43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5" fillId="0" borderId="0" xfId="0" applyFont="1">
      <alignment vertical="center"/>
    </xf>
    <xf numFmtId="10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0" fontId="22" fillId="0" borderId="0" xfId="0" applyFo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distributed" vertical="center" wrapText="1"/>
    </xf>
    <xf numFmtId="41" fontId="27" fillId="0" borderId="1" xfId="1" applyFont="1" applyBorder="1" applyAlignment="1">
      <alignment horizontal="center" vertical="center"/>
    </xf>
    <xf numFmtId="41" fontId="25" fillId="0" borderId="1" xfId="1" applyFont="1" applyFill="1" applyBorder="1" applyAlignment="1">
      <alignment horizontal="center" vertical="center"/>
    </xf>
    <xf numFmtId="41" fontId="25" fillId="0" borderId="1" xfId="1" applyFont="1" applyBorder="1" applyAlignment="1">
      <alignment horizontal="center" vertical="center"/>
    </xf>
    <xf numFmtId="41" fontId="25" fillId="0" borderId="0" xfId="1" applyFont="1">
      <alignment vertical="center"/>
    </xf>
    <xf numFmtId="0" fontId="27" fillId="0" borderId="0" xfId="0" applyFont="1">
      <alignment vertical="center"/>
    </xf>
    <xf numFmtId="165" fontId="25" fillId="0" borderId="0" xfId="0" applyNumberFormat="1" applyFont="1">
      <alignment vertical="center"/>
    </xf>
    <xf numFmtId="0" fontId="28" fillId="0" borderId="0" xfId="0" applyFont="1">
      <alignment vertical="center"/>
    </xf>
    <xf numFmtId="0" fontId="25" fillId="0" borderId="0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41" fontId="25" fillId="4" borderId="1" xfId="1" applyFont="1" applyFill="1" applyBorder="1" applyAlignment="1">
      <alignment horizontal="center" vertical="center"/>
    </xf>
    <xf numFmtId="41" fontId="25" fillId="6" borderId="1" xfId="1" applyFont="1" applyFill="1" applyBorder="1" applyAlignment="1">
      <alignment horizontal="center" vertical="center"/>
    </xf>
    <xf numFmtId="41" fontId="2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0" xfId="0" applyFont="1">
      <alignment vertical="center"/>
    </xf>
    <xf numFmtId="0" fontId="24" fillId="0" borderId="0" xfId="0" applyFont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41" fontId="3" fillId="0" borderId="12" xfId="1" applyFont="1" applyFill="1" applyBorder="1" applyAlignment="1">
      <alignment horizontal="center" vertical="center"/>
    </xf>
    <xf numFmtId="164" fontId="2" fillId="0" borderId="0" xfId="0" applyNumberFormat="1" applyFont="1">
      <alignment vertical="center"/>
    </xf>
    <xf numFmtId="0" fontId="26" fillId="5" borderId="1" xfId="0" applyFont="1" applyFill="1" applyBorder="1" applyAlignment="1">
      <alignment horizontal="center" vertical="center"/>
    </xf>
    <xf numFmtId="0" fontId="33" fillId="0" borderId="0" xfId="0" applyNumberFormat="1" applyFont="1">
      <alignment vertical="center"/>
    </xf>
    <xf numFmtId="164" fontId="33" fillId="0" borderId="0" xfId="0" applyNumberFormat="1" applyFont="1">
      <alignment vertical="center"/>
    </xf>
    <xf numFmtId="0" fontId="34" fillId="0" borderId="0" xfId="0" applyFont="1">
      <alignment vertical="center"/>
    </xf>
    <xf numFmtId="0" fontId="34" fillId="0" borderId="0" xfId="0" applyFont="1" applyFill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6" fillId="0" borderId="13" xfId="0" applyFont="1" applyBorder="1" applyAlignment="1">
      <alignment horizontal="center" vertical="top" wrapText="1"/>
    </xf>
    <xf numFmtId="3" fontId="36" fillId="0" borderId="14" xfId="0" applyNumberFormat="1" applyFont="1" applyBorder="1" applyAlignment="1">
      <alignment horizontal="right" vertical="top" wrapText="1"/>
    </xf>
    <xf numFmtId="9" fontId="36" fillId="0" borderId="14" xfId="0" applyNumberFormat="1" applyFont="1" applyBorder="1" applyAlignment="1">
      <alignment horizontal="center" vertical="top" wrapText="1"/>
    </xf>
    <xf numFmtId="0" fontId="38" fillId="0" borderId="13" xfId="0" applyFont="1" applyBorder="1" applyAlignment="1">
      <alignment horizontal="center" vertical="top" wrapText="1"/>
    </xf>
    <xf numFmtId="3" fontId="38" fillId="0" borderId="14" xfId="0" applyNumberFormat="1" applyFont="1" applyBorder="1" applyAlignment="1">
      <alignment horizontal="right" vertical="top" wrapText="1"/>
    </xf>
    <xf numFmtId="10" fontId="38" fillId="0" borderId="14" xfId="0" applyNumberFormat="1" applyFont="1" applyBorder="1" applyAlignment="1">
      <alignment horizontal="center" vertical="top" wrapText="1"/>
    </xf>
    <xf numFmtId="0" fontId="23" fillId="0" borderId="0" xfId="2" applyFont="1">
      <alignment vertical="center"/>
    </xf>
    <xf numFmtId="0" fontId="25" fillId="0" borderId="0" xfId="2" applyFont="1">
      <alignment vertical="center"/>
    </xf>
    <xf numFmtId="0" fontId="26" fillId="5" borderId="1" xfId="2" applyFont="1" applyFill="1" applyBorder="1" applyAlignment="1">
      <alignment horizontal="center" vertical="center"/>
    </xf>
    <xf numFmtId="0" fontId="27" fillId="5" borderId="1" xfId="2" applyFont="1" applyFill="1" applyBorder="1" applyAlignment="1">
      <alignment horizontal="center" vertical="center" wrapText="1"/>
    </xf>
    <xf numFmtId="0" fontId="25" fillId="5" borderId="1" xfId="2" applyFont="1" applyFill="1" applyBorder="1" applyAlignment="1">
      <alignment horizontal="distributed" vertical="center" wrapText="1"/>
    </xf>
    <xf numFmtId="0" fontId="24" fillId="0" borderId="0" xfId="2" applyFont="1" applyAlignment="1">
      <alignment horizontal="center" vertical="center" wrapText="1"/>
    </xf>
    <xf numFmtId="41" fontId="27" fillId="0" borderId="1" xfId="3" applyFont="1" applyBorder="1" applyAlignment="1">
      <alignment horizontal="center" vertical="center"/>
    </xf>
    <xf numFmtId="41" fontId="25" fillId="6" borderId="1" xfId="3" applyFont="1" applyFill="1" applyBorder="1" applyAlignment="1">
      <alignment horizontal="center" vertical="center"/>
    </xf>
    <xf numFmtId="41" fontId="25" fillId="4" borderId="1" xfId="3" applyFont="1" applyFill="1" applyBorder="1" applyAlignment="1">
      <alignment horizontal="center" vertical="center"/>
    </xf>
    <xf numFmtId="41" fontId="25" fillId="0" borderId="1" xfId="3" applyFont="1" applyBorder="1" applyAlignment="1">
      <alignment horizontal="center" vertical="center"/>
    </xf>
    <xf numFmtId="41" fontId="25" fillId="0" borderId="1" xfId="3" applyFont="1" applyFill="1" applyBorder="1" applyAlignment="1">
      <alignment horizontal="center" vertical="center"/>
    </xf>
    <xf numFmtId="41" fontId="25" fillId="0" borderId="0" xfId="3" applyFont="1">
      <alignment vertical="center"/>
    </xf>
    <xf numFmtId="41" fontId="3" fillId="0" borderId="0" xfId="3" applyFont="1">
      <alignment vertical="center"/>
    </xf>
    <xf numFmtId="41" fontId="5" fillId="0" borderId="1" xfId="3" applyFont="1" applyBorder="1" applyAlignment="1">
      <alignment horizontal="center" vertical="center"/>
    </xf>
    <xf numFmtId="41" fontId="5" fillId="0" borderId="1" xfId="3" applyFont="1" applyBorder="1" applyAlignment="1">
      <alignment horizontal="center" vertical="center" wrapText="1"/>
    </xf>
    <xf numFmtId="41" fontId="5" fillId="0" borderId="3" xfId="3" applyFont="1" applyBorder="1" applyAlignment="1">
      <alignment horizontal="center" vertical="center"/>
    </xf>
    <xf numFmtId="0" fontId="38" fillId="0" borderId="35" xfId="0" applyFont="1" applyBorder="1" applyAlignment="1">
      <alignment horizontal="center" vertical="top" wrapText="1"/>
    </xf>
    <xf numFmtId="3" fontId="38" fillId="0" borderId="35" xfId="0" applyNumberFormat="1" applyFont="1" applyBorder="1" applyAlignment="1">
      <alignment horizontal="right" vertical="top" wrapText="1"/>
    </xf>
    <xf numFmtId="10" fontId="38" fillId="0" borderId="35" xfId="0" applyNumberFormat="1" applyFont="1" applyBorder="1" applyAlignment="1">
      <alignment horizontal="center" vertical="top" wrapText="1"/>
    </xf>
    <xf numFmtId="0" fontId="36" fillId="0" borderId="35" xfId="0" applyFont="1" applyBorder="1" applyAlignment="1">
      <alignment horizontal="center" vertical="top" wrapText="1"/>
    </xf>
    <xf numFmtId="3" fontId="36" fillId="0" borderId="35" xfId="0" applyNumberFormat="1" applyFont="1" applyBorder="1" applyAlignment="1">
      <alignment horizontal="right" vertical="top" wrapText="1"/>
    </xf>
    <xf numFmtId="9" fontId="36" fillId="0" borderId="35" xfId="0" applyNumberFormat="1" applyFont="1" applyBorder="1" applyAlignment="1">
      <alignment horizontal="center" vertical="top" wrapText="1"/>
    </xf>
    <xf numFmtId="41" fontId="25" fillId="0" borderId="1" xfId="3" applyFont="1" applyBorder="1">
      <alignment vertical="center"/>
    </xf>
    <xf numFmtId="41" fontId="3" fillId="0" borderId="1" xfId="3" applyFont="1" applyBorder="1">
      <alignment vertical="center"/>
    </xf>
    <xf numFmtId="0" fontId="2" fillId="0" borderId="0" xfId="0" applyFont="1" applyAlignment="1">
      <alignment horizontal="right" vertical="center"/>
    </xf>
    <xf numFmtId="166" fontId="25" fillId="6" borderId="1" xfId="3" applyNumberFormat="1" applyFont="1" applyFill="1" applyBorder="1" applyAlignment="1">
      <alignment horizontal="center" vertical="center"/>
    </xf>
    <xf numFmtId="166" fontId="25" fillId="4" borderId="1" xfId="3" applyNumberFormat="1" applyFont="1" applyFill="1" applyBorder="1" applyAlignment="1">
      <alignment horizontal="center" vertical="center"/>
    </xf>
    <xf numFmtId="166" fontId="25" fillId="0" borderId="1" xfId="3" applyNumberFormat="1" applyFont="1" applyBorder="1" applyAlignment="1">
      <alignment horizontal="center" vertical="center"/>
    </xf>
    <xf numFmtId="166" fontId="25" fillId="0" borderId="1" xfId="3" applyNumberFormat="1" applyFont="1" applyBorder="1">
      <alignment vertical="center"/>
    </xf>
    <xf numFmtId="166" fontId="25" fillId="0" borderId="1" xfId="3" applyNumberFormat="1" applyFont="1" applyFill="1" applyBorder="1" applyAlignment="1">
      <alignment horizontal="center" vertical="center"/>
    </xf>
    <xf numFmtId="166" fontId="3" fillId="0" borderId="1" xfId="3" applyNumberFormat="1" applyFont="1" applyBorder="1">
      <alignment vertical="center"/>
    </xf>
    <xf numFmtId="167" fontId="40" fillId="0" borderId="0" xfId="4" applyNumberFormat="1" applyFont="1" applyAlignment="1">
      <alignment vertical="center"/>
    </xf>
    <xf numFmtId="0" fontId="38" fillId="7" borderId="35" xfId="0" applyFont="1" applyFill="1" applyBorder="1" applyAlignment="1">
      <alignment horizontal="center" vertical="top" wrapText="1"/>
    </xf>
    <xf numFmtId="0" fontId="38" fillId="8" borderId="35" xfId="0" applyFont="1" applyFill="1" applyBorder="1" applyAlignment="1">
      <alignment horizontal="center" vertical="top" wrapText="1"/>
    </xf>
    <xf numFmtId="3" fontId="38" fillId="8" borderId="35" xfId="0" applyNumberFormat="1" applyFont="1" applyFill="1" applyBorder="1" applyAlignment="1">
      <alignment horizontal="right" vertical="top" wrapText="1"/>
    </xf>
    <xf numFmtId="10" fontId="38" fillId="8" borderId="35" xfId="0" applyNumberFormat="1" applyFont="1" applyFill="1" applyBorder="1" applyAlignment="1">
      <alignment horizontal="center" vertical="top" wrapText="1"/>
    </xf>
    <xf numFmtId="0" fontId="38" fillId="8" borderId="13" xfId="0" applyFont="1" applyFill="1" applyBorder="1" applyAlignment="1">
      <alignment horizontal="center" vertical="top" wrapText="1"/>
    </xf>
    <xf numFmtId="3" fontId="38" fillId="8" borderId="14" xfId="0" applyNumberFormat="1" applyFont="1" applyFill="1" applyBorder="1" applyAlignment="1">
      <alignment horizontal="right" vertical="top" wrapText="1"/>
    </xf>
    <xf numFmtId="10" fontId="38" fillId="8" borderId="14" xfId="0" applyNumberFormat="1" applyFont="1" applyFill="1" applyBorder="1" applyAlignment="1">
      <alignment horizontal="center" vertical="top" wrapText="1"/>
    </xf>
    <xf numFmtId="0" fontId="38" fillId="9" borderId="35" xfId="0" applyFont="1" applyFill="1" applyBorder="1" applyAlignment="1">
      <alignment horizontal="center" vertical="top" wrapText="1"/>
    </xf>
    <xf numFmtId="0" fontId="37" fillId="9" borderId="35" xfId="0" applyFont="1" applyFill="1" applyBorder="1" applyAlignment="1">
      <alignment horizontal="center" vertical="top" wrapText="1"/>
    </xf>
    <xf numFmtId="0" fontId="37" fillId="9" borderId="15" xfId="0" applyFont="1" applyFill="1" applyBorder="1" applyAlignment="1">
      <alignment horizontal="center" vertical="top" wrapText="1"/>
    </xf>
    <xf numFmtId="0" fontId="37" fillId="9" borderId="14" xfId="0" applyFont="1" applyFill="1" applyBorder="1" applyAlignment="1">
      <alignment horizontal="center" vertical="top" wrapText="1"/>
    </xf>
    <xf numFmtId="167" fontId="2" fillId="0" borderId="0" xfId="4" applyNumberFormat="1" applyFont="1" applyAlignment="1">
      <alignment vertical="center"/>
    </xf>
    <xf numFmtId="167" fontId="43" fillId="0" borderId="0" xfId="4" applyNumberFormat="1" applyFont="1" applyAlignment="1">
      <alignment vertical="center"/>
    </xf>
    <xf numFmtId="0" fontId="38" fillId="7" borderId="35" xfId="0" applyFont="1" applyFill="1" applyBorder="1" applyAlignment="1">
      <alignment horizontal="center" vertical="top" wrapText="1"/>
    </xf>
    <xf numFmtId="0" fontId="46" fillId="0" borderId="0" xfId="2" applyFont="1" applyAlignment="1">
      <alignment horizontal="center" vertical="center" wrapText="1"/>
    </xf>
    <xf numFmtId="41" fontId="47" fillId="0" borderId="0" xfId="3" applyFont="1">
      <alignment vertical="center"/>
    </xf>
    <xf numFmtId="41" fontId="48" fillId="0" borderId="0" xfId="3" applyFont="1">
      <alignment vertical="center"/>
    </xf>
    <xf numFmtId="0" fontId="38" fillId="0" borderId="35" xfId="0" applyFont="1" applyFill="1" applyBorder="1" applyAlignment="1">
      <alignment horizontal="center" vertical="top" wrapText="1"/>
    </xf>
    <xf numFmtId="3" fontId="38" fillId="0" borderId="35" xfId="0" applyNumberFormat="1" applyFont="1" applyFill="1" applyBorder="1" applyAlignment="1">
      <alignment horizontal="right" vertical="top" wrapText="1"/>
    </xf>
    <xf numFmtId="0" fontId="26" fillId="0" borderId="27" xfId="2" applyFont="1" applyBorder="1" applyAlignment="1">
      <alignment horizontal="center" vertical="center"/>
    </xf>
    <xf numFmtId="0" fontId="26" fillId="0" borderId="25" xfId="2" applyFont="1" applyBorder="1" applyAlignment="1">
      <alignment horizontal="center" vertical="center"/>
    </xf>
    <xf numFmtId="0" fontId="26" fillId="0" borderId="28" xfId="2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41" fontId="3" fillId="0" borderId="1" xfId="3" applyFont="1" applyBorder="1" applyAlignment="1">
      <alignment horizontal="center" vertical="center"/>
    </xf>
    <xf numFmtId="41" fontId="3" fillId="0" borderId="30" xfId="3" applyFont="1" applyBorder="1" applyAlignment="1">
      <alignment horizontal="center" vertical="center"/>
    </xf>
    <xf numFmtId="10" fontId="3" fillId="0" borderId="31" xfId="1" applyNumberFormat="1" applyFont="1" applyBorder="1" applyAlignment="1">
      <alignment horizontal="right" vertical="center"/>
    </xf>
    <xf numFmtId="10" fontId="3" fillId="0" borderId="32" xfId="1" applyNumberFormat="1" applyFont="1" applyBorder="1" applyAlignment="1">
      <alignment horizontal="right" vertical="center"/>
    </xf>
    <xf numFmtId="10" fontId="3" fillId="0" borderId="33" xfId="1" applyNumberFormat="1" applyFont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1" fontId="3" fillId="0" borderId="3" xfId="3" applyFont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4" xfId="0" applyBorder="1">
      <alignment vertical="center"/>
    </xf>
    <xf numFmtId="167" fontId="3" fillId="0" borderId="3" xfId="4" applyNumberFormat="1" applyFont="1" applyBorder="1" applyAlignment="1">
      <alignment horizontal="center" vertical="center"/>
    </xf>
    <xf numFmtId="167" fontId="0" fillId="0" borderId="26" xfId="4" applyNumberFormat="1" applyFont="1" applyBorder="1" applyAlignment="1">
      <alignment vertical="center"/>
    </xf>
    <xf numFmtId="167" fontId="0" fillId="0" borderId="4" xfId="4" applyNumberFormat="1" applyFont="1" applyBorder="1" applyAlignment="1">
      <alignment vertical="center"/>
    </xf>
    <xf numFmtId="41" fontId="3" fillId="0" borderId="1" xfId="1" applyFont="1" applyBorder="1" applyAlignment="1">
      <alignment horizontal="center" vertical="center"/>
    </xf>
    <xf numFmtId="41" fontId="3" fillId="0" borderId="30" xfId="1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14" fillId="0" borderId="0" xfId="1" applyFont="1" applyFill="1" applyBorder="1" applyAlignment="1">
      <alignment horizontal="center" vertical="center"/>
    </xf>
    <xf numFmtId="41" fontId="3" fillId="0" borderId="26" xfId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10" fontId="14" fillId="0" borderId="0" xfId="1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8" fillId="7" borderId="35" xfId="0" applyFont="1" applyFill="1" applyBorder="1" applyAlignment="1">
      <alignment horizontal="center" vertical="top" wrapText="1"/>
    </xf>
    <xf numFmtId="0" fontId="37" fillId="9" borderId="34" xfId="0" applyFont="1" applyFill="1" applyBorder="1" applyAlignment="1">
      <alignment horizontal="center" vertical="top" wrapText="1"/>
    </xf>
    <xf numFmtId="0" fontId="37" fillId="9" borderId="13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8" fillId="9" borderId="35" xfId="0" applyFont="1" applyFill="1" applyBorder="1" applyAlignment="1">
      <alignment horizontal="center" vertical="top" wrapText="1"/>
    </xf>
    <xf numFmtId="0" fontId="37" fillId="9" borderId="35" xfId="0" applyFont="1" applyFill="1" applyBorder="1" applyAlignment="1">
      <alignment horizontal="center" vertical="top" wrapText="1"/>
    </xf>
  </cellXfs>
  <cellStyles count="5">
    <cellStyle name="一般" xfId="0" builtinId="0"/>
    <cellStyle name="一般 2" xfId="2"/>
    <cellStyle name="千分位" xfId="4" builtinId="3"/>
    <cellStyle name="千分位[0]" xfId="1" builtinId="6"/>
    <cellStyle name="千分位[0]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4"/>
    <pageSetUpPr fitToPage="1"/>
  </sheetPr>
  <dimension ref="B1:CS32"/>
  <sheetViews>
    <sheetView tabSelected="1" topLeftCell="CH1" zoomScale="88" workbookViewId="0">
      <selection activeCell="CR12" sqref="CR12"/>
    </sheetView>
  </sheetViews>
  <sheetFormatPr defaultRowHeight="16.2"/>
  <cols>
    <col min="1" max="1" width="3.44140625" customWidth="1"/>
    <col min="2" max="2" width="14.88671875" customWidth="1"/>
    <col min="3" max="3" width="12" customWidth="1"/>
    <col min="4" max="4" width="12.21875" customWidth="1"/>
    <col min="5" max="5" width="11" customWidth="1"/>
    <col min="6" max="6" width="10.44140625" customWidth="1"/>
    <col min="7" max="7" width="17.33203125" customWidth="1"/>
    <col min="8" max="8" width="11.77734375" customWidth="1"/>
    <col min="9" max="9" width="13.6640625" customWidth="1"/>
    <col min="10" max="10" width="11.77734375" customWidth="1"/>
    <col min="11" max="11" width="4.21875" customWidth="1"/>
    <col min="12" max="12" width="17.33203125" customWidth="1"/>
    <col min="13" max="13" width="11.77734375" customWidth="1"/>
    <col min="14" max="14" width="13.6640625" customWidth="1"/>
    <col min="15" max="15" width="11.77734375" customWidth="1"/>
    <col min="16" max="16" width="7.44140625" style="85" customWidth="1"/>
    <col min="17" max="17" width="15.77734375" customWidth="1"/>
    <col min="18" max="18" width="12.33203125" customWidth="1"/>
    <col min="19" max="20" width="14.21875" customWidth="1"/>
    <col min="21" max="23" width="13.33203125" customWidth="1"/>
    <col min="24" max="24" width="15" customWidth="1"/>
    <col min="25" max="25" width="10.6640625" customWidth="1"/>
    <col min="27" max="27" width="3.77734375" customWidth="1"/>
    <col min="28" max="28" width="16.21875" style="65" customWidth="1"/>
    <col min="29" max="35" width="12.6640625" style="65" customWidth="1"/>
    <col min="36" max="36" width="12.21875" style="65" customWidth="1"/>
    <col min="37" max="37" width="10.109375" customWidth="1"/>
    <col min="38" max="38" width="3.6640625" customWidth="1"/>
    <col min="39" max="39" width="16.21875" style="65" customWidth="1"/>
    <col min="40" max="46" width="12.6640625" style="65" customWidth="1"/>
    <col min="47" max="47" width="12.21875" style="65" customWidth="1"/>
    <col min="48" max="48" width="14" bestFit="1" customWidth="1"/>
    <col min="49" max="49" width="16.21875" customWidth="1"/>
    <col min="50" max="50" width="12.109375" bestFit="1" customWidth="1"/>
    <col min="53" max="55" width="10.33203125" bestFit="1" customWidth="1"/>
    <col min="56" max="56" width="12.33203125" customWidth="1"/>
    <col min="57" max="57" width="12" customWidth="1"/>
    <col min="58" max="58" width="4.88671875" customWidth="1"/>
    <col min="59" max="59" width="14.77734375" customWidth="1"/>
    <col min="60" max="60" width="10.44140625" customWidth="1"/>
    <col min="63" max="65" width="10.33203125" bestFit="1" customWidth="1"/>
    <col min="66" max="66" width="13.33203125" customWidth="1"/>
    <col min="67" max="67" width="15.44140625" customWidth="1"/>
    <col min="68" max="68" width="5.5546875" customWidth="1"/>
    <col min="69" max="69" width="14.77734375" customWidth="1"/>
    <col min="70" max="70" width="11.21875" customWidth="1"/>
    <col min="73" max="75" width="10.33203125" bestFit="1" customWidth="1"/>
    <col min="76" max="76" width="13.33203125" customWidth="1"/>
    <col min="77" max="77" width="15.44140625" customWidth="1"/>
    <col min="78" max="78" width="6.44140625" customWidth="1"/>
    <col min="79" max="79" width="14.77734375" customWidth="1"/>
    <col min="80" max="80" width="11.21875" customWidth="1"/>
    <col min="83" max="85" width="10.33203125" bestFit="1" customWidth="1"/>
    <col min="86" max="86" width="13.33203125" customWidth="1"/>
    <col min="87" max="87" width="13.6640625" customWidth="1"/>
    <col min="88" max="88" width="5.21875" customWidth="1"/>
    <col min="89" max="89" width="14.77734375" customWidth="1"/>
    <col min="90" max="90" width="11.21875" customWidth="1"/>
    <col min="93" max="94" width="10.33203125" bestFit="1" customWidth="1"/>
    <col min="95" max="95" width="11.77734375" bestFit="1" customWidth="1"/>
    <col min="96" max="96" width="13.33203125" customWidth="1"/>
    <col min="97" max="97" width="13.6640625" customWidth="1"/>
  </cols>
  <sheetData>
    <row r="1" spans="2:97" ht="27" customHeight="1">
      <c r="B1" s="45" t="s">
        <v>25</v>
      </c>
      <c r="C1" s="45"/>
      <c r="D1" s="45"/>
      <c r="E1" s="45"/>
      <c r="AB1" s="64" t="s">
        <v>62</v>
      </c>
      <c r="AM1" s="64" t="s">
        <v>83</v>
      </c>
      <c r="AW1" s="64" t="s">
        <v>86</v>
      </c>
      <c r="AX1" s="65"/>
      <c r="AY1" s="65"/>
      <c r="AZ1" s="65"/>
      <c r="BA1" s="65"/>
      <c r="BB1" s="65"/>
      <c r="BC1" s="65"/>
      <c r="BD1" s="65"/>
      <c r="BE1" s="65"/>
      <c r="BG1" s="103" t="s">
        <v>110</v>
      </c>
      <c r="BH1" s="104"/>
      <c r="BI1" s="104"/>
      <c r="BJ1" s="104"/>
      <c r="BK1" s="104"/>
      <c r="BL1" s="104"/>
      <c r="BM1" s="104"/>
      <c r="BN1" s="104"/>
      <c r="BO1" s="104"/>
      <c r="BQ1" s="103" t="s">
        <v>135</v>
      </c>
      <c r="BR1" s="104"/>
      <c r="BS1" s="104"/>
      <c r="BT1" s="104"/>
      <c r="BU1" s="104"/>
      <c r="BV1" s="104"/>
      <c r="BW1" s="104"/>
      <c r="BX1" s="104"/>
      <c r="BY1" s="104"/>
      <c r="CA1" s="103" t="s">
        <v>142</v>
      </c>
      <c r="CB1" s="104"/>
      <c r="CC1" s="104"/>
      <c r="CD1" s="104"/>
      <c r="CE1" s="104"/>
      <c r="CF1" s="104"/>
      <c r="CG1" s="104"/>
      <c r="CH1" s="104"/>
      <c r="CI1" s="104"/>
      <c r="CK1" s="103" t="s">
        <v>152</v>
      </c>
      <c r="CL1" s="104"/>
      <c r="CM1" s="104"/>
      <c r="CN1" s="104"/>
      <c r="CO1" s="104"/>
      <c r="CP1" s="104"/>
      <c r="CQ1" s="104"/>
      <c r="CR1" s="104"/>
      <c r="CS1" s="104"/>
    </row>
    <row r="2" spans="2:97" s="2" customFormat="1" thickBot="1">
      <c r="B2" s="166" t="s">
        <v>6</v>
      </c>
      <c r="C2" s="166"/>
      <c r="D2" s="166"/>
      <c r="E2" s="166"/>
      <c r="F2" s="167"/>
      <c r="G2" s="168" t="s">
        <v>6</v>
      </c>
      <c r="H2" s="169"/>
      <c r="I2" s="170"/>
      <c r="J2" s="171"/>
      <c r="K2" s="180"/>
      <c r="L2" s="168" t="s">
        <v>6</v>
      </c>
      <c r="M2" s="169"/>
      <c r="N2" s="170"/>
      <c r="O2" s="171"/>
      <c r="P2" s="86"/>
      <c r="Q2" s="168" t="s">
        <v>6</v>
      </c>
      <c r="R2" s="169"/>
      <c r="S2" s="169"/>
      <c r="T2" s="169"/>
      <c r="U2" s="169"/>
      <c r="V2" s="169"/>
      <c r="W2" s="169"/>
      <c r="X2" s="177"/>
      <c r="AB2" s="172" t="s">
        <v>61</v>
      </c>
      <c r="AC2" s="173"/>
      <c r="AD2" s="173"/>
      <c r="AE2" s="173"/>
      <c r="AF2" s="173"/>
      <c r="AG2" s="173"/>
      <c r="AH2" s="173"/>
      <c r="AI2" s="174"/>
      <c r="AJ2" s="65"/>
      <c r="AM2" s="172" t="s">
        <v>61</v>
      </c>
      <c r="AN2" s="173"/>
      <c r="AO2" s="173"/>
      <c r="AP2" s="173"/>
      <c r="AQ2" s="173"/>
      <c r="AR2" s="173"/>
      <c r="AS2" s="173"/>
      <c r="AT2" s="174"/>
      <c r="AU2" s="65"/>
      <c r="AW2" s="172" t="s">
        <v>61</v>
      </c>
      <c r="AX2" s="173"/>
      <c r="AY2" s="173"/>
      <c r="AZ2" s="173"/>
      <c r="BA2" s="173"/>
      <c r="BB2" s="173"/>
      <c r="BC2" s="173"/>
      <c r="BD2" s="174"/>
      <c r="BE2" s="65"/>
      <c r="BG2" s="154" t="s">
        <v>111</v>
      </c>
      <c r="BH2" s="155"/>
      <c r="BI2" s="155"/>
      <c r="BJ2" s="155"/>
      <c r="BK2" s="155"/>
      <c r="BL2" s="155"/>
      <c r="BM2" s="155"/>
      <c r="BN2" s="156"/>
      <c r="BO2" s="104"/>
      <c r="BQ2" s="154" t="s">
        <v>111</v>
      </c>
      <c r="BR2" s="155"/>
      <c r="BS2" s="155"/>
      <c r="BT2" s="155"/>
      <c r="BU2" s="155"/>
      <c r="BV2" s="155"/>
      <c r="BW2" s="155"/>
      <c r="BX2" s="156"/>
      <c r="BY2" s="104"/>
      <c r="CA2" s="154" t="s">
        <v>111</v>
      </c>
      <c r="CB2" s="155"/>
      <c r="CC2" s="155"/>
      <c r="CD2" s="155"/>
      <c r="CE2" s="155"/>
      <c r="CF2" s="155"/>
      <c r="CG2" s="155"/>
      <c r="CH2" s="156"/>
      <c r="CI2" s="104"/>
      <c r="CK2" s="154" t="s">
        <v>111</v>
      </c>
      <c r="CL2" s="155"/>
      <c r="CM2" s="155"/>
      <c r="CN2" s="155"/>
      <c r="CO2" s="155"/>
      <c r="CP2" s="155"/>
      <c r="CQ2" s="155"/>
      <c r="CR2" s="156"/>
      <c r="CS2" s="104"/>
    </row>
    <row r="3" spans="2:97" s="2" customFormat="1" ht="80.25" customHeight="1">
      <c r="B3" s="46">
        <v>2006</v>
      </c>
      <c r="C3" s="47" t="s">
        <v>7</v>
      </c>
      <c r="D3" s="48" t="s">
        <v>8</v>
      </c>
      <c r="E3" s="46" t="s">
        <v>9</v>
      </c>
      <c r="F3" s="167"/>
      <c r="G3" s="19">
        <v>2007</v>
      </c>
      <c r="H3" s="33" t="s">
        <v>22</v>
      </c>
      <c r="I3" s="22" t="s">
        <v>8</v>
      </c>
      <c r="J3" s="23" t="s">
        <v>9</v>
      </c>
      <c r="K3" s="180"/>
      <c r="L3" s="19">
        <v>2008</v>
      </c>
      <c r="M3" s="33" t="s">
        <v>22</v>
      </c>
      <c r="N3" s="22" t="s">
        <v>8</v>
      </c>
      <c r="O3" s="84" t="s">
        <v>79</v>
      </c>
      <c r="P3" s="87"/>
      <c r="Q3" s="34">
        <v>2009</v>
      </c>
      <c r="R3" s="43" t="s">
        <v>22</v>
      </c>
      <c r="S3" s="44" t="s">
        <v>19</v>
      </c>
      <c r="T3" s="44" t="s">
        <v>20</v>
      </c>
      <c r="U3" s="44" t="s">
        <v>23</v>
      </c>
      <c r="V3" s="44" t="s">
        <v>24</v>
      </c>
      <c r="W3" s="44" t="s">
        <v>8</v>
      </c>
      <c r="X3" s="84" t="s">
        <v>79</v>
      </c>
      <c r="AB3" s="66">
        <v>2010</v>
      </c>
      <c r="AC3" s="67" t="s">
        <v>63</v>
      </c>
      <c r="AD3" s="67" t="s">
        <v>19</v>
      </c>
      <c r="AE3" s="67" t="s">
        <v>20</v>
      </c>
      <c r="AF3" s="67" t="s">
        <v>23</v>
      </c>
      <c r="AG3" s="67" t="s">
        <v>24</v>
      </c>
      <c r="AH3" s="67" t="s">
        <v>75</v>
      </c>
      <c r="AI3" s="68" t="s">
        <v>9</v>
      </c>
      <c r="AJ3" s="83" t="s">
        <v>78</v>
      </c>
      <c r="AM3" s="90">
        <v>2011</v>
      </c>
      <c r="AN3" s="67" t="s">
        <v>63</v>
      </c>
      <c r="AO3" s="67" t="s">
        <v>19</v>
      </c>
      <c r="AP3" s="67" t="s">
        <v>20</v>
      </c>
      <c r="AQ3" s="67" t="s">
        <v>23</v>
      </c>
      <c r="AR3" s="67" t="s">
        <v>24</v>
      </c>
      <c r="AS3" s="67" t="s">
        <v>85</v>
      </c>
      <c r="AT3" s="68" t="s">
        <v>9</v>
      </c>
      <c r="AU3" s="83" t="s">
        <v>78</v>
      </c>
      <c r="AW3" s="90">
        <v>2012</v>
      </c>
      <c r="AX3" s="67" t="s">
        <v>63</v>
      </c>
      <c r="AY3" s="67" t="s">
        <v>19</v>
      </c>
      <c r="AZ3" s="67" t="s">
        <v>20</v>
      </c>
      <c r="BA3" s="67" t="s">
        <v>23</v>
      </c>
      <c r="BB3" s="67" t="s">
        <v>24</v>
      </c>
      <c r="BC3" s="67" t="s">
        <v>85</v>
      </c>
      <c r="BD3" s="68" t="s">
        <v>9</v>
      </c>
      <c r="BE3" s="83" t="s">
        <v>109</v>
      </c>
      <c r="BG3" s="105">
        <v>2013</v>
      </c>
      <c r="BH3" s="106" t="s">
        <v>112</v>
      </c>
      <c r="BI3" s="106" t="s">
        <v>113</v>
      </c>
      <c r="BJ3" s="106" t="s">
        <v>114</v>
      </c>
      <c r="BK3" s="106" t="s">
        <v>115</v>
      </c>
      <c r="BL3" s="106" t="s">
        <v>116</v>
      </c>
      <c r="BM3" s="106" t="s">
        <v>117</v>
      </c>
      <c r="BN3" s="107" t="s">
        <v>118</v>
      </c>
      <c r="BO3" s="108" t="s">
        <v>119</v>
      </c>
      <c r="BQ3" s="105">
        <v>2014</v>
      </c>
      <c r="BR3" s="106" t="s">
        <v>112</v>
      </c>
      <c r="BS3" s="106" t="s">
        <v>113</v>
      </c>
      <c r="BT3" s="106" t="s">
        <v>114</v>
      </c>
      <c r="BU3" s="106" t="s">
        <v>115</v>
      </c>
      <c r="BV3" s="106" t="s">
        <v>116</v>
      </c>
      <c r="BW3" s="106" t="s">
        <v>117</v>
      </c>
      <c r="BX3" s="107" t="s">
        <v>118</v>
      </c>
      <c r="BY3" s="108" t="s">
        <v>138</v>
      </c>
      <c r="CA3" s="105">
        <v>2015</v>
      </c>
      <c r="CB3" s="106" t="s">
        <v>112</v>
      </c>
      <c r="CC3" s="106" t="s">
        <v>113</v>
      </c>
      <c r="CD3" s="106" t="s">
        <v>114</v>
      </c>
      <c r="CE3" s="106" t="s">
        <v>115</v>
      </c>
      <c r="CF3" s="106" t="s">
        <v>116</v>
      </c>
      <c r="CG3" s="106" t="s">
        <v>117</v>
      </c>
      <c r="CH3" s="107" t="s">
        <v>118</v>
      </c>
      <c r="CI3" s="149" t="s">
        <v>143</v>
      </c>
      <c r="CK3" s="105">
        <v>2016</v>
      </c>
      <c r="CL3" s="106" t="s">
        <v>112</v>
      </c>
      <c r="CM3" s="106" t="s">
        <v>113</v>
      </c>
      <c r="CN3" s="106" t="s">
        <v>114</v>
      </c>
      <c r="CO3" s="106" t="s">
        <v>115</v>
      </c>
      <c r="CP3" s="106" t="s">
        <v>116</v>
      </c>
      <c r="CQ3" s="106" t="s">
        <v>117</v>
      </c>
      <c r="CR3" s="107" t="s">
        <v>118</v>
      </c>
      <c r="CS3" s="149" t="s">
        <v>153</v>
      </c>
    </row>
    <row r="4" spans="2:97" s="7" customFormat="1">
      <c r="B4" s="49" t="s">
        <v>1</v>
      </c>
      <c r="C4" s="50">
        <v>750994</v>
      </c>
      <c r="D4" s="50">
        <v>144805</v>
      </c>
      <c r="E4" s="50">
        <v>895799</v>
      </c>
      <c r="F4" s="167"/>
      <c r="G4" s="21" t="s">
        <v>1</v>
      </c>
      <c r="H4" s="24">
        <v>744401</v>
      </c>
      <c r="I4" s="20">
        <v>136295</v>
      </c>
      <c r="J4" s="24">
        <v>880696</v>
      </c>
      <c r="K4" s="180"/>
      <c r="L4" s="21" t="s">
        <v>1</v>
      </c>
      <c r="M4" s="24">
        <f>694288+35412</f>
        <v>729700</v>
      </c>
      <c r="N4" s="20">
        <v>130026</v>
      </c>
      <c r="O4" s="24">
        <f>M4+N4</f>
        <v>859726</v>
      </c>
      <c r="P4" s="88"/>
      <c r="Q4" s="21" t="s">
        <v>1</v>
      </c>
      <c r="R4" s="38">
        <f>668560-115446+23063</f>
        <v>576177</v>
      </c>
      <c r="S4" s="20">
        <v>0</v>
      </c>
      <c r="T4" s="20">
        <v>0</v>
      </c>
      <c r="U4" s="20">
        <f>193348-123557</f>
        <v>69791</v>
      </c>
      <c r="V4" s="20">
        <v>304585</v>
      </c>
      <c r="W4" s="20">
        <v>115446</v>
      </c>
      <c r="X4" s="39">
        <f>SUM(R4:W4)</f>
        <v>1065999</v>
      </c>
      <c r="AB4" s="69" t="s">
        <v>64</v>
      </c>
      <c r="AC4" s="79">
        <f>AJ4-SUM(AF4:AH4)</f>
        <v>879255</v>
      </c>
      <c r="AD4" s="78"/>
      <c r="AE4" s="78"/>
      <c r="AF4" s="71">
        <f>219522+14550</f>
        <v>234072</v>
      </c>
      <c r="AG4" s="79">
        <f>605816</f>
        <v>605816</v>
      </c>
      <c r="AH4" s="79">
        <v>114338</v>
      </c>
      <c r="AI4" s="70">
        <f>SUM(AC4:AH4)</f>
        <v>1833481</v>
      </c>
      <c r="AJ4" s="72">
        <v>1833481</v>
      </c>
      <c r="AM4" s="69" t="s">
        <v>64</v>
      </c>
      <c r="AN4" s="79">
        <f>AU4-SUM(AQ4:AS4)</f>
        <v>717147</v>
      </c>
      <c r="AO4" s="78"/>
      <c r="AP4" s="78"/>
      <c r="AQ4" s="71">
        <v>267768</v>
      </c>
      <c r="AR4" s="79">
        <f>884513-267768</f>
        <v>616745</v>
      </c>
      <c r="AS4" s="79">
        <v>223613</v>
      </c>
      <c r="AT4" s="70">
        <f>SUM(AN4:AS4)</f>
        <v>1825273</v>
      </c>
      <c r="AU4" s="72">
        <v>1825273</v>
      </c>
      <c r="AW4" s="69" t="s">
        <v>64</v>
      </c>
      <c r="AX4" s="79">
        <f>BE4-SUM(BA4:BC4)</f>
        <v>1038981</v>
      </c>
      <c r="AY4" s="78"/>
      <c r="AZ4" s="78"/>
      <c r="BA4" s="71">
        <v>232043</v>
      </c>
      <c r="BB4" s="79">
        <v>580420</v>
      </c>
      <c r="BC4" s="79">
        <v>165873</v>
      </c>
      <c r="BD4" s="70">
        <f>SUM(AX4:BC4)</f>
        <v>2017317</v>
      </c>
      <c r="BE4" s="72">
        <v>2017317</v>
      </c>
      <c r="BG4" s="109" t="s">
        <v>120</v>
      </c>
      <c r="BH4" s="110">
        <f>BO4-SUM(BK4:BM4)</f>
        <v>956163</v>
      </c>
      <c r="BI4" s="111"/>
      <c r="BJ4" s="111"/>
      <c r="BK4" s="112">
        <v>371054</v>
      </c>
      <c r="BL4" s="110">
        <v>477800</v>
      </c>
      <c r="BM4" s="110">
        <v>231729</v>
      </c>
      <c r="BN4" s="125">
        <v>2036746</v>
      </c>
      <c r="BO4" s="114">
        <v>2036746</v>
      </c>
      <c r="BQ4" s="109" t="s">
        <v>120</v>
      </c>
      <c r="BR4" s="128">
        <f>BY4-SUM(BU4:BW4)</f>
        <v>1480319</v>
      </c>
      <c r="BS4" s="129"/>
      <c r="BT4" s="129"/>
      <c r="BU4" s="130">
        <f>635085-198056</f>
        <v>437029</v>
      </c>
      <c r="BV4" s="128">
        <v>563941</v>
      </c>
      <c r="BW4" s="128">
        <f>177198</f>
        <v>177198</v>
      </c>
      <c r="BX4" s="131">
        <v>2658487</v>
      </c>
      <c r="BY4" s="114">
        <v>2658487</v>
      </c>
      <c r="CA4" s="109" t="s">
        <v>120</v>
      </c>
      <c r="CB4" s="128">
        <f>CI4-SUM(CE4:CG4)</f>
        <v>1602365</v>
      </c>
      <c r="CC4" s="129"/>
      <c r="CD4" s="129"/>
      <c r="CE4" s="130">
        <v>196862</v>
      </c>
      <c r="CF4" s="128">
        <v>596790</v>
      </c>
      <c r="CG4" s="128">
        <f>88471+93914</f>
        <v>182385</v>
      </c>
      <c r="CH4" s="131">
        <f>SUM(CB4:CG4)</f>
        <v>2578402</v>
      </c>
      <c r="CI4" s="150">
        <v>2578402</v>
      </c>
      <c r="CK4" s="109" t="s">
        <v>120</v>
      </c>
      <c r="CL4" s="128">
        <f>CS4-SUM(CO4:CQ4)</f>
        <v>1809829</v>
      </c>
      <c r="CM4" s="129"/>
      <c r="CN4" s="129"/>
      <c r="CO4" s="130">
        <v>98626</v>
      </c>
      <c r="CP4" s="128">
        <v>518338</v>
      </c>
      <c r="CQ4" s="128">
        <v>82498</v>
      </c>
      <c r="CR4" s="131">
        <f>SUM(CL4:CQ4)</f>
        <v>2509291</v>
      </c>
      <c r="CS4" s="150">
        <v>2509291</v>
      </c>
    </row>
    <row r="5" spans="2:97" s="7" customFormat="1">
      <c r="B5" s="49" t="s">
        <v>10</v>
      </c>
      <c r="C5" s="50">
        <v>447545</v>
      </c>
      <c r="D5" s="50">
        <v>73929</v>
      </c>
      <c r="E5" s="50">
        <v>521474</v>
      </c>
      <c r="F5" s="167"/>
      <c r="G5" s="21" t="s">
        <v>10</v>
      </c>
      <c r="H5" s="24">
        <v>407789</v>
      </c>
      <c r="I5" s="20">
        <v>85175</v>
      </c>
      <c r="J5" s="24">
        <v>492964</v>
      </c>
      <c r="K5" s="180"/>
      <c r="L5" s="21" t="s">
        <v>10</v>
      </c>
      <c r="M5" s="24">
        <f>386174+12206</f>
        <v>398380</v>
      </c>
      <c r="N5" s="20">
        <v>95369</v>
      </c>
      <c r="O5" s="24">
        <f>M5+N5</f>
        <v>493749</v>
      </c>
      <c r="P5" s="88"/>
      <c r="Q5" s="21" t="s">
        <v>10</v>
      </c>
      <c r="R5" s="38">
        <f>336028-77544+5148+25199+9339+5985+5384+10000</f>
        <v>319539</v>
      </c>
      <c r="S5" s="20">
        <v>0</v>
      </c>
      <c r="T5" s="20">
        <v>0</v>
      </c>
      <c r="U5" s="20">
        <f>169635-103822-10000</f>
        <v>55813</v>
      </c>
      <c r="V5" s="20">
        <v>242219</v>
      </c>
      <c r="W5" s="20">
        <v>77544</v>
      </c>
      <c r="X5" s="39">
        <f>SUM(R5:W5)</f>
        <v>695115</v>
      </c>
      <c r="AB5" s="69" t="s">
        <v>65</v>
      </c>
      <c r="AC5" s="79">
        <f>AJ5-SUM(AF5:AH5)</f>
        <v>503056</v>
      </c>
      <c r="AD5" s="78"/>
      <c r="AE5" s="78"/>
      <c r="AF5" s="71">
        <f>196312+7083</f>
        <v>203395</v>
      </c>
      <c r="AG5" s="79">
        <f>452785</f>
        <v>452785</v>
      </c>
      <c r="AH5" s="79">
        <f>75307</f>
        <v>75307</v>
      </c>
      <c r="AI5" s="70">
        <f>SUM(AC5:AH5)</f>
        <v>1234543</v>
      </c>
      <c r="AJ5" s="72">
        <v>1234543</v>
      </c>
      <c r="AM5" s="69" t="s">
        <v>65</v>
      </c>
      <c r="AN5" s="79">
        <f>AU5-SUM(AQ5:AS5)</f>
        <v>387322</v>
      </c>
      <c r="AO5" s="78"/>
      <c r="AP5" s="78"/>
      <c r="AQ5" s="71">
        <v>239276</v>
      </c>
      <c r="AR5" s="79">
        <f>AR4-AR6</f>
        <v>433154</v>
      </c>
      <c r="AS5" s="79">
        <f>AS4-AS6</f>
        <v>151773</v>
      </c>
      <c r="AT5" s="70">
        <f>SUM(AN5:AS5)</f>
        <v>1211525</v>
      </c>
      <c r="AU5" s="72">
        <v>1211525</v>
      </c>
      <c r="AW5" s="69" t="s">
        <v>65</v>
      </c>
      <c r="AX5" s="79">
        <f>BE5-SUM(BA5:BC5)</f>
        <v>626811</v>
      </c>
      <c r="AY5" s="78"/>
      <c r="AZ5" s="78"/>
      <c r="BA5" s="71">
        <f>232043-24294</f>
        <v>207749</v>
      </c>
      <c r="BB5" s="79">
        <v>396855</v>
      </c>
      <c r="BC5" s="79">
        <f>165873-42991</f>
        <v>122882</v>
      </c>
      <c r="BD5" s="70">
        <f>SUM(AX5:BC5)</f>
        <v>1354297</v>
      </c>
      <c r="BE5" s="72">
        <v>1354297</v>
      </c>
      <c r="BG5" s="109" t="s">
        <v>121</v>
      </c>
      <c r="BH5" s="110">
        <f>BO5-SUM(BK5:BM5)</f>
        <v>460971</v>
      </c>
      <c r="BI5" s="111"/>
      <c r="BJ5" s="111"/>
      <c r="BK5" s="112">
        <v>331417</v>
      </c>
      <c r="BL5" s="110">
        <v>330000</v>
      </c>
      <c r="BM5" s="110">
        <v>166900</v>
      </c>
      <c r="BN5" s="125">
        <v>1289288</v>
      </c>
      <c r="BO5" s="114">
        <v>1289288</v>
      </c>
      <c r="BQ5" s="109" t="s">
        <v>121</v>
      </c>
      <c r="BR5" s="128">
        <f>BY5-SUM(BU5:BW5)</f>
        <v>730605</v>
      </c>
      <c r="BS5" s="129"/>
      <c r="BT5" s="129"/>
      <c r="BU5" s="130">
        <f>BU4-BU6</f>
        <v>387164</v>
      </c>
      <c r="BV5" s="128">
        <f>BV4-BV6</f>
        <v>380197</v>
      </c>
      <c r="BW5" s="128">
        <f>BW4-BW6</f>
        <v>115729</v>
      </c>
      <c r="BX5" s="131">
        <v>1613695</v>
      </c>
      <c r="BY5" s="114">
        <v>1613695</v>
      </c>
      <c r="CA5" s="109" t="s">
        <v>121</v>
      </c>
      <c r="CB5" s="128">
        <f>CI5-SUM(CE5:CG5)</f>
        <v>765295.95</v>
      </c>
      <c r="CC5" s="129"/>
      <c r="CD5" s="129"/>
      <c r="CE5" s="130">
        <f>175735-15682+6017</f>
        <v>166070</v>
      </c>
      <c r="CF5" s="128">
        <f>429095+596790*0.075+596790*0.02</f>
        <v>485790.05</v>
      </c>
      <c r="CG5" s="128">
        <v>119064</v>
      </c>
      <c r="CH5" s="131">
        <f t="shared" ref="CH5:CH8" si="0">SUM(CB5:CG5)</f>
        <v>1536220</v>
      </c>
      <c r="CI5" s="150">
        <v>1536220</v>
      </c>
      <c r="CK5" s="109" t="s">
        <v>121</v>
      </c>
      <c r="CL5" s="128">
        <f>CS5-SUM(CO5:CQ5)</f>
        <v>924649</v>
      </c>
      <c r="CM5" s="129"/>
      <c r="CN5" s="129"/>
      <c r="CO5" s="130">
        <v>88750</v>
      </c>
      <c r="CP5" s="128">
        <v>383623</v>
      </c>
      <c r="CQ5" s="128">
        <f>82498-24961</f>
        <v>57537</v>
      </c>
      <c r="CR5" s="131">
        <f t="shared" ref="CR5:CR8" si="1">SUM(CL5:CQ5)</f>
        <v>1454559</v>
      </c>
      <c r="CS5" s="150">
        <v>1454559</v>
      </c>
    </row>
    <row r="6" spans="2:97" s="7" customFormat="1">
      <c r="B6" s="49" t="s">
        <v>3</v>
      </c>
      <c r="C6" s="50">
        <v>303449</v>
      </c>
      <c r="D6" s="50">
        <v>70876</v>
      </c>
      <c r="E6" s="50">
        <f>E4-E5</f>
        <v>374325</v>
      </c>
      <c r="F6" s="167"/>
      <c r="G6" s="21" t="s">
        <v>3</v>
      </c>
      <c r="H6" s="24">
        <v>336612</v>
      </c>
      <c r="I6" s="20">
        <v>51120</v>
      </c>
      <c r="J6" s="24">
        <f>J4-J5</f>
        <v>387732</v>
      </c>
      <c r="K6" s="180"/>
      <c r="L6" s="21" t="s">
        <v>3</v>
      </c>
      <c r="M6" s="24">
        <f>308114+23206</f>
        <v>331320</v>
      </c>
      <c r="N6" s="20">
        <v>34657</v>
      </c>
      <c r="O6" s="24">
        <f>M6+N6</f>
        <v>365977</v>
      </c>
      <c r="P6" s="88"/>
      <c r="Q6" s="21" t="s">
        <v>3</v>
      </c>
      <c r="R6" s="38">
        <f t="shared" ref="R6:W6" si="2">R4-R5</f>
        <v>256638</v>
      </c>
      <c r="S6" s="20">
        <f t="shared" si="2"/>
        <v>0</v>
      </c>
      <c r="T6" s="20">
        <f t="shared" si="2"/>
        <v>0</v>
      </c>
      <c r="U6" s="20">
        <f t="shared" si="2"/>
        <v>13978</v>
      </c>
      <c r="V6" s="20">
        <f t="shared" si="2"/>
        <v>62366</v>
      </c>
      <c r="W6" s="20">
        <f t="shared" si="2"/>
        <v>37902</v>
      </c>
      <c r="X6" s="39">
        <f>SUM(R6:W6)</f>
        <v>370884</v>
      </c>
      <c r="AB6" s="69" t="s">
        <v>66</v>
      </c>
      <c r="AC6" s="70">
        <f t="shared" ref="AC6:AH6" si="3">AC4-AC5</f>
        <v>376199</v>
      </c>
      <c r="AD6" s="78">
        <f t="shared" si="3"/>
        <v>0</v>
      </c>
      <c r="AE6" s="78">
        <f t="shared" si="3"/>
        <v>0</v>
      </c>
      <c r="AF6" s="71">
        <f t="shared" si="3"/>
        <v>30677</v>
      </c>
      <c r="AG6" s="71">
        <f t="shared" si="3"/>
        <v>153031</v>
      </c>
      <c r="AH6" s="71">
        <f t="shared" si="3"/>
        <v>39031</v>
      </c>
      <c r="AI6" s="70">
        <f>SUM(AC6:AH6)</f>
        <v>598938</v>
      </c>
      <c r="AJ6" s="72">
        <v>598938</v>
      </c>
      <c r="AM6" s="69" t="s">
        <v>66</v>
      </c>
      <c r="AN6" s="70">
        <f>AN4-AN5</f>
        <v>329825</v>
      </c>
      <c r="AO6" s="78">
        <f>AO4-AO5</f>
        <v>0</v>
      </c>
      <c r="AP6" s="78">
        <f>AP4-AP5</f>
        <v>0</v>
      </c>
      <c r="AQ6" s="71">
        <f>AQ4-AQ5</f>
        <v>28492</v>
      </c>
      <c r="AR6" s="71">
        <f>212083-28492</f>
        <v>183591</v>
      </c>
      <c r="AS6" s="71">
        <f>74340-2500</f>
        <v>71840</v>
      </c>
      <c r="AT6" s="70">
        <f>SUM(AN6:AS6)</f>
        <v>613748</v>
      </c>
      <c r="AU6" s="72">
        <f>AU4-AU5</f>
        <v>613748</v>
      </c>
      <c r="AW6" s="69" t="s">
        <v>66</v>
      </c>
      <c r="AX6" s="70">
        <f t="shared" ref="AX6:BC6" si="4">AX4-AX5</f>
        <v>412170</v>
      </c>
      <c r="AY6" s="78">
        <f t="shared" si="4"/>
        <v>0</v>
      </c>
      <c r="AZ6" s="78">
        <f t="shared" si="4"/>
        <v>0</v>
      </c>
      <c r="BA6" s="71">
        <f>7058+20079-2843</f>
        <v>24294</v>
      </c>
      <c r="BB6" s="71">
        <f t="shared" si="4"/>
        <v>183565</v>
      </c>
      <c r="BC6" s="71">
        <f t="shared" si="4"/>
        <v>42991</v>
      </c>
      <c r="BD6" s="70">
        <f>SUM(AX6:BC6)</f>
        <v>663020</v>
      </c>
      <c r="BE6" s="72">
        <f>BE4-BE5</f>
        <v>663020</v>
      </c>
      <c r="BG6" s="109" t="s">
        <v>122</v>
      </c>
      <c r="BH6" s="113">
        <f>BH4-BH5</f>
        <v>495192</v>
      </c>
      <c r="BI6" s="111">
        <v>0</v>
      </c>
      <c r="BJ6" s="111">
        <v>0</v>
      </c>
      <c r="BK6" s="112">
        <v>39637</v>
      </c>
      <c r="BL6" s="112">
        <v>147800</v>
      </c>
      <c r="BM6" s="112">
        <v>64829</v>
      </c>
      <c r="BN6" s="125">
        <v>747458</v>
      </c>
      <c r="BO6" s="114">
        <v>747458</v>
      </c>
      <c r="BQ6" s="109" t="s">
        <v>122</v>
      </c>
      <c r="BR6" s="132">
        <f>BR4-BR5</f>
        <v>749714</v>
      </c>
      <c r="BS6" s="129">
        <v>0</v>
      </c>
      <c r="BT6" s="129">
        <v>0</v>
      </c>
      <c r="BU6" s="130">
        <f>38271+11594</f>
        <v>49865</v>
      </c>
      <c r="BV6" s="130">
        <v>183744</v>
      </c>
      <c r="BW6" s="130">
        <f>61469</f>
        <v>61469</v>
      </c>
      <c r="BX6" s="131">
        <v>1044792</v>
      </c>
      <c r="BY6" s="114">
        <v>1044792</v>
      </c>
      <c r="CA6" s="109" t="s">
        <v>122</v>
      </c>
      <c r="CB6" s="132">
        <f>CB4-CB5</f>
        <v>837069.05</v>
      </c>
      <c r="CC6" s="129">
        <v>0</v>
      </c>
      <c r="CD6" s="129">
        <v>0</v>
      </c>
      <c r="CE6" s="130">
        <f>CE4-CE5</f>
        <v>30792</v>
      </c>
      <c r="CF6" s="130">
        <f>CF4-CF5</f>
        <v>110999.95000000001</v>
      </c>
      <c r="CG6" s="130">
        <f>CG4-CG5</f>
        <v>63321</v>
      </c>
      <c r="CH6" s="131">
        <f t="shared" si="0"/>
        <v>1042182</v>
      </c>
      <c r="CI6" s="150">
        <v>1042182</v>
      </c>
      <c r="CK6" s="109" t="s">
        <v>122</v>
      </c>
      <c r="CL6" s="132">
        <f>CL4-CL5</f>
        <v>885180</v>
      </c>
      <c r="CM6" s="129">
        <v>0</v>
      </c>
      <c r="CN6" s="129">
        <v>0</v>
      </c>
      <c r="CO6" s="130">
        <f>CO4-CO5</f>
        <v>9876</v>
      </c>
      <c r="CP6" s="130">
        <f>CP4-CP5</f>
        <v>134715</v>
      </c>
      <c r="CQ6" s="130">
        <f>CQ4-CQ5</f>
        <v>24961</v>
      </c>
      <c r="CR6" s="131">
        <f t="shared" si="1"/>
        <v>1054732</v>
      </c>
      <c r="CS6" s="150">
        <v>1054732</v>
      </c>
    </row>
    <row r="7" spans="2:97" s="7" customFormat="1">
      <c r="B7" s="49" t="s">
        <v>11</v>
      </c>
      <c r="C7" s="50">
        <v>193055.4</v>
      </c>
      <c r="D7" s="50">
        <v>47006.6</v>
      </c>
      <c r="E7" s="50">
        <v>240062</v>
      </c>
      <c r="F7" s="167"/>
      <c r="G7" s="21" t="s">
        <v>11</v>
      </c>
      <c r="H7" s="24">
        <v>239321.7</v>
      </c>
      <c r="I7" s="20">
        <v>36199.300000000003</v>
      </c>
      <c r="J7" s="24">
        <v>275521</v>
      </c>
      <c r="K7" s="180"/>
      <c r="L7" s="21" t="s">
        <v>11</v>
      </c>
      <c r="M7" s="24">
        <f>229596.52+13670</f>
        <v>243266.52</v>
      </c>
      <c r="N7" s="20">
        <v>18216.48</v>
      </c>
      <c r="O7" s="24">
        <f>M7+N7</f>
        <v>261483</v>
      </c>
      <c r="P7" s="88"/>
      <c r="Q7" s="21" t="s">
        <v>11</v>
      </c>
      <c r="R7" s="38">
        <f>143342+32690+36006</f>
        <v>212038</v>
      </c>
      <c r="S7" s="20"/>
      <c r="T7" s="20"/>
      <c r="U7" s="38">
        <f>3978+5200</f>
        <v>9178</v>
      </c>
      <c r="V7" s="38">
        <f>21577+18002</f>
        <v>39579</v>
      </c>
      <c r="W7" s="38">
        <f>12175+6824</f>
        <v>18999</v>
      </c>
      <c r="X7" s="39">
        <f>SUM(R7:W7)</f>
        <v>279794</v>
      </c>
      <c r="Y7" s="7">
        <v>57516</v>
      </c>
      <c r="Z7" s="7" t="s">
        <v>26</v>
      </c>
      <c r="AB7" s="69" t="s">
        <v>67</v>
      </c>
      <c r="AC7" s="79">
        <f>AJ7-SUM(AF7:AH7)</f>
        <v>257784</v>
      </c>
      <c r="AD7" s="78"/>
      <c r="AE7" s="78"/>
      <c r="AF7" s="70">
        <f>6724+789+2447</f>
        <v>9960</v>
      </c>
      <c r="AG7" s="79">
        <f>ROUND(AG4*(0.076+0.011+0.07)/100,0)*100+ROUND(AG4*0.013/100,0)*100+20000</f>
        <v>123000</v>
      </c>
      <c r="AH7" s="79">
        <f>ROUND(AH4*0.15/100,0)*100+ROUND(AH4*0.035/100,0)*100</f>
        <v>21200</v>
      </c>
      <c r="AI7" s="70">
        <f>SUM(AC7:AH7)</f>
        <v>411944</v>
      </c>
      <c r="AJ7" s="72">
        <v>411944</v>
      </c>
      <c r="AK7" s="80" t="s">
        <v>74</v>
      </c>
      <c r="AM7" s="69" t="s">
        <v>67</v>
      </c>
      <c r="AN7" s="79">
        <f>AU7-SUM(AQ7:AS7)</f>
        <v>252751</v>
      </c>
      <c r="AO7" s="78"/>
      <c r="AP7" s="78"/>
      <c r="AQ7" s="70">
        <f>AQ6-AQ8</f>
        <v>9345</v>
      </c>
      <c r="AR7" s="79">
        <f>ROUND(AR4*(0.076+0.011+0.07)/100,0)*100+ROUND(AR4*0.013/100,0)*100+20000</f>
        <v>124800</v>
      </c>
      <c r="AS7" s="79">
        <f>ROUND(AS4*0.17/100,0)*100+ROUND(AS4*0.035/100,0)*100</f>
        <v>45800</v>
      </c>
      <c r="AT7" s="70">
        <f>SUM(AN7:AS7)</f>
        <v>432696</v>
      </c>
      <c r="AU7" s="72">
        <f>AU6-AU8</f>
        <v>432696</v>
      </c>
      <c r="AV7" s="80" t="s">
        <v>84</v>
      </c>
      <c r="AW7" s="69" t="s">
        <v>67</v>
      </c>
      <c r="AX7" s="79">
        <f>BE7-SUM(BA7:BC7)</f>
        <v>383510</v>
      </c>
      <c r="AY7" s="78"/>
      <c r="AZ7" s="78"/>
      <c r="BA7" s="70">
        <f>2092+164+3256+1146-896+1647</f>
        <v>7409</v>
      </c>
      <c r="BB7" s="79">
        <f>183565-82420</f>
        <v>101145</v>
      </c>
      <c r="BC7" s="79">
        <f>ROUND(165873*0.16,0)</f>
        <v>26540</v>
      </c>
      <c r="BD7" s="70">
        <f>SUM(AX7:BC7)</f>
        <v>518604</v>
      </c>
      <c r="BE7" s="72">
        <f>BE6-BE8</f>
        <v>518604</v>
      </c>
      <c r="BG7" s="109" t="s">
        <v>123</v>
      </c>
      <c r="BH7" s="110">
        <f>BO7-SUM(BK7:BM7)</f>
        <v>415840</v>
      </c>
      <c r="BI7" s="111"/>
      <c r="BJ7" s="111"/>
      <c r="BK7" s="113">
        <v>3500</v>
      </c>
      <c r="BL7" s="110">
        <v>102000</v>
      </c>
      <c r="BM7" s="110">
        <v>49000</v>
      </c>
      <c r="BN7" s="125">
        <v>570340</v>
      </c>
      <c r="BO7" s="114">
        <v>570340</v>
      </c>
      <c r="BQ7" s="109" t="s">
        <v>123</v>
      </c>
      <c r="BR7" s="128">
        <f>BY7-SUM(BU7:BW7)</f>
        <v>685407</v>
      </c>
      <c r="BS7" s="129"/>
      <c r="BT7" s="129"/>
      <c r="BU7" s="132">
        <f>7929+4561</f>
        <v>12490</v>
      </c>
      <c r="BV7" s="128">
        <f>51559-1559+ROUND(BV4*0.075/100,0)*100+50000</f>
        <v>142300</v>
      </c>
      <c r="BW7" s="128">
        <f>35000+ROUND(BW4*0.075/100,0)*100+7000</f>
        <v>55300</v>
      </c>
      <c r="BX7" s="131">
        <v>895497</v>
      </c>
      <c r="BY7" s="114">
        <v>895497</v>
      </c>
      <c r="CA7" s="109" t="s">
        <v>123</v>
      </c>
      <c r="CB7" s="128">
        <f>CI7-SUM(CE7:CG7)</f>
        <v>694364</v>
      </c>
      <c r="CC7" s="129"/>
      <c r="CD7" s="129"/>
      <c r="CE7" s="132">
        <f>2545+36</f>
        <v>2581</v>
      </c>
      <c r="CF7" s="128">
        <f>111000-36241</f>
        <v>74759</v>
      </c>
      <c r="CG7" s="128">
        <v>45596</v>
      </c>
      <c r="CH7" s="131">
        <f t="shared" si="0"/>
        <v>817300</v>
      </c>
      <c r="CI7" s="150">
        <v>817300</v>
      </c>
      <c r="CK7" s="109" t="s">
        <v>123</v>
      </c>
      <c r="CL7" s="128">
        <f>CS7-SUM(CO7:CQ7)</f>
        <v>741623</v>
      </c>
      <c r="CM7" s="129"/>
      <c r="CN7" s="129"/>
      <c r="CO7" s="132">
        <v>7000</v>
      </c>
      <c r="CP7" s="128">
        <v>78962</v>
      </c>
      <c r="CQ7" s="128">
        <v>16500</v>
      </c>
      <c r="CR7" s="131">
        <f t="shared" si="1"/>
        <v>844085</v>
      </c>
      <c r="CS7" s="150">
        <v>844085</v>
      </c>
    </row>
    <row r="8" spans="2:97" s="7" customFormat="1" ht="16.8" thickBot="1">
      <c r="B8" s="49" t="s">
        <v>4</v>
      </c>
      <c r="C8" s="50">
        <v>110393.60000000001</v>
      </c>
      <c r="D8" s="50">
        <v>23869.4</v>
      </c>
      <c r="E8" s="50">
        <f>E6-E7</f>
        <v>134263</v>
      </c>
      <c r="F8" s="167"/>
      <c r="G8" s="21" t="s">
        <v>4</v>
      </c>
      <c r="H8" s="24">
        <v>97290.3</v>
      </c>
      <c r="I8" s="20">
        <v>14920.7</v>
      </c>
      <c r="J8" s="24">
        <f>J6-J7</f>
        <v>112211</v>
      </c>
      <c r="K8" s="180"/>
      <c r="L8" s="21" t="s">
        <v>4</v>
      </c>
      <c r="M8" s="24">
        <f>78517.48+9536</f>
        <v>88053.48</v>
      </c>
      <c r="N8" s="20">
        <v>16440.52</v>
      </c>
      <c r="O8" s="24">
        <f>M8+N8</f>
        <v>104494</v>
      </c>
      <c r="P8" s="88"/>
      <c r="Q8" s="21" t="s">
        <v>4</v>
      </c>
      <c r="R8" s="40">
        <f t="shared" ref="R8:W8" si="5">R6-R7</f>
        <v>44600</v>
      </c>
      <c r="S8" s="41">
        <f t="shared" si="5"/>
        <v>0</v>
      </c>
      <c r="T8" s="41">
        <f t="shared" si="5"/>
        <v>0</v>
      </c>
      <c r="U8" s="41">
        <f t="shared" si="5"/>
        <v>4800</v>
      </c>
      <c r="V8" s="41">
        <f t="shared" si="5"/>
        <v>22787</v>
      </c>
      <c r="W8" s="41">
        <f t="shared" si="5"/>
        <v>18903</v>
      </c>
      <c r="X8" s="42">
        <f>SUM(R8:W8)</f>
        <v>91090</v>
      </c>
      <c r="AB8" s="69" t="s">
        <v>68</v>
      </c>
      <c r="AC8" s="70">
        <f t="shared" ref="AC8:AH8" si="6">AC6-AC7</f>
        <v>118415</v>
      </c>
      <c r="AD8" s="78">
        <f t="shared" si="6"/>
        <v>0</v>
      </c>
      <c r="AE8" s="78">
        <f t="shared" si="6"/>
        <v>0</v>
      </c>
      <c r="AF8" s="71">
        <f t="shared" si="6"/>
        <v>20717</v>
      </c>
      <c r="AG8" s="71">
        <f t="shared" si="6"/>
        <v>30031</v>
      </c>
      <c r="AH8" s="71">
        <f t="shared" si="6"/>
        <v>17831</v>
      </c>
      <c r="AI8" s="70">
        <f>SUM(AC8:AH8)</f>
        <v>186994</v>
      </c>
      <c r="AJ8" s="7">
        <v>186994</v>
      </c>
      <c r="AK8" s="81"/>
      <c r="AM8" s="69" t="s">
        <v>68</v>
      </c>
      <c r="AN8" s="70">
        <f>AN6-AN7</f>
        <v>77074</v>
      </c>
      <c r="AO8" s="78">
        <f>AO6-AO7</f>
        <v>0</v>
      </c>
      <c r="AP8" s="78">
        <f>AP6-AP7</f>
        <v>0</v>
      </c>
      <c r="AQ8" s="71">
        <v>19147</v>
      </c>
      <c r="AR8" s="71">
        <f>AR6-AR7</f>
        <v>58791</v>
      </c>
      <c r="AS8" s="71">
        <f>AS6-AS7</f>
        <v>26040</v>
      </c>
      <c r="AT8" s="70">
        <f>SUM(AN8:AS8)</f>
        <v>181052</v>
      </c>
      <c r="AU8" s="7">
        <v>181052</v>
      </c>
      <c r="AV8" s="81"/>
      <c r="AW8" s="69" t="s">
        <v>68</v>
      </c>
      <c r="AX8" s="70">
        <f>AX6-AX7</f>
        <v>28660</v>
      </c>
      <c r="AY8" s="78">
        <f>AY6-AY7</f>
        <v>0</v>
      </c>
      <c r="AZ8" s="78">
        <f>AZ6-AZ7</f>
        <v>0</v>
      </c>
      <c r="BA8" s="71">
        <f>24294-7409</f>
        <v>16885</v>
      </c>
      <c r="BB8" s="71">
        <f>ROUND(580420*0.142,0)</f>
        <v>82420</v>
      </c>
      <c r="BC8" s="71">
        <f>42991-26540</f>
        <v>16451</v>
      </c>
      <c r="BD8" s="70">
        <f>SUM(AX8:BC8)</f>
        <v>144416</v>
      </c>
      <c r="BE8" s="7">
        <v>144416</v>
      </c>
      <c r="BG8" s="109" t="s">
        <v>124</v>
      </c>
      <c r="BH8" s="113">
        <f>BO8-SUM(BK8:BM8)</f>
        <v>79352</v>
      </c>
      <c r="BI8" s="111">
        <v>0</v>
      </c>
      <c r="BJ8" s="111">
        <v>0</v>
      </c>
      <c r="BK8" s="112">
        <v>36137</v>
      </c>
      <c r="BL8" s="112">
        <v>45800</v>
      </c>
      <c r="BM8" s="112">
        <v>15829</v>
      </c>
      <c r="BN8" s="126">
        <v>177118</v>
      </c>
      <c r="BO8" s="115">
        <v>177118</v>
      </c>
      <c r="BQ8" s="109" t="s">
        <v>124</v>
      </c>
      <c r="BR8" s="132">
        <f>BY8-SUM(BU8:BW8)</f>
        <v>64307</v>
      </c>
      <c r="BS8" s="129">
        <v>0</v>
      </c>
      <c r="BT8" s="129">
        <v>0</v>
      </c>
      <c r="BU8" s="130">
        <f>BU6-BU7</f>
        <v>37375</v>
      </c>
      <c r="BV8" s="130">
        <f>BV6-BV7</f>
        <v>41444</v>
      </c>
      <c r="BW8" s="130">
        <f>BW6-BW7</f>
        <v>6169</v>
      </c>
      <c r="BX8" s="133">
        <v>149295</v>
      </c>
      <c r="BY8" s="115">
        <v>149295</v>
      </c>
      <c r="CA8" s="109" t="s">
        <v>124</v>
      </c>
      <c r="CB8" s="132">
        <f>CI8-SUM(CE8:CG8)</f>
        <v>142705.25</v>
      </c>
      <c r="CC8" s="129">
        <v>0</v>
      </c>
      <c r="CD8" s="129">
        <v>0</v>
      </c>
      <c r="CE8" s="130">
        <f>CE6-CE7</f>
        <v>28211</v>
      </c>
      <c r="CF8" s="130">
        <f>81000-596790*0.075</f>
        <v>36240.75</v>
      </c>
      <c r="CG8" s="130">
        <f>CG6-CG7</f>
        <v>17725</v>
      </c>
      <c r="CH8" s="133">
        <f t="shared" si="0"/>
        <v>224882</v>
      </c>
      <c r="CI8" s="151">
        <v>224882</v>
      </c>
      <c r="CK8" s="109" t="s">
        <v>124</v>
      </c>
      <c r="CL8" s="132">
        <f>CS8-SUM(CO8:CQ8)</f>
        <v>163069.25</v>
      </c>
      <c r="CM8" s="129">
        <v>0</v>
      </c>
      <c r="CN8" s="129">
        <v>0</v>
      </c>
      <c r="CO8" s="130">
        <f>CO6-CO7</f>
        <v>2876</v>
      </c>
      <c r="CP8" s="130">
        <f>81000-596790*0.075</f>
        <v>36240.75</v>
      </c>
      <c r="CQ8" s="130">
        <f>CQ6-CQ7</f>
        <v>8461</v>
      </c>
      <c r="CR8" s="133">
        <f t="shared" si="1"/>
        <v>210647</v>
      </c>
      <c r="CS8" s="151">
        <v>210647</v>
      </c>
    </row>
    <row r="9" spans="2:97" s="2" customFormat="1" ht="18" customHeight="1">
      <c r="B9" s="8" t="s">
        <v>21</v>
      </c>
      <c r="C9" s="5"/>
      <c r="D9" s="5"/>
      <c r="E9" s="5"/>
      <c r="F9" s="5"/>
      <c r="G9" s="6"/>
      <c r="H9" s="5"/>
      <c r="I9" s="5"/>
      <c r="J9" s="5"/>
      <c r="K9" s="5"/>
      <c r="L9" s="6"/>
      <c r="M9" s="5"/>
      <c r="N9" s="5"/>
      <c r="O9" s="5"/>
      <c r="P9" s="18"/>
      <c r="AB9" s="82" t="s">
        <v>76</v>
      </c>
      <c r="AC9" s="65"/>
      <c r="AD9" s="65"/>
      <c r="AE9" s="65"/>
      <c r="AF9" s="65"/>
      <c r="AG9" s="65"/>
      <c r="AH9" s="65"/>
      <c r="AI9" s="65"/>
      <c r="AM9" s="82" t="s">
        <v>76</v>
      </c>
      <c r="AN9" s="65"/>
      <c r="AO9" s="65"/>
      <c r="AP9" s="65"/>
      <c r="AQ9" s="65"/>
      <c r="AR9" s="65"/>
      <c r="AS9" s="65"/>
      <c r="AT9" s="65"/>
      <c r="AW9" s="94" t="s">
        <v>91</v>
      </c>
      <c r="BG9"/>
      <c r="BH9"/>
      <c r="BI9"/>
      <c r="BJ9"/>
      <c r="BK9"/>
      <c r="BL9" t="s">
        <v>134</v>
      </c>
      <c r="BM9" t="s">
        <v>133</v>
      </c>
      <c r="BN9"/>
      <c r="BO9"/>
      <c r="BQ9"/>
      <c r="BR9"/>
      <c r="BS9"/>
      <c r="BT9"/>
      <c r="BU9" t="s">
        <v>137</v>
      </c>
      <c r="BV9" t="s">
        <v>139</v>
      </c>
      <c r="BW9" t="s">
        <v>136</v>
      </c>
      <c r="BX9"/>
      <c r="BY9"/>
      <c r="CA9"/>
      <c r="CB9"/>
      <c r="CC9"/>
      <c r="CD9"/>
      <c r="CE9" t="s">
        <v>144</v>
      </c>
      <c r="CF9" t="s">
        <v>145</v>
      </c>
      <c r="CG9" t="s">
        <v>136</v>
      </c>
      <c r="CH9"/>
      <c r="CI9"/>
      <c r="CK9"/>
      <c r="CL9"/>
      <c r="CM9"/>
      <c r="CN9"/>
      <c r="CO9" t="s">
        <v>144</v>
      </c>
      <c r="CP9" t="s">
        <v>145</v>
      </c>
      <c r="CQ9" t="s">
        <v>136</v>
      </c>
      <c r="CR9"/>
      <c r="CS9"/>
    </row>
    <row r="10" spans="2:97" s="2" customFormat="1" ht="18.899999999999999" customHeight="1">
      <c r="B10" s="9" t="s">
        <v>12</v>
      </c>
      <c r="C10" s="5"/>
      <c r="D10" s="5"/>
      <c r="E10" s="5"/>
      <c r="F10" s="5"/>
      <c r="G10" s="6"/>
      <c r="H10" s="5"/>
      <c r="I10" s="5"/>
      <c r="J10" s="5"/>
      <c r="K10" s="5"/>
      <c r="L10" s="6"/>
      <c r="M10" s="5"/>
      <c r="N10" s="5"/>
      <c r="O10" s="5"/>
      <c r="P10" s="18"/>
      <c r="AB10" s="65"/>
      <c r="AC10" s="65"/>
      <c r="AD10" s="65"/>
      <c r="AE10" s="65"/>
      <c r="AF10" s="65"/>
      <c r="AG10" s="65"/>
      <c r="AH10" s="65"/>
      <c r="AI10" s="65"/>
      <c r="AJ10" s="65"/>
      <c r="AM10" s="65"/>
      <c r="AN10" s="65"/>
      <c r="AO10" s="65"/>
      <c r="AP10" s="65"/>
      <c r="AQ10" s="65"/>
      <c r="AR10" s="65"/>
      <c r="AS10" s="65"/>
      <c r="AT10" s="65"/>
      <c r="AU10" s="65"/>
      <c r="AW10" s="93" t="s">
        <v>92</v>
      </c>
      <c r="BG10"/>
      <c r="BH10"/>
      <c r="BI10"/>
      <c r="BJ10"/>
      <c r="BK10"/>
      <c r="BL10"/>
      <c r="BM10"/>
      <c r="BN10"/>
      <c r="BO10"/>
      <c r="BQ10"/>
      <c r="BR10"/>
      <c r="BS10"/>
      <c r="BT10"/>
      <c r="BU10"/>
      <c r="BV10"/>
      <c r="BW10"/>
      <c r="BX10"/>
      <c r="BY10"/>
      <c r="CA10"/>
      <c r="CB10"/>
      <c r="CC10"/>
      <c r="CD10"/>
      <c r="CE10"/>
      <c r="CF10"/>
      <c r="CG10"/>
      <c r="CH10"/>
      <c r="CI10"/>
      <c r="CK10"/>
      <c r="CL10"/>
      <c r="CM10"/>
      <c r="CN10"/>
      <c r="CO10"/>
      <c r="CP10"/>
      <c r="CQ10"/>
      <c r="CR10"/>
      <c r="CS10"/>
    </row>
    <row r="11" spans="2:97" s="2" customFormat="1" ht="18.899999999999999" customHeight="1">
      <c r="B11" s="9"/>
      <c r="C11" s="5"/>
      <c r="D11" s="5"/>
      <c r="E11" s="5"/>
      <c r="F11" s="5"/>
      <c r="G11" s="6"/>
      <c r="H11" s="5"/>
      <c r="I11" s="5"/>
      <c r="J11" s="5"/>
      <c r="K11" s="5"/>
      <c r="L11" s="6"/>
      <c r="M11" s="5"/>
      <c r="N11" s="5"/>
      <c r="O11" s="5"/>
      <c r="P11" s="18"/>
      <c r="Q11" s="53" t="s">
        <v>27</v>
      </c>
      <c r="R11" s="52">
        <f>+R6/R4</f>
        <v>0.44541521095080155</v>
      </c>
      <c r="S11" s="52" t="e">
        <f t="shared" ref="S11:X11" si="7">+S6/S4</f>
        <v>#DIV/0!</v>
      </c>
      <c r="T11" s="52" t="e">
        <f t="shared" si="7"/>
        <v>#DIV/0!</v>
      </c>
      <c r="U11" s="52">
        <f t="shared" si="7"/>
        <v>0.2002837042025476</v>
      </c>
      <c r="V11" s="52">
        <f t="shared" si="7"/>
        <v>0.20475729270975263</v>
      </c>
      <c r="W11" s="52">
        <f t="shared" si="7"/>
        <v>0.32830933943142249</v>
      </c>
      <c r="X11" s="52">
        <f t="shared" si="7"/>
        <v>0.34792152713088847</v>
      </c>
      <c r="AB11" s="73" t="s">
        <v>69</v>
      </c>
      <c r="AC11" s="74">
        <f>+AC6/AC4</f>
        <v>0.4278610869429233</v>
      </c>
      <c r="AD11" s="74" t="e">
        <f t="shared" ref="AD11:AI11" si="8">+AD6/AD4</f>
        <v>#DIV/0!</v>
      </c>
      <c r="AE11" s="74" t="e">
        <f t="shared" si="8"/>
        <v>#DIV/0!</v>
      </c>
      <c r="AF11" s="74">
        <f t="shared" si="8"/>
        <v>0.13105796507057657</v>
      </c>
      <c r="AG11" s="74">
        <f t="shared" si="8"/>
        <v>0.25260310061140678</v>
      </c>
      <c r="AH11" s="74">
        <f t="shared" si="8"/>
        <v>0.34136507547796885</v>
      </c>
      <c r="AI11" s="74">
        <f t="shared" si="8"/>
        <v>0.32666714299193722</v>
      </c>
      <c r="AJ11" s="74">
        <f>+AJ6/AJ4</f>
        <v>0.32666714299193722</v>
      </c>
      <c r="AM11" s="73" t="s">
        <v>69</v>
      </c>
      <c r="AN11" s="74">
        <f>+AN6/AN4</f>
        <v>0.45991268177932837</v>
      </c>
      <c r="AO11" s="74" t="e">
        <f t="shared" ref="AO11:AT11" si="9">+AO6/AO4</f>
        <v>#DIV/0!</v>
      </c>
      <c r="AP11" s="74" t="e">
        <f t="shared" si="9"/>
        <v>#DIV/0!</v>
      </c>
      <c r="AQ11" s="74">
        <f t="shared" si="9"/>
        <v>0.1064055450987422</v>
      </c>
      <c r="AR11" s="74">
        <f t="shared" si="9"/>
        <v>0.29767732206989922</v>
      </c>
      <c r="AS11" s="74">
        <f t="shared" si="9"/>
        <v>0.32126933586151074</v>
      </c>
      <c r="AT11" s="74">
        <f t="shared" si="9"/>
        <v>0.33624997466132461</v>
      </c>
      <c r="AU11" s="74">
        <f>+AU6/AU4</f>
        <v>0.33624997466132461</v>
      </c>
      <c r="AW11" s="73" t="s">
        <v>69</v>
      </c>
      <c r="AX11" s="74">
        <f>+AX6/AX4</f>
        <v>0.39670600328591188</v>
      </c>
      <c r="AY11" s="74" t="e">
        <f t="shared" ref="AY11:BD11" si="10">+AY6/AY4</f>
        <v>#DIV/0!</v>
      </c>
      <c r="AZ11" s="74" t="e">
        <f t="shared" si="10"/>
        <v>#DIV/0!</v>
      </c>
      <c r="BA11" s="74">
        <f t="shared" si="10"/>
        <v>0.10469611235848528</v>
      </c>
      <c r="BB11" s="74">
        <f t="shared" si="10"/>
        <v>0.31626236173805178</v>
      </c>
      <c r="BC11" s="74">
        <f>+BC6/BC4</f>
        <v>0.25918021618949438</v>
      </c>
      <c r="BD11" s="74">
        <f t="shared" si="10"/>
        <v>0.32866426050045677</v>
      </c>
      <c r="BE11" s="74">
        <f>+BE6/BE4</f>
        <v>0.32866426050045677</v>
      </c>
      <c r="BG11"/>
      <c r="BH11" s="74">
        <f t="shared" ref="BH11:BN11" si="11">+BH6/BH4</f>
        <v>0.51789496142394131</v>
      </c>
      <c r="BI11" s="74" t="e">
        <f t="shared" si="11"/>
        <v>#DIV/0!</v>
      </c>
      <c r="BJ11" s="74" t="e">
        <f t="shared" si="11"/>
        <v>#DIV/0!</v>
      </c>
      <c r="BK11" s="74">
        <f t="shared" si="11"/>
        <v>0.10682272661122101</v>
      </c>
      <c r="BL11" s="74">
        <f t="shared" si="11"/>
        <v>0.30933444956048556</v>
      </c>
      <c r="BM11" s="74">
        <f t="shared" si="11"/>
        <v>0.27976213594327859</v>
      </c>
      <c r="BN11" s="74">
        <f t="shared" si="11"/>
        <v>0.36698635961479731</v>
      </c>
      <c r="BO11" s="74">
        <f t="shared" ref="BO11" si="12">+BO6/BO4</f>
        <v>0.36698635961479731</v>
      </c>
      <c r="BQ11"/>
      <c r="BR11" s="74">
        <f t="shared" ref="BR11:BY11" si="13">+BR6/BR4</f>
        <v>0.50645435206870948</v>
      </c>
      <c r="BS11" s="74" t="e">
        <f t="shared" si="13"/>
        <v>#DIV/0!</v>
      </c>
      <c r="BT11" s="74" t="e">
        <f t="shared" si="13"/>
        <v>#DIV/0!</v>
      </c>
      <c r="BU11" s="74">
        <f t="shared" si="13"/>
        <v>0.11409997963521872</v>
      </c>
      <c r="BV11" s="74">
        <f t="shared" si="13"/>
        <v>0.3258213181875409</v>
      </c>
      <c r="BW11" s="74">
        <f t="shared" si="13"/>
        <v>0.34689443447442975</v>
      </c>
      <c r="BX11" s="74">
        <f t="shared" si="13"/>
        <v>0.39300248600049575</v>
      </c>
      <c r="BY11" s="74">
        <f t="shared" si="13"/>
        <v>0.39300248600049575</v>
      </c>
      <c r="CA11"/>
      <c r="CB11" s="74">
        <f t="shared" ref="CB11:CI11" si="14">+CB6/CB4</f>
        <v>0.52239598967775758</v>
      </c>
      <c r="CC11" s="74" t="e">
        <f t="shared" si="14"/>
        <v>#DIV/0!</v>
      </c>
      <c r="CD11" s="74" t="e">
        <f t="shared" si="14"/>
        <v>#DIV/0!</v>
      </c>
      <c r="CE11" s="74">
        <f t="shared" si="14"/>
        <v>0.15641413782243399</v>
      </c>
      <c r="CF11" s="74">
        <f t="shared" si="14"/>
        <v>0.18599498986243068</v>
      </c>
      <c r="CG11" s="74">
        <f t="shared" si="14"/>
        <v>0.34718315650958137</v>
      </c>
      <c r="CH11" s="74">
        <f t="shared" si="14"/>
        <v>0.40419686301825702</v>
      </c>
      <c r="CI11" s="74">
        <f t="shared" si="14"/>
        <v>0.40419686301825702</v>
      </c>
      <c r="CK11"/>
      <c r="CL11" s="74">
        <f t="shared" ref="CL11:CS11" si="15">+CL6/CL4</f>
        <v>0.48909593116255734</v>
      </c>
      <c r="CM11" s="74" t="e">
        <f t="shared" si="15"/>
        <v>#DIV/0!</v>
      </c>
      <c r="CN11" s="74" t="e">
        <f t="shared" si="15"/>
        <v>#DIV/0!</v>
      </c>
      <c r="CO11" s="74">
        <f t="shared" si="15"/>
        <v>0.10013586680996897</v>
      </c>
      <c r="CP11" s="74">
        <f t="shared" si="15"/>
        <v>0.2598979816258889</v>
      </c>
      <c r="CQ11" s="74">
        <f t="shared" si="15"/>
        <v>0.30256491066450097</v>
      </c>
      <c r="CR11" s="74">
        <f t="shared" si="15"/>
        <v>0.42033068304951476</v>
      </c>
      <c r="CS11" s="74">
        <f t="shared" si="15"/>
        <v>0.42033068304951476</v>
      </c>
    </row>
    <row r="12" spans="2:97">
      <c r="Q12" t="s">
        <v>5</v>
      </c>
      <c r="R12" s="52">
        <f>+R8/R4</f>
        <v>7.7406769100467385E-2</v>
      </c>
      <c r="S12" s="52" t="e">
        <f t="shared" ref="S12:X12" si="16">+S8/S4</f>
        <v>#DIV/0!</v>
      </c>
      <c r="T12" s="52" t="e">
        <f t="shared" si="16"/>
        <v>#DIV/0!</v>
      </c>
      <c r="U12" s="52">
        <f t="shared" si="16"/>
        <v>6.8776776375177318E-2</v>
      </c>
      <c r="V12" s="52">
        <f t="shared" si="16"/>
        <v>7.4813270515619618E-2</v>
      </c>
      <c r="W12" s="52">
        <f t="shared" si="16"/>
        <v>0.16373889091003585</v>
      </c>
      <c r="X12" s="52">
        <f t="shared" si="16"/>
        <v>8.5450361585705056E-2</v>
      </c>
      <c r="AB12" s="75" t="s">
        <v>70</v>
      </c>
      <c r="AC12" s="74">
        <f>+AC8/AC4</f>
        <v>0.13467651591404087</v>
      </c>
      <c r="AD12" s="74" t="e">
        <f t="shared" ref="AD12:AI12" si="17">+AD8/AD4</f>
        <v>#DIV/0!</v>
      </c>
      <c r="AE12" s="74" t="e">
        <f t="shared" si="17"/>
        <v>#DIV/0!</v>
      </c>
      <c r="AF12" s="74">
        <f t="shared" si="17"/>
        <v>8.8506955124918824E-2</v>
      </c>
      <c r="AG12" s="74">
        <f t="shared" si="17"/>
        <v>4.9571156918932484E-2</v>
      </c>
      <c r="AH12" s="74">
        <f t="shared" si="17"/>
        <v>0.15594990291941438</v>
      </c>
      <c r="AI12" s="74">
        <f t="shared" si="17"/>
        <v>0.10198851256162458</v>
      </c>
      <c r="AJ12" s="74">
        <f>+AJ8/AJ4</f>
        <v>0.10198851256162458</v>
      </c>
      <c r="AM12" s="75" t="s">
        <v>70</v>
      </c>
      <c r="AN12" s="74">
        <f>+AN8/AN4</f>
        <v>0.10747308431883561</v>
      </c>
      <c r="AO12" s="74" t="e">
        <f t="shared" ref="AO12:AT12" si="18">+AO8/AO4</f>
        <v>#DIV/0!</v>
      </c>
      <c r="AP12" s="74" t="e">
        <f t="shared" si="18"/>
        <v>#DIV/0!</v>
      </c>
      <c r="AQ12" s="74">
        <f t="shared" si="18"/>
        <v>7.1505930507006071E-2</v>
      </c>
      <c r="AR12" s="74">
        <f t="shared" si="18"/>
        <v>9.5324647950125255E-2</v>
      </c>
      <c r="AS12" s="74">
        <f t="shared" si="18"/>
        <v>0.11645119022597077</v>
      </c>
      <c r="AT12" s="74">
        <f t="shared" si="18"/>
        <v>9.9191737345591585E-2</v>
      </c>
      <c r="AU12" s="74">
        <f>+AU8/AU4</f>
        <v>9.9191737345591585E-2</v>
      </c>
      <c r="AW12" s="75" t="s">
        <v>70</v>
      </c>
      <c r="AX12" s="74">
        <f>+AX8/AX4</f>
        <v>2.7584720028566451E-2</v>
      </c>
      <c r="AY12" s="74" t="e">
        <f t="shared" ref="AY12:BD12" si="19">+AY8/AY4</f>
        <v>#DIV/0!</v>
      </c>
      <c r="AZ12" s="74" t="e">
        <f t="shared" si="19"/>
        <v>#DIV/0!</v>
      </c>
      <c r="BA12" s="74">
        <f t="shared" si="19"/>
        <v>7.2766685485017857E-2</v>
      </c>
      <c r="BB12" s="74">
        <f t="shared" si="19"/>
        <v>0.14200062024051549</v>
      </c>
      <c r="BC12" s="74">
        <f t="shared" si="19"/>
        <v>9.9178287002706894E-2</v>
      </c>
      <c r="BD12" s="74">
        <f t="shared" si="19"/>
        <v>7.1588153968860618E-2</v>
      </c>
      <c r="BE12" s="74">
        <f>+BE8/BE4</f>
        <v>7.1588153968860618E-2</v>
      </c>
      <c r="BH12" s="74">
        <f t="shared" ref="BH12:BN12" si="20">+BH8/BH4</f>
        <v>8.2990034125980619E-2</v>
      </c>
      <c r="BI12" s="74" t="e">
        <f t="shared" si="20"/>
        <v>#DIV/0!</v>
      </c>
      <c r="BJ12" s="74" t="e">
        <f t="shared" si="20"/>
        <v>#DIV/0!</v>
      </c>
      <c r="BK12" s="74">
        <f t="shared" si="20"/>
        <v>9.7390137284600081E-2</v>
      </c>
      <c r="BL12" s="74">
        <f t="shared" si="20"/>
        <v>9.5856006697362911E-2</v>
      </c>
      <c r="BM12" s="74">
        <f t="shared" si="20"/>
        <v>6.830823936581093E-2</v>
      </c>
      <c r="BN12" s="74">
        <f t="shared" si="20"/>
        <v>8.6961260756127673E-2</v>
      </c>
      <c r="BO12" s="74">
        <f t="shared" ref="BO12" si="21">+BO8/BO4</f>
        <v>8.6961260756127673E-2</v>
      </c>
      <c r="BR12" s="74">
        <f t="shared" ref="BR12:BY12" si="22">+BR8/BR4</f>
        <v>4.3441312311738214E-2</v>
      </c>
      <c r="BS12" s="74" t="e">
        <f t="shared" si="22"/>
        <v>#DIV/0!</v>
      </c>
      <c r="BT12" s="74" t="e">
        <f t="shared" si="22"/>
        <v>#DIV/0!</v>
      </c>
      <c r="BU12" s="74">
        <f t="shared" si="22"/>
        <v>8.5520640506694071E-2</v>
      </c>
      <c r="BV12" s="74">
        <f t="shared" si="22"/>
        <v>7.3489957282765389E-2</v>
      </c>
      <c r="BW12" s="74">
        <f t="shared" si="22"/>
        <v>3.4814162688066454E-2</v>
      </c>
      <c r="BX12" s="74">
        <f t="shared" si="22"/>
        <v>5.6157882284171408E-2</v>
      </c>
      <c r="BY12" s="74">
        <f t="shared" si="22"/>
        <v>5.6157882284171408E-2</v>
      </c>
      <c r="CB12" s="74">
        <f t="shared" ref="CB12:CI12" si="23">+CB8/CB4</f>
        <v>8.9059140707641524E-2</v>
      </c>
      <c r="CC12" s="74" t="e">
        <f t="shared" si="23"/>
        <v>#DIV/0!</v>
      </c>
      <c r="CD12" s="74" t="e">
        <f t="shared" si="23"/>
        <v>#DIV/0!</v>
      </c>
      <c r="CE12" s="74">
        <f t="shared" si="23"/>
        <v>0.14330343082971828</v>
      </c>
      <c r="CF12" s="74">
        <f t="shared" si="23"/>
        <v>6.0726134821293923E-2</v>
      </c>
      <c r="CG12" s="74">
        <f t="shared" si="23"/>
        <v>9.7184527236340704E-2</v>
      </c>
      <c r="CH12" s="74">
        <f t="shared" si="23"/>
        <v>8.7217586706805225E-2</v>
      </c>
      <c r="CI12" s="74">
        <f t="shared" si="23"/>
        <v>8.7217586706805225E-2</v>
      </c>
      <c r="CL12" s="74">
        <f t="shared" ref="CL12:CS12" si="24">+CL8/CL4</f>
        <v>9.0102020688142354E-2</v>
      </c>
      <c r="CM12" s="74" t="e">
        <f t="shared" si="24"/>
        <v>#DIV/0!</v>
      </c>
      <c r="CN12" s="74" t="e">
        <f t="shared" si="24"/>
        <v>#DIV/0!</v>
      </c>
      <c r="CO12" s="74">
        <f t="shared" si="24"/>
        <v>2.9160667572445401E-2</v>
      </c>
      <c r="CP12" s="74">
        <f t="shared" si="24"/>
        <v>6.9917216179404176E-2</v>
      </c>
      <c r="CQ12" s="74">
        <f t="shared" si="24"/>
        <v>0.1025600620621106</v>
      </c>
      <c r="CR12" s="74">
        <f t="shared" si="24"/>
        <v>8.3946820038010739E-2</v>
      </c>
      <c r="CS12" s="74">
        <f t="shared" si="24"/>
        <v>8.3946820038010739E-2</v>
      </c>
    </row>
    <row r="13" spans="2:97" ht="24.75" hidden="1" customHeight="1">
      <c r="B13" s="175" t="s">
        <v>16</v>
      </c>
      <c r="C13" s="176"/>
      <c r="D13" s="176"/>
      <c r="E13" s="176"/>
      <c r="F13" s="176"/>
      <c r="R13" s="178"/>
      <c r="S13" s="179"/>
      <c r="T13" s="179"/>
      <c r="U13" s="179"/>
      <c r="V13" s="179"/>
      <c r="W13" s="179"/>
      <c r="X13" s="179"/>
    </row>
    <row r="14" spans="2:97" ht="24.75" hidden="1" customHeight="1">
      <c r="B14" s="12"/>
      <c r="C14" s="3">
        <v>2007</v>
      </c>
      <c r="D14" s="3">
        <v>2008</v>
      </c>
      <c r="E14" s="35">
        <v>2009</v>
      </c>
      <c r="F14" s="3" t="s">
        <v>0</v>
      </c>
      <c r="R14" s="27"/>
      <c r="S14" s="28"/>
      <c r="T14" s="28"/>
      <c r="U14" s="28"/>
      <c r="V14" s="28"/>
      <c r="W14" s="28"/>
      <c r="X14" s="28"/>
      <c r="BG14" s="76" t="s">
        <v>71</v>
      </c>
      <c r="BQ14" s="76" t="s">
        <v>71</v>
      </c>
      <c r="CA14" s="76" t="s">
        <v>71</v>
      </c>
      <c r="CK14" s="76" t="s">
        <v>71</v>
      </c>
    </row>
    <row r="15" spans="2:97" ht="24.75" hidden="1" customHeight="1">
      <c r="B15" s="13" t="s">
        <v>1</v>
      </c>
      <c r="C15" s="14">
        <v>744401</v>
      </c>
      <c r="D15" s="14">
        <v>694288</v>
      </c>
      <c r="E15" s="36"/>
      <c r="F15" s="14"/>
      <c r="R15" s="29"/>
      <c r="S15" s="30"/>
      <c r="T15" s="30"/>
      <c r="U15" s="30"/>
      <c r="V15" s="30"/>
      <c r="W15" s="30"/>
      <c r="X15" s="30"/>
      <c r="BG15" s="77" t="s">
        <v>125</v>
      </c>
      <c r="BQ15" s="77" t="s">
        <v>125</v>
      </c>
      <c r="CA15" s="77" t="s">
        <v>125</v>
      </c>
      <c r="CK15" s="77" t="s">
        <v>125</v>
      </c>
    </row>
    <row r="16" spans="2:97" ht="24.75" hidden="1" customHeight="1">
      <c r="B16" s="13" t="s">
        <v>2</v>
      </c>
      <c r="C16" s="14">
        <v>407789</v>
      </c>
      <c r="D16" s="14">
        <v>386174</v>
      </c>
      <c r="E16" s="36"/>
      <c r="F16" s="14"/>
      <c r="R16" s="29"/>
      <c r="S16" s="30"/>
      <c r="T16" s="30"/>
      <c r="U16" s="30"/>
      <c r="V16" s="30"/>
      <c r="W16" s="30"/>
      <c r="X16" s="30"/>
    </row>
    <row r="17" spans="2:89" ht="24.75" hidden="1" customHeight="1">
      <c r="B17" s="13" t="s">
        <v>3</v>
      </c>
      <c r="C17" s="14">
        <f>C15-C16</f>
        <v>336612</v>
      </c>
      <c r="D17" s="14">
        <f>D15-D16</f>
        <v>308114</v>
      </c>
      <c r="E17" s="36"/>
      <c r="F17" s="14"/>
      <c r="R17" s="29"/>
      <c r="S17" s="30"/>
      <c r="T17" s="30"/>
      <c r="U17" s="30"/>
      <c r="V17" s="30"/>
      <c r="W17" s="30"/>
      <c r="X17" s="30"/>
    </row>
    <row r="18" spans="2:89" ht="24.75" hidden="1" customHeight="1">
      <c r="B18" s="13" t="s">
        <v>14</v>
      </c>
      <c r="C18" s="14">
        <v>239322</v>
      </c>
      <c r="D18" s="14">
        <v>229597</v>
      </c>
      <c r="E18" s="36"/>
      <c r="F18" s="14"/>
      <c r="R18" s="29"/>
      <c r="S18" s="30"/>
      <c r="T18" s="30"/>
      <c r="U18" s="30"/>
      <c r="V18" s="30"/>
      <c r="W18" s="30"/>
      <c r="X18" s="30"/>
    </row>
    <row r="19" spans="2:89" ht="24.75" hidden="1" customHeight="1">
      <c r="B19" s="13" t="s">
        <v>4</v>
      </c>
      <c r="C19" s="14">
        <f>C17-C18</f>
        <v>97290</v>
      </c>
      <c r="D19" s="14">
        <f>D17-D18</f>
        <v>78517</v>
      </c>
      <c r="E19" s="36"/>
      <c r="F19" s="14"/>
      <c r="R19" s="29"/>
      <c r="S19" s="30"/>
      <c r="T19" s="30"/>
      <c r="U19" s="30"/>
      <c r="V19" s="30"/>
      <c r="W19" s="30"/>
      <c r="X19" s="30"/>
    </row>
    <row r="20" spans="2:89" ht="24.75" hidden="1" customHeight="1">
      <c r="B20" s="13" t="s">
        <v>5</v>
      </c>
      <c r="C20" s="15">
        <f>C19/C15</f>
        <v>0.13069568686769631</v>
      </c>
      <c r="D20" s="15">
        <f>D19/D15</f>
        <v>0.11308995690549167</v>
      </c>
      <c r="E20" s="37"/>
      <c r="F20" s="15"/>
      <c r="R20" s="29"/>
      <c r="S20" s="31"/>
      <c r="T20" s="31"/>
      <c r="U20" s="31"/>
      <c r="V20" s="31"/>
      <c r="W20" s="31"/>
      <c r="X20" s="31"/>
    </row>
    <row r="21" spans="2:89" ht="16.5" hidden="1" customHeight="1">
      <c r="R21" s="32"/>
      <c r="S21" s="32"/>
      <c r="T21" s="32"/>
      <c r="U21" s="32"/>
      <c r="V21" s="32"/>
      <c r="W21" s="32"/>
      <c r="X21" s="32"/>
    </row>
    <row r="22" spans="2:89" ht="17.25" hidden="1" customHeight="1" thickBot="1">
      <c r="B22" s="17" t="s">
        <v>15</v>
      </c>
      <c r="C22" s="18"/>
      <c r="D22" s="18"/>
      <c r="E22" s="18"/>
      <c r="F22" s="18"/>
    </row>
    <row r="23" spans="2:89" ht="16.5" hidden="1" customHeight="1">
      <c r="B23" s="2"/>
      <c r="C23" s="16"/>
      <c r="D23" s="16"/>
      <c r="E23" s="16"/>
      <c r="F23" s="16"/>
    </row>
    <row r="24" spans="2:89" ht="16.5" hidden="1" customHeight="1">
      <c r="B24" s="157" t="s">
        <v>18</v>
      </c>
      <c r="C24" s="158"/>
      <c r="D24" s="158"/>
      <c r="E24" s="158"/>
      <c r="F24" s="159"/>
    </row>
    <row r="25" spans="2:89" ht="16.5" hidden="1" customHeight="1">
      <c r="B25" s="160"/>
      <c r="C25" s="161"/>
      <c r="D25" s="161"/>
      <c r="E25" s="161"/>
      <c r="F25" s="162"/>
    </row>
    <row r="26" spans="2:89" ht="17.25" hidden="1" customHeight="1" thickBot="1">
      <c r="B26" s="163"/>
      <c r="C26" s="164"/>
      <c r="D26" s="164"/>
      <c r="E26" s="164"/>
      <c r="F26" s="165"/>
    </row>
    <row r="27" spans="2:89">
      <c r="R27" s="51"/>
      <c r="AB27" s="76" t="s">
        <v>71</v>
      </c>
      <c r="AM27" s="76" t="s">
        <v>71</v>
      </c>
      <c r="BG27" s="76" t="s">
        <v>71</v>
      </c>
      <c r="BQ27" s="76" t="s">
        <v>71</v>
      </c>
      <c r="CA27" s="76" t="s">
        <v>71</v>
      </c>
      <c r="CK27" s="76" t="s">
        <v>71</v>
      </c>
    </row>
    <row r="28" spans="2:89">
      <c r="AB28" s="77" t="s">
        <v>72</v>
      </c>
      <c r="AM28" s="77" t="s">
        <v>72</v>
      </c>
      <c r="BG28" s="77" t="s">
        <v>125</v>
      </c>
      <c r="BQ28" s="77" t="s">
        <v>125</v>
      </c>
      <c r="CA28" s="77" t="s">
        <v>125</v>
      </c>
      <c r="CK28" s="77" t="s">
        <v>125</v>
      </c>
    </row>
    <row r="29" spans="2:89">
      <c r="AW29" s="91" t="s">
        <v>87</v>
      </c>
      <c r="AX29" s="92">
        <v>580420002</v>
      </c>
    </row>
    <row r="30" spans="2:89">
      <c r="AW30" s="91" t="s">
        <v>88</v>
      </c>
      <c r="AX30" s="92">
        <v>811157116</v>
      </c>
    </row>
    <row r="31" spans="2:89">
      <c r="AW31" s="91" t="s">
        <v>89</v>
      </c>
      <c r="AX31" s="92">
        <v>9750</v>
      </c>
    </row>
    <row r="32" spans="2:89">
      <c r="AD32" s="65" t="s">
        <v>80</v>
      </c>
      <c r="AO32" s="65" t="s">
        <v>80</v>
      </c>
      <c r="AW32" s="91" t="s">
        <v>90</v>
      </c>
      <c r="AX32" s="92">
        <v>713700</v>
      </c>
    </row>
  </sheetData>
  <mergeCells count="16">
    <mergeCell ref="CK2:CR2"/>
    <mergeCell ref="CA2:CH2"/>
    <mergeCell ref="BQ2:BX2"/>
    <mergeCell ref="B24:F26"/>
    <mergeCell ref="B2:E2"/>
    <mergeCell ref="F2:F8"/>
    <mergeCell ref="G2:J2"/>
    <mergeCell ref="BG2:BN2"/>
    <mergeCell ref="AW2:BD2"/>
    <mergeCell ref="L2:O2"/>
    <mergeCell ref="AM2:AT2"/>
    <mergeCell ref="B13:F13"/>
    <mergeCell ref="AB2:AI2"/>
    <mergeCell ref="Q2:X2"/>
    <mergeCell ref="R13:X13"/>
    <mergeCell ref="K2:K8"/>
  </mergeCells>
  <phoneticPr fontId="2" type="noConversion"/>
  <pageMargins left="0.11811023622047245" right="0.11811023622047245" top="0.74803149606299213" bottom="0.74803149606299213" header="0.31496062992125984" footer="0.31496062992125984"/>
  <pageSetup paperSize="9" fitToWidth="2" orientation="landscape" r:id="rId1"/>
  <headerFooter alignWithMargins="0">
    <oddFooter>&amp;R&amp;Z&amp;F
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6"/>
    <pageSetUpPr fitToPage="1"/>
  </sheetPr>
  <dimension ref="B1:K102"/>
  <sheetViews>
    <sheetView topLeftCell="A91" workbookViewId="0">
      <selection activeCell="C100" sqref="C100:E100"/>
    </sheetView>
  </sheetViews>
  <sheetFormatPr defaultRowHeight="16.2"/>
  <cols>
    <col min="1" max="1" width="1" customWidth="1"/>
    <col min="2" max="2" width="21.109375" customWidth="1"/>
    <col min="3" max="3" width="10.21875" bestFit="1" customWidth="1"/>
    <col min="5" max="5" width="16.44140625" customWidth="1"/>
    <col min="6" max="6" width="1.109375" customWidth="1"/>
    <col min="7" max="7" width="13.33203125" customWidth="1"/>
    <col min="8" max="8" width="10.109375" customWidth="1"/>
    <col min="9" max="9" width="6.109375" customWidth="1"/>
    <col min="10" max="10" width="31.21875" customWidth="1"/>
  </cols>
  <sheetData>
    <row r="1" spans="2:11" ht="20.25" customHeight="1"/>
    <row r="2" spans="2:11" hidden="1">
      <c r="B2" s="202" t="s">
        <v>17</v>
      </c>
      <c r="C2" s="203"/>
      <c r="D2" s="203"/>
      <c r="E2" s="203"/>
      <c r="F2" s="1"/>
      <c r="K2" s="2"/>
    </row>
    <row r="3" spans="2:11" hidden="1">
      <c r="B3" s="204">
        <v>2006</v>
      </c>
      <c r="C3" s="204"/>
      <c r="D3" s="204"/>
      <c r="E3" s="204"/>
      <c r="F3" s="1"/>
      <c r="K3" s="2"/>
    </row>
    <row r="4" spans="2:11" hidden="1">
      <c r="B4" s="25" t="s">
        <v>1</v>
      </c>
      <c r="C4" s="208">
        <v>389627</v>
      </c>
      <c r="D4" s="208"/>
      <c r="E4" s="208"/>
      <c r="F4" s="10"/>
      <c r="K4" s="7"/>
    </row>
    <row r="5" spans="2:11" hidden="1">
      <c r="B5" s="25" t="s">
        <v>2</v>
      </c>
      <c r="C5" s="208">
        <v>202316</v>
      </c>
      <c r="D5" s="208"/>
      <c r="E5" s="208">
        <v>500975</v>
      </c>
      <c r="F5" s="10"/>
      <c r="K5" s="7"/>
    </row>
    <row r="6" spans="2:11" hidden="1">
      <c r="B6" s="25" t="s">
        <v>3</v>
      </c>
      <c r="C6" s="208">
        <v>187311</v>
      </c>
      <c r="D6" s="208"/>
      <c r="E6" s="208">
        <v>396426</v>
      </c>
      <c r="F6" s="10"/>
      <c r="K6" s="7"/>
    </row>
    <row r="7" spans="2:11" ht="32.4" hidden="1">
      <c r="B7" s="26" t="s">
        <v>13</v>
      </c>
      <c r="C7" s="208">
        <v>22544</v>
      </c>
      <c r="D7" s="208"/>
      <c r="E7" s="208"/>
      <c r="F7" s="10"/>
      <c r="K7" s="7"/>
    </row>
    <row r="8" spans="2:11" hidden="1">
      <c r="B8" s="25" t="s">
        <v>4</v>
      </c>
      <c r="C8" s="208">
        <f>C4-C5-C7</f>
        <v>164767</v>
      </c>
      <c r="D8" s="208"/>
      <c r="E8" s="208"/>
      <c r="F8" s="10"/>
      <c r="K8" s="7"/>
    </row>
    <row r="9" spans="2:11" hidden="1">
      <c r="B9" s="25" t="s">
        <v>5</v>
      </c>
      <c r="C9" s="211">
        <f>C8/C4</f>
        <v>0.42288393771478877</v>
      </c>
      <c r="D9" s="211"/>
      <c r="E9" s="211"/>
      <c r="F9" s="10"/>
      <c r="K9" s="7"/>
    </row>
    <row r="11" spans="2:11">
      <c r="B11" s="186" t="s">
        <v>17</v>
      </c>
      <c r="C11" s="170"/>
      <c r="D11" s="170"/>
      <c r="E11" s="171"/>
    </row>
    <row r="12" spans="2:11">
      <c r="B12" s="205">
        <v>2007</v>
      </c>
      <c r="C12" s="206"/>
      <c r="D12" s="206"/>
      <c r="E12" s="207"/>
    </row>
    <row r="13" spans="2:11">
      <c r="B13" s="4" t="s">
        <v>1</v>
      </c>
      <c r="C13" s="198">
        <v>420065</v>
      </c>
      <c r="D13" s="209"/>
      <c r="E13" s="210"/>
    </row>
    <row r="14" spans="2:11">
      <c r="B14" s="4" t="s">
        <v>2</v>
      </c>
      <c r="C14" s="198">
        <v>222552</v>
      </c>
      <c r="D14" s="209"/>
      <c r="E14" s="210">
        <v>471468</v>
      </c>
    </row>
    <row r="15" spans="2:11">
      <c r="B15" s="4" t="s">
        <v>3</v>
      </c>
      <c r="C15" s="198">
        <v>197513</v>
      </c>
      <c r="D15" s="209"/>
      <c r="E15" s="210">
        <v>396426</v>
      </c>
      <c r="G15" s="54">
        <v>0.47</v>
      </c>
    </row>
    <row r="16" spans="2:11" ht="32.4">
      <c r="B16" s="11" t="s">
        <v>13</v>
      </c>
      <c r="C16" s="196">
        <v>15298</v>
      </c>
      <c r="D16" s="196"/>
      <c r="E16" s="196"/>
      <c r="G16" s="54">
        <v>3.5999999999999997E-2</v>
      </c>
    </row>
    <row r="17" spans="2:7" ht="16.8" thickBot="1">
      <c r="B17" s="4" t="s">
        <v>4</v>
      </c>
      <c r="C17" s="197">
        <f>C13-C14-C16</f>
        <v>182215</v>
      </c>
      <c r="D17" s="197"/>
      <c r="E17" s="197"/>
    </row>
    <row r="18" spans="2:7" ht="17.399999999999999" thickTop="1" thickBot="1">
      <c r="B18" s="21" t="s">
        <v>5</v>
      </c>
      <c r="C18" s="183">
        <f>C17/C13</f>
        <v>0.43377810576934522</v>
      </c>
      <c r="D18" s="184"/>
      <c r="E18" s="185"/>
    </row>
    <row r="19" spans="2:7" ht="16.8" thickTop="1"/>
    <row r="20" spans="2:7">
      <c r="B20" s="186" t="s">
        <v>17</v>
      </c>
      <c r="C20" s="170"/>
      <c r="D20" s="170"/>
      <c r="E20" s="171"/>
    </row>
    <row r="21" spans="2:7">
      <c r="B21" s="205">
        <v>2008</v>
      </c>
      <c r="C21" s="206"/>
      <c r="D21" s="206"/>
      <c r="E21" s="207"/>
    </row>
    <row r="22" spans="2:7">
      <c r="B22" s="4" t="s">
        <v>1</v>
      </c>
      <c r="C22" s="198">
        <v>382243</v>
      </c>
      <c r="D22" s="209"/>
      <c r="E22" s="210"/>
    </row>
    <row r="23" spans="2:7">
      <c r="B23" s="4" t="s">
        <v>2</v>
      </c>
      <c r="C23" s="198">
        <v>180235</v>
      </c>
      <c r="D23" s="209"/>
      <c r="E23" s="210"/>
    </row>
    <row r="24" spans="2:7">
      <c r="B24" s="4" t="s">
        <v>3</v>
      </c>
      <c r="C24" s="198">
        <v>202008</v>
      </c>
      <c r="D24" s="209"/>
      <c r="E24" s="210">
        <v>396426</v>
      </c>
      <c r="G24" s="54">
        <v>0.52800000000000002</v>
      </c>
    </row>
    <row r="25" spans="2:7" ht="32.4">
      <c r="B25" s="11" t="s">
        <v>13</v>
      </c>
      <c r="C25" s="196">
        <v>11254</v>
      </c>
      <c r="D25" s="196"/>
      <c r="E25" s="196"/>
      <c r="G25" s="54">
        <v>2.9000000000000001E-2</v>
      </c>
    </row>
    <row r="26" spans="2:7" ht="16.8" thickBot="1">
      <c r="B26" s="4" t="s">
        <v>4</v>
      </c>
      <c r="C26" s="197">
        <f>C22-C23-C25</f>
        <v>190754</v>
      </c>
      <c r="D26" s="197"/>
      <c r="E26" s="197"/>
    </row>
    <row r="27" spans="2:7" ht="17.399999999999999" thickTop="1" thickBot="1">
      <c r="B27" s="21" t="s">
        <v>5</v>
      </c>
      <c r="C27" s="183">
        <f>C26/C22</f>
        <v>0.49903856970565846</v>
      </c>
      <c r="D27" s="184"/>
      <c r="E27" s="185"/>
    </row>
    <row r="28" spans="2:7" ht="16.8" thickTop="1"/>
    <row r="29" spans="2:7">
      <c r="B29" s="186" t="s">
        <v>17</v>
      </c>
      <c r="C29" s="170"/>
      <c r="D29" s="170"/>
      <c r="E29" s="171"/>
    </row>
    <row r="30" spans="2:7">
      <c r="B30" s="212">
        <v>2009</v>
      </c>
      <c r="C30" s="213"/>
      <c r="D30" s="213"/>
      <c r="E30" s="214"/>
    </row>
    <row r="31" spans="2:7">
      <c r="B31" s="4" t="s">
        <v>1</v>
      </c>
      <c r="C31" s="198">
        <f>436318-98942</f>
        <v>337376</v>
      </c>
      <c r="D31" s="191"/>
      <c r="E31" s="192"/>
    </row>
    <row r="32" spans="2:7">
      <c r="B32" s="4" t="s">
        <v>2</v>
      </c>
      <c r="C32" s="198">
        <f>256401-59031</f>
        <v>197370</v>
      </c>
      <c r="D32" s="191"/>
      <c r="E32" s="192"/>
    </row>
    <row r="33" spans="2:7">
      <c r="B33" s="4" t="s">
        <v>3</v>
      </c>
      <c r="C33" s="198">
        <v>140006</v>
      </c>
      <c r="D33" s="191"/>
      <c r="E33" s="192"/>
      <c r="G33" s="54">
        <v>0.41499999999999998</v>
      </c>
    </row>
    <row r="34" spans="2:7" ht="32.4">
      <c r="B34" s="11" t="s">
        <v>13</v>
      </c>
      <c r="C34" s="196">
        <v>9771</v>
      </c>
      <c r="D34" s="196"/>
      <c r="E34" s="196"/>
      <c r="G34" s="54">
        <v>2.9000000000000001E-2</v>
      </c>
    </row>
    <row r="35" spans="2:7" ht="16.8" thickBot="1">
      <c r="B35" s="4" t="s">
        <v>4</v>
      </c>
      <c r="C35" s="197">
        <f>C31-C32-C34</f>
        <v>130235</v>
      </c>
      <c r="D35" s="197"/>
      <c r="E35" s="197"/>
    </row>
    <row r="36" spans="2:7" ht="17.399999999999999" thickTop="1" thickBot="1">
      <c r="B36" s="21" t="s">
        <v>5</v>
      </c>
      <c r="C36" s="183">
        <f>C35/C31</f>
        <v>0.38602330930475198</v>
      </c>
      <c r="D36" s="184"/>
      <c r="E36" s="185"/>
    </row>
    <row r="37" spans="2:7" ht="16.8" thickTop="1">
      <c r="B37" s="55" t="s">
        <v>73</v>
      </c>
    </row>
    <row r="38" spans="2:7">
      <c r="B38" s="186" t="s">
        <v>17</v>
      </c>
      <c r="C38" s="170"/>
      <c r="D38" s="170"/>
      <c r="E38" s="171"/>
    </row>
    <row r="39" spans="2:7">
      <c r="B39" s="212">
        <v>2010</v>
      </c>
      <c r="C39" s="213"/>
      <c r="D39" s="213"/>
      <c r="E39" s="214"/>
      <c r="G39" t="s">
        <v>77</v>
      </c>
    </row>
    <row r="40" spans="2:7">
      <c r="B40" s="4" t="s">
        <v>1</v>
      </c>
      <c r="C40" s="198">
        <v>534276</v>
      </c>
      <c r="D40" s="191"/>
      <c r="E40" s="192"/>
    </row>
    <row r="41" spans="2:7">
      <c r="B41" s="4" t="s">
        <v>2</v>
      </c>
      <c r="C41" s="198">
        <f>308601-527</f>
        <v>308074</v>
      </c>
      <c r="D41" s="191"/>
      <c r="E41" s="192"/>
    </row>
    <row r="42" spans="2:7">
      <c r="B42" s="4" t="s">
        <v>3</v>
      </c>
      <c r="C42" s="198">
        <f>C40-C41</f>
        <v>226202</v>
      </c>
      <c r="D42" s="191"/>
      <c r="E42" s="192"/>
      <c r="G42" s="54">
        <f>C42/C40</f>
        <v>0.42338042509863816</v>
      </c>
    </row>
    <row r="43" spans="2:7" ht="32.4">
      <c r="B43" s="11" t="s">
        <v>13</v>
      </c>
      <c r="C43" s="196">
        <v>426</v>
      </c>
      <c r="D43" s="196"/>
      <c r="E43" s="196"/>
      <c r="G43" s="54">
        <f>C43/C40</f>
        <v>7.9734070031219821E-4</v>
      </c>
    </row>
    <row r="44" spans="2:7" ht="16.8" thickBot="1">
      <c r="B44" s="4" t="s">
        <v>4</v>
      </c>
      <c r="C44" s="197">
        <f>C42-89964-4297-ROUND(C40*0.07/100,0)*100-C43</f>
        <v>94115</v>
      </c>
      <c r="D44" s="197"/>
      <c r="E44" s="197"/>
    </row>
    <row r="45" spans="2:7" ht="17.399999999999999" thickTop="1" thickBot="1">
      <c r="B45" s="21" t="s">
        <v>5</v>
      </c>
      <c r="C45" s="183">
        <f>C44/C40</f>
        <v>0.17615427232366793</v>
      </c>
      <c r="D45" s="184"/>
      <c r="E45" s="185"/>
    </row>
    <row r="46" spans="2:7" ht="16.8" thickTop="1"/>
    <row r="47" spans="2:7">
      <c r="B47" s="186" t="s">
        <v>17</v>
      </c>
      <c r="C47" s="170"/>
      <c r="D47" s="170"/>
      <c r="E47" s="171"/>
    </row>
    <row r="48" spans="2:7">
      <c r="B48" s="187">
        <v>2011</v>
      </c>
      <c r="C48" s="188"/>
      <c r="D48" s="188"/>
      <c r="E48" s="189"/>
      <c r="G48" t="s">
        <v>77</v>
      </c>
    </row>
    <row r="49" spans="2:11">
      <c r="B49" s="4" t="s">
        <v>1</v>
      </c>
      <c r="C49" s="198">
        <v>364270</v>
      </c>
      <c r="D49" s="191"/>
      <c r="E49" s="192"/>
    </row>
    <row r="50" spans="2:11">
      <c r="B50" s="4" t="s">
        <v>2</v>
      </c>
      <c r="C50" s="198">
        <v>219800</v>
      </c>
      <c r="D50" s="191"/>
      <c r="E50" s="192"/>
    </row>
    <row r="51" spans="2:11">
      <c r="B51" s="4" t="s">
        <v>3</v>
      </c>
      <c r="C51" s="198">
        <f>C49-C50</f>
        <v>144470</v>
      </c>
      <c r="D51" s="191"/>
      <c r="E51" s="192"/>
      <c r="G51" s="54">
        <f>C51/C49</f>
        <v>0.39660142202212645</v>
      </c>
    </row>
    <row r="52" spans="2:11" ht="32.4">
      <c r="B52" s="11" t="s">
        <v>13</v>
      </c>
      <c r="C52" s="196">
        <v>339</v>
      </c>
      <c r="D52" s="196"/>
      <c r="E52" s="196"/>
      <c r="G52" s="54">
        <f>C52/C49</f>
        <v>9.3062838004776677E-4</v>
      </c>
    </row>
    <row r="53" spans="2:11" ht="16.8" thickBot="1">
      <c r="B53" s="4" t="s">
        <v>4</v>
      </c>
      <c r="C53" s="197">
        <v>44148</v>
      </c>
      <c r="D53" s="197"/>
      <c r="E53" s="197"/>
    </row>
    <row r="54" spans="2:11" ht="17.399999999999999" thickTop="1" thickBot="1">
      <c r="B54" s="21" t="s">
        <v>5</v>
      </c>
      <c r="C54" s="183">
        <f>C53/C49</f>
        <v>0.12119581629011447</v>
      </c>
      <c r="D54" s="184"/>
      <c r="E54" s="185"/>
    </row>
    <row r="55" spans="2:11" ht="16.8" thickTop="1"/>
    <row r="56" spans="2:11">
      <c r="B56" s="186" t="s">
        <v>17</v>
      </c>
      <c r="C56" s="170"/>
      <c r="D56" s="170"/>
      <c r="E56" s="171"/>
      <c r="G56" s="199" t="s">
        <v>107</v>
      </c>
      <c r="H56" s="200"/>
      <c r="I56" s="200"/>
      <c r="J56" s="201"/>
      <c r="K56" t="s">
        <v>108</v>
      </c>
    </row>
    <row r="57" spans="2:11">
      <c r="B57" s="187">
        <v>2012</v>
      </c>
      <c r="C57" s="188"/>
      <c r="D57" s="188"/>
      <c r="E57" s="189"/>
      <c r="G57" s="187">
        <v>2012</v>
      </c>
      <c r="H57" s="188"/>
      <c r="I57" s="188"/>
      <c r="J57" s="189"/>
    </row>
    <row r="58" spans="2:11">
      <c r="B58" s="4" t="s">
        <v>1</v>
      </c>
      <c r="C58" s="198">
        <v>298529</v>
      </c>
      <c r="D58" s="191"/>
      <c r="E58" s="192"/>
      <c r="G58" s="4" t="s">
        <v>1</v>
      </c>
      <c r="H58" s="198">
        <v>24160</v>
      </c>
      <c r="I58" s="191"/>
      <c r="J58" s="192"/>
    </row>
    <row r="59" spans="2:11">
      <c r="B59" s="4" t="s">
        <v>2</v>
      </c>
      <c r="C59" s="198">
        <v>151515</v>
      </c>
      <c r="D59" s="191"/>
      <c r="E59" s="192"/>
      <c r="G59" s="4" t="s">
        <v>2</v>
      </c>
      <c r="H59" s="198">
        <f>24160-12362</f>
        <v>11798</v>
      </c>
      <c r="I59" s="191"/>
      <c r="J59" s="192"/>
    </row>
    <row r="60" spans="2:11">
      <c r="B60" s="4" t="s">
        <v>3</v>
      </c>
      <c r="C60" s="198">
        <f>C58-C59</f>
        <v>147014</v>
      </c>
      <c r="D60" s="191"/>
      <c r="E60" s="192"/>
      <c r="G60" s="4" t="s">
        <v>3</v>
      </c>
      <c r="H60" s="198">
        <v>12362</v>
      </c>
      <c r="I60" s="191"/>
      <c r="J60" s="192"/>
    </row>
    <row r="61" spans="2:11" ht="32.4">
      <c r="B61" s="11" t="s">
        <v>13</v>
      </c>
      <c r="C61" s="196">
        <v>266</v>
      </c>
      <c r="D61" s="196"/>
      <c r="E61" s="196"/>
      <c r="G61" s="11" t="s">
        <v>13</v>
      </c>
      <c r="H61" s="196">
        <v>3390</v>
      </c>
      <c r="I61" s="196"/>
      <c r="J61" s="196"/>
    </row>
    <row r="62" spans="2:11" ht="16.8" thickBot="1">
      <c r="B62" s="4" t="s">
        <v>4</v>
      </c>
      <c r="C62" s="197">
        <f>70895-298529*0.07</f>
        <v>49997.97</v>
      </c>
      <c r="D62" s="197"/>
      <c r="E62" s="197"/>
      <c r="G62" s="4" t="s">
        <v>4</v>
      </c>
      <c r="H62" s="197">
        <v>2910</v>
      </c>
      <c r="I62" s="197"/>
      <c r="J62" s="197"/>
    </row>
    <row r="63" spans="2:11" ht="17.399999999999999" thickTop="1" thickBot="1">
      <c r="B63" s="21" t="s">
        <v>5</v>
      </c>
      <c r="C63" s="183">
        <f>C62/C58</f>
        <v>0.16748111573749955</v>
      </c>
      <c r="D63" s="184"/>
      <c r="E63" s="185"/>
      <c r="G63" s="21" t="s">
        <v>5</v>
      </c>
      <c r="H63" s="183">
        <f>H62/H58</f>
        <v>0.12044701986754967</v>
      </c>
      <c r="I63" s="184"/>
      <c r="J63" s="185"/>
    </row>
    <row r="64" spans="2:11" ht="16.8" thickTop="1"/>
    <row r="67" spans="2:7">
      <c r="B67" s="186" t="s">
        <v>126</v>
      </c>
      <c r="C67" s="170"/>
      <c r="D67" s="170"/>
      <c r="E67" s="171"/>
    </row>
    <row r="68" spans="2:7">
      <c r="B68" s="187">
        <v>2013</v>
      </c>
      <c r="C68" s="188"/>
      <c r="D68" s="188"/>
      <c r="E68" s="189"/>
    </row>
    <row r="69" spans="2:7">
      <c r="B69" s="116" t="s">
        <v>127</v>
      </c>
      <c r="C69" s="190">
        <v>296912</v>
      </c>
      <c r="D69" s="191"/>
      <c r="E69" s="192"/>
    </row>
    <row r="70" spans="2:7">
      <c r="B70" s="116" t="s">
        <v>128</v>
      </c>
      <c r="C70" s="190">
        <v>143354</v>
      </c>
      <c r="D70" s="191"/>
      <c r="E70" s="192"/>
    </row>
    <row r="71" spans="2:7">
      <c r="B71" s="116" t="s">
        <v>129</v>
      </c>
      <c r="C71" s="190">
        <v>153558</v>
      </c>
      <c r="D71" s="191"/>
      <c r="E71" s="192"/>
    </row>
    <row r="72" spans="2:7" ht="32.4">
      <c r="B72" s="117" t="s">
        <v>130</v>
      </c>
      <c r="C72" s="181">
        <v>375</v>
      </c>
      <c r="D72" s="181"/>
      <c r="E72" s="181"/>
    </row>
    <row r="73" spans="2:7" ht="16.8" thickBot="1">
      <c r="B73" s="116" t="s">
        <v>131</v>
      </c>
      <c r="C73" s="182">
        <f>69354-20784</f>
        <v>48570</v>
      </c>
      <c r="D73" s="182"/>
      <c r="E73" s="182"/>
    </row>
    <row r="74" spans="2:7" ht="17.399999999999999" thickTop="1" thickBot="1">
      <c r="B74" s="118" t="s">
        <v>132</v>
      </c>
      <c r="C74" s="183">
        <f>C73/C69</f>
        <v>0.16358382281618797</v>
      </c>
      <c r="D74" s="184"/>
      <c r="E74" s="185"/>
    </row>
    <row r="75" spans="2:7" ht="16.8" thickTop="1"/>
    <row r="76" spans="2:7">
      <c r="B76" s="186" t="s">
        <v>17</v>
      </c>
      <c r="C76" s="170"/>
      <c r="D76" s="170"/>
      <c r="E76" s="171"/>
    </row>
    <row r="77" spans="2:7">
      <c r="B77" s="187">
        <v>2014</v>
      </c>
      <c r="C77" s="188"/>
      <c r="D77" s="188"/>
      <c r="E77" s="189"/>
    </row>
    <row r="78" spans="2:7">
      <c r="B78" s="116" t="s">
        <v>120</v>
      </c>
      <c r="C78" s="190">
        <v>425560</v>
      </c>
      <c r="D78" s="191"/>
      <c r="E78" s="192"/>
    </row>
    <row r="79" spans="2:7">
      <c r="B79" s="116" t="s">
        <v>2</v>
      </c>
      <c r="C79" s="193">
        <f>425560-233317</f>
        <v>192243</v>
      </c>
      <c r="D79" s="194"/>
      <c r="E79" s="195"/>
    </row>
    <row r="80" spans="2:7">
      <c r="B80" s="116" t="s">
        <v>3</v>
      </c>
      <c r="C80" s="190">
        <v>233317</v>
      </c>
      <c r="D80" s="191"/>
      <c r="E80" s="192"/>
      <c r="G80" s="52">
        <f>C80/C78</f>
        <v>0.54825876492151515</v>
      </c>
    </row>
    <row r="81" spans="2:7" ht="32.4">
      <c r="B81" s="117" t="s">
        <v>13</v>
      </c>
      <c r="C81" s="181">
        <v>398</v>
      </c>
      <c r="D81" s="181"/>
      <c r="E81" s="181"/>
    </row>
    <row r="82" spans="2:7" ht="16.8" thickBot="1">
      <c r="B82" s="116" t="s">
        <v>4</v>
      </c>
      <c r="C82" s="182">
        <f>133328-31917-36200</f>
        <v>65211</v>
      </c>
      <c r="D82" s="182"/>
      <c r="E82" s="182"/>
    </row>
    <row r="83" spans="2:7" ht="17.399999999999999" thickTop="1" thickBot="1">
      <c r="B83" s="118" t="s">
        <v>5</v>
      </c>
      <c r="C83" s="183">
        <f>C82/C78</f>
        <v>0.15323573644139488</v>
      </c>
      <c r="D83" s="184"/>
      <c r="E83" s="185"/>
    </row>
    <row r="84" spans="2:7" ht="16.8" thickTop="1"/>
    <row r="85" spans="2:7">
      <c r="B85" s="186" t="s">
        <v>17</v>
      </c>
      <c r="C85" s="170"/>
      <c r="D85" s="170"/>
      <c r="E85" s="171"/>
    </row>
    <row r="86" spans="2:7">
      <c r="B86" s="187">
        <v>2015</v>
      </c>
      <c r="C86" s="188"/>
      <c r="D86" s="188"/>
      <c r="E86" s="189"/>
    </row>
    <row r="87" spans="2:7">
      <c r="B87" s="116" t="s">
        <v>120</v>
      </c>
      <c r="C87" s="190">
        <v>404854</v>
      </c>
      <c r="D87" s="191"/>
      <c r="E87" s="192"/>
    </row>
    <row r="88" spans="2:7">
      <c r="B88" s="116" t="s">
        <v>2</v>
      </c>
      <c r="C88" s="193">
        <f>C87-C89</f>
        <v>186497</v>
      </c>
      <c r="D88" s="194"/>
      <c r="E88" s="195"/>
    </row>
    <row r="89" spans="2:7">
      <c r="B89" s="116" t="s">
        <v>3</v>
      </c>
      <c r="C89" s="190">
        <v>218357</v>
      </c>
      <c r="D89" s="191"/>
      <c r="E89" s="192"/>
      <c r="G89" s="52">
        <f>C89/C87</f>
        <v>0.53934751787063984</v>
      </c>
    </row>
    <row r="90" spans="2:7" ht="32.4">
      <c r="B90" s="117" t="s">
        <v>13</v>
      </c>
      <c r="C90" s="181">
        <v>429</v>
      </c>
      <c r="D90" s="181"/>
      <c r="E90" s="181"/>
    </row>
    <row r="91" spans="2:7" ht="16.8" thickBot="1">
      <c r="B91" s="116" t="s">
        <v>4</v>
      </c>
      <c r="C91" s="182">
        <f>113201-404854*0.06-404854*0.075</f>
        <v>58545.710000000006</v>
      </c>
      <c r="D91" s="182"/>
      <c r="E91" s="182"/>
    </row>
    <row r="92" spans="2:7" ht="17.399999999999999" thickTop="1" thickBot="1">
      <c r="B92" s="118" t="s">
        <v>5</v>
      </c>
      <c r="C92" s="183">
        <f>C91/C87</f>
        <v>0.144609439452247</v>
      </c>
      <c r="D92" s="184"/>
      <c r="E92" s="185"/>
    </row>
    <row r="93" spans="2:7" ht="16.8" thickTop="1"/>
    <row r="94" spans="2:7">
      <c r="B94" s="186" t="s">
        <v>17</v>
      </c>
      <c r="C94" s="170"/>
      <c r="D94" s="170"/>
      <c r="E94" s="171"/>
    </row>
    <row r="95" spans="2:7">
      <c r="B95" s="187">
        <v>2016</v>
      </c>
      <c r="C95" s="188"/>
      <c r="D95" s="188"/>
      <c r="E95" s="189"/>
    </row>
    <row r="96" spans="2:7">
      <c r="B96" s="116" t="s">
        <v>120</v>
      </c>
      <c r="C96" s="190">
        <v>519557</v>
      </c>
      <c r="D96" s="191"/>
      <c r="E96" s="192"/>
    </row>
    <row r="97" spans="2:7">
      <c r="B97" s="116" t="s">
        <v>2</v>
      </c>
      <c r="C97" s="193">
        <f>C96-C98</f>
        <v>232867</v>
      </c>
      <c r="D97" s="194"/>
      <c r="E97" s="195"/>
    </row>
    <row r="98" spans="2:7">
      <c r="B98" s="116" t="s">
        <v>3</v>
      </c>
      <c r="C98" s="190">
        <v>286690</v>
      </c>
      <c r="D98" s="191"/>
      <c r="E98" s="192"/>
      <c r="G98" s="52">
        <f>C98/C96</f>
        <v>0.55179701168495465</v>
      </c>
    </row>
    <row r="99" spans="2:7" ht="32.4">
      <c r="B99" s="117" t="s">
        <v>13</v>
      </c>
      <c r="C99" s="181">
        <v>453</v>
      </c>
      <c r="D99" s="181"/>
      <c r="E99" s="181"/>
    </row>
    <row r="100" spans="2:7" ht="16.8" thickBot="1">
      <c r="B100" s="116" t="s">
        <v>4</v>
      </c>
      <c r="C100" s="182">
        <f>166198-519557*0.06-519557*0.075</f>
        <v>96057.805000000022</v>
      </c>
      <c r="D100" s="182"/>
      <c r="E100" s="182"/>
    </row>
    <row r="101" spans="2:7" ht="17.399999999999999" thickTop="1" thickBot="1">
      <c r="B101" s="118" t="s">
        <v>5</v>
      </c>
      <c r="C101" s="183">
        <f>C100/C96</f>
        <v>0.18488405506999236</v>
      </c>
      <c r="D101" s="184"/>
      <c r="E101" s="185"/>
    </row>
    <row r="102" spans="2:7" ht="16.8" thickTop="1"/>
  </sheetData>
  <mergeCells count="96">
    <mergeCell ref="C81:E81"/>
    <mergeCell ref="C82:E82"/>
    <mergeCell ref="C83:E83"/>
    <mergeCell ref="B76:E76"/>
    <mergeCell ref="B77:E77"/>
    <mergeCell ref="C78:E78"/>
    <mergeCell ref="C79:E79"/>
    <mergeCell ref="C80:E80"/>
    <mergeCell ref="C58:E58"/>
    <mergeCell ref="C59:E59"/>
    <mergeCell ref="C60:E60"/>
    <mergeCell ref="B29:E29"/>
    <mergeCell ref="B30:E30"/>
    <mergeCell ref="B48:E48"/>
    <mergeCell ref="C49:E49"/>
    <mergeCell ref="C50:E50"/>
    <mergeCell ref="C31:E31"/>
    <mergeCell ref="C32:E32"/>
    <mergeCell ref="C33:E33"/>
    <mergeCell ref="C34:E34"/>
    <mergeCell ref="C35:E35"/>
    <mergeCell ref="C36:E36"/>
    <mergeCell ref="B38:E38"/>
    <mergeCell ref="B39:E39"/>
    <mergeCell ref="C40:E40"/>
    <mergeCell ref="C41:E41"/>
    <mergeCell ref="C42:E42"/>
    <mergeCell ref="C22:E22"/>
    <mergeCell ref="C14:E14"/>
    <mergeCell ref="C26:E26"/>
    <mergeCell ref="C27:E27"/>
    <mergeCell ref="C25:E25"/>
    <mergeCell ref="C24:E24"/>
    <mergeCell ref="C23:E23"/>
    <mergeCell ref="B21:E21"/>
    <mergeCell ref="B2:E2"/>
    <mergeCell ref="B11:E11"/>
    <mergeCell ref="B20:E20"/>
    <mergeCell ref="B3:E3"/>
    <mergeCell ref="B12:E12"/>
    <mergeCell ref="C4:E4"/>
    <mergeCell ref="C13:E13"/>
    <mergeCell ref="C5:E5"/>
    <mergeCell ref="C6:E6"/>
    <mergeCell ref="C7:E7"/>
    <mergeCell ref="C9:E9"/>
    <mergeCell ref="C18:E18"/>
    <mergeCell ref="C15:E15"/>
    <mergeCell ref="C16:E16"/>
    <mergeCell ref="C8:E8"/>
    <mergeCell ref="C17:E17"/>
    <mergeCell ref="H60:J60"/>
    <mergeCell ref="H61:J61"/>
    <mergeCell ref="H62:J62"/>
    <mergeCell ref="H63:J63"/>
    <mergeCell ref="G56:J56"/>
    <mergeCell ref="G57:J57"/>
    <mergeCell ref="H58:J58"/>
    <mergeCell ref="H59:J59"/>
    <mergeCell ref="B47:E47"/>
    <mergeCell ref="C43:E43"/>
    <mergeCell ref="C44:E44"/>
    <mergeCell ref="C45:E45"/>
    <mergeCell ref="C51:E51"/>
    <mergeCell ref="C52:E52"/>
    <mergeCell ref="C53:E53"/>
    <mergeCell ref="C73:E73"/>
    <mergeCell ref="C74:E74"/>
    <mergeCell ref="B67:E67"/>
    <mergeCell ref="B68:E68"/>
    <mergeCell ref="C69:E69"/>
    <mergeCell ref="C70:E70"/>
    <mergeCell ref="C71:E71"/>
    <mergeCell ref="C72:E72"/>
    <mergeCell ref="C61:E61"/>
    <mergeCell ref="C62:E62"/>
    <mergeCell ref="C63:E63"/>
    <mergeCell ref="C54:E54"/>
    <mergeCell ref="B56:E56"/>
    <mergeCell ref="B57:E57"/>
    <mergeCell ref="C90:E90"/>
    <mergeCell ref="C91:E91"/>
    <mergeCell ref="C92:E92"/>
    <mergeCell ref="B85:E85"/>
    <mergeCell ref="B86:E86"/>
    <mergeCell ref="C87:E87"/>
    <mergeCell ref="C88:E88"/>
    <mergeCell ref="C89:E89"/>
    <mergeCell ref="C99:E99"/>
    <mergeCell ref="C100:E100"/>
    <mergeCell ref="C101:E101"/>
    <mergeCell ref="B94:E94"/>
    <mergeCell ref="B95:E95"/>
    <mergeCell ref="C96:E96"/>
    <mergeCell ref="C97:E97"/>
    <mergeCell ref="C98:E98"/>
  </mergeCells>
  <phoneticPr fontId="2" type="noConversion"/>
  <pageMargins left="0" right="0" top="0" bottom="0" header="0" footer="0"/>
  <pageSetup paperSize="9" scale="63" orientation="landscape" r:id="rId1"/>
  <headerFooter>
    <oddFooter>&amp;R&amp;Z&amp;F
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W43"/>
  <sheetViews>
    <sheetView zoomScale="110" workbookViewId="0">
      <pane xSplit="1" ySplit="1" topLeftCell="P12" activePane="bottomRight" state="frozen"/>
      <selection pane="topRight" activeCell="B1" sqref="B1"/>
      <selection pane="bottomLeft" activeCell="A2" sqref="A2"/>
      <selection pane="bottomRight" activeCell="V20" sqref="V20"/>
    </sheetView>
  </sheetViews>
  <sheetFormatPr defaultColWidth="9" defaultRowHeight="24" customHeight="1"/>
  <cols>
    <col min="1" max="1" width="19.109375" style="57" customWidth="1"/>
    <col min="2" max="2" width="18.109375" style="57" customWidth="1"/>
    <col min="3" max="3" width="12.33203125" style="57" customWidth="1"/>
    <col min="4" max="4" width="5.21875" style="57" customWidth="1"/>
    <col min="5" max="5" width="20.88671875" style="57" customWidth="1"/>
    <col min="6" max="6" width="9" style="57"/>
    <col min="7" max="7" width="12.88671875" style="57" customWidth="1"/>
    <col min="8" max="8" width="5.6640625" style="57" customWidth="1"/>
    <col min="9" max="9" width="24.77734375" style="57" customWidth="1"/>
    <col min="10" max="10" width="17.44140625" style="57" customWidth="1"/>
    <col min="11" max="11" width="13.109375" style="57" customWidth="1"/>
    <col min="12" max="12" width="2.88671875" style="57" customWidth="1"/>
    <col min="13" max="13" width="24.77734375" style="57" customWidth="1"/>
    <col min="14" max="14" width="17.44140625" style="57" customWidth="1"/>
    <col min="15" max="15" width="13.109375" style="57" customWidth="1"/>
    <col min="16" max="16" width="2.88671875" style="57" customWidth="1"/>
    <col min="17" max="17" width="24.77734375" style="57" customWidth="1"/>
    <col min="18" max="18" width="17.44140625" style="57" customWidth="1"/>
    <col min="19" max="19" width="13.109375" style="57" customWidth="1"/>
    <col min="20" max="20" width="3" style="57" customWidth="1"/>
    <col min="21" max="21" width="8.6640625" style="146" customWidth="1"/>
    <col min="22" max="22" width="13.109375" style="57" customWidth="1"/>
    <col min="23" max="16384" width="9" style="57"/>
  </cols>
  <sheetData>
    <row r="1" spans="1:23" ht="15" customHeight="1">
      <c r="A1" s="56" t="s">
        <v>28</v>
      </c>
      <c r="B1" s="220" t="s">
        <v>29</v>
      </c>
      <c r="C1" s="221"/>
      <c r="D1" s="221"/>
      <c r="E1" s="221"/>
      <c r="F1" s="221"/>
      <c r="G1" s="221"/>
    </row>
    <row r="2" spans="1:23" ht="15" customHeight="1">
      <c r="A2" s="59" t="s">
        <v>30</v>
      </c>
      <c r="B2" s="218" t="s">
        <v>36</v>
      </c>
      <c r="C2" s="219"/>
      <c r="D2" s="219"/>
      <c r="E2" s="219"/>
      <c r="F2" s="219"/>
      <c r="G2" s="219"/>
    </row>
    <row r="3" spans="1:23" ht="28.2" customHeight="1">
      <c r="A3" s="59" t="s">
        <v>31</v>
      </c>
      <c r="B3" s="218" t="s">
        <v>37</v>
      </c>
      <c r="C3" s="219"/>
      <c r="D3" s="219"/>
      <c r="E3" s="219"/>
      <c r="F3" s="219"/>
      <c r="G3" s="219"/>
    </row>
    <row r="4" spans="1:23" ht="15" customHeight="1">
      <c r="A4" s="59" t="s">
        <v>32</v>
      </c>
      <c r="B4" s="218" t="s">
        <v>44</v>
      </c>
      <c r="C4" s="219"/>
      <c r="D4" s="219"/>
      <c r="E4" s="219"/>
      <c r="F4" s="219"/>
      <c r="G4" s="219"/>
    </row>
    <row r="5" spans="1:23" ht="15" customHeight="1">
      <c r="A5" s="59" t="s">
        <v>38</v>
      </c>
      <c r="B5" s="218" t="s">
        <v>46</v>
      </c>
      <c r="C5" s="219"/>
      <c r="D5" s="219"/>
      <c r="E5" s="219"/>
      <c r="F5" s="219"/>
      <c r="G5" s="219"/>
    </row>
    <row r="6" spans="1:23" ht="15" customHeight="1">
      <c r="A6" s="59" t="s">
        <v>39</v>
      </c>
      <c r="B6" s="218" t="s">
        <v>45</v>
      </c>
      <c r="C6" s="219"/>
      <c r="D6" s="219"/>
      <c r="E6" s="219"/>
      <c r="F6" s="219"/>
      <c r="G6" s="219"/>
    </row>
    <row r="7" spans="1:23" ht="15" customHeight="1">
      <c r="A7" s="59" t="s">
        <v>40</v>
      </c>
      <c r="B7" s="218" t="s">
        <v>47</v>
      </c>
      <c r="C7" s="219"/>
      <c r="D7" s="219"/>
      <c r="E7" s="219"/>
      <c r="F7" s="219"/>
      <c r="G7" s="219"/>
    </row>
    <row r="8" spans="1:23" ht="15" customHeight="1">
      <c r="A8" s="59" t="s">
        <v>33</v>
      </c>
      <c r="B8" s="218" t="s">
        <v>48</v>
      </c>
      <c r="C8" s="219"/>
      <c r="D8" s="219"/>
      <c r="E8" s="219"/>
      <c r="F8" s="219"/>
      <c r="G8" s="219"/>
    </row>
    <row r="9" spans="1:23" ht="15" customHeight="1">
      <c r="A9" s="59" t="s">
        <v>34</v>
      </c>
      <c r="B9" s="218" t="s">
        <v>49</v>
      </c>
      <c r="C9" s="219"/>
      <c r="D9" s="219"/>
      <c r="E9" s="219"/>
      <c r="F9" s="219"/>
      <c r="G9" s="219"/>
    </row>
    <row r="10" spans="1:23" ht="15" customHeight="1">
      <c r="A10" s="59" t="s">
        <v>35</v>
      </c>
      <c r="B10" s="218" t="s">
        <v>50</v>
      </c>
      <c r="C10" s="219"/>
      <c r="D10" s="219"/>
      <c r="E10" s="219"/>
      <c r="F10" s="219"/>
      <c r="G10" s="219"/>
    </row>
    <row r="11" spans="1:23" ht="12.45" customHeight="1"/>
    <row r="12" spans="1:23" ht="12.45" customHeight="1" thickBot="1">
      <c r="A12" s="61" t="s">
        <v>81</v>
      </c>
      <c r="E12" s="95"/>
      <c r="F12" s="96">
        <v>2012</v>
      </c>
      <c r="G12" s="95"/>
      <c r="I12" s="95"/>
      <c r="J12" s="96">
        <v>2013</v>
      </c>
      <c r="K12" s="95"/>
      <c r="M12" s="95"/>
      <c r="N12" s="96">
        <v>2014</v>
      </c>
      <c r="O12" s="95"/>
      <c r="Q12" s="95"/>
      <c r="R12" s="96">
        <v>2015</v>
      </c>
      <c r="S12" s="95"/>
      <c r="U12" s="95"/>
      <c r="V12" s="96">
        <v>2016</v>
      </c>
      <c r="W12" s="95"/>
    </row>
    <row r="13" spans="1:23" ht="12.45" customHeight="1" thickBot="1">
      <c r="A13" s="58" t="s">
        <v>41</v>
      </c>
      <c r="B13" s="58" t="s">
        <v>43</v>
      </c>
      <c r="C13" s="58" t="s">
        <v>42</v>
      </c>
      <c r="E13" s="216" t="s">
        <v>93</v>
      </c>
      <c r="F13" s="144" t="s">
        <v>106</v>
      </c>
      <c r="G13" s="216" t="s">
        <v>94</v>
      </c>
      <c r="I13" s="223" t="s">
        <v>93</v>
      </c>
      <c r="J13" s="143" t="s">
        <v>106</v>
      </c>
      <c r="K13" s="223" t="s">
        <v>94</v>
      </c>
      <c r="M13" s="222" t="s">
        <v>93</v>
      </c>
      <c r="N13" s="142" t="s">
        <v>106</v>
      </c>
      <c r="O13" s="222" t="s">
        <v>94</v>
      </c>
      <c r="Q13" s="215" t="s">
        <v>93</v>
      </c>
      <c r="R13" s="135" t="s">
        <v>106</v>
      </c>
      <c r="S13" s="215" t="s">
        <v>94</v>
      </c>
      <c r="U13" s="215" t="s">
        <v>93</v>
      </c>
      <c r="V13" s="148" t="s">
        <v>106</v>
      </c>
      <c r="W13" s="215" t="s">
        <v>94</v>
      </c>
    </row>
    <row r="14" spans="1:23" ht="12.45" customHeight="1" thickBot="1">
      <c r="A14" s="58" t="s">
        <v>51</v>
      </c>
      <c r="B14" s="62">
        <v>364270</v>
      </c>
      <c r="C14" s="63">
        <f>B14/$B$23</f>
        <v>0.19957014649315472</v>
      </c>
      <c r="E14" s="217"/>
      <c r="F14" s="145" t="s">
        <v>95</v>
      </c>
      <c r="G14" s="217"/>
      <c r="I14" s="223"/>
      <c r="J14" s="143" t="s">
        <v>95</v>
      </c>
      <c r="K14" s="223"/>
      <c r="M14" s="222"/>
      <c r="N14" s="142" t="s">
        <v>95</v>
      </c>
      <c r="O14" s="222"/>
      <c r="Q14" s="215"/>
      <c r="R14" s="135" t="s">
        <v>95</v>
      </c>
      <c r="S14" s="215"/>
      <c r="U14" s="215"/>
      <c r="V14" s="148" t="s">
        <v>95</v>
      </c>
      <c r="W14" s="215"/>
    </row>
    <row r="15" spans="1:23" ht="12.45" customHeight="1" thickBot="1">
      <c r="A15" s="58" t="s">
        <v>52</v>
      </c>
      <c r="B15" s="62">
        <v>126154</v>
      </c>
      <c r="C15" s="63">
        <f t="shared" ref="C15:C23" si="0">B15/$B$23</f>
        <v>6.9115140584449564E-2</v>
      </c>
      <c r="E15" s="100" t="s">
        <v>96</v>
      </c>
      <c r="F15" s="101">
        <v>299854</v>
      </c>
      <c r="G15" s="102">
        <f>F15/$F$24</f>
        <v>0.14864000055519286</v>
      </c>
      <c r="I15" s="119" t="s">
        <v>96</v>
      </c>
      <c r="J15" s="120">
        <v>296912</v>
      </c>
      <c r="K15" s="121">
        <f>J15/$J$24</f>
        <v>0.14577762764723731</v>
      </c>
      <c r="M15" s="119" t="s">
        <v>96</v>
      </c>
      <c r="N15" s="120">
        <v>425560</v>
      </c>
      <c r="O15" s="121">
        <f>N15/$J$24</f>
        <v>0.20894112471560028</v>
      </c>
      <c r="Q15" s="119" t="s">
        <v>96</v>
      </c>
      <c r="R15" s="120">
        <v>404854</v>
      </c>
      <c r="S15" s="121">
        <f>R15/$J$24</f>
        <v>0.19877490860421476</v>
      </c>
      <c r="U15" s="119" t="s">
        <v>96</v>
      </c>
      <c r="V15" s="120">
        <v>519557</v>
      </c>
      <c r="W15" s="121">
        <f>V15/$J$24</f>
        <v>0.25509170019236566</v>
      </c>
    </row>
    <row r="16" spans="1:23" ht="12.45" customHeight="1" thickBot="1">
      <c r="A16" s="58" t="s">
        <v>53</v>
      </c>
      <c r="B16" s="62">
        <v>56585</v>
      </c>
      <c r="C16" s="63">
        <f t="shared" si="0"/>
        <v>3.1000842065817005E-2</v>
      </c>
      <c r="E16" s="100" t="s">
        <v>97</v>
      </c>
      <c r="F16" s="101">
        <v>85372</v>
      </c>
      <c r="G16" s="102">
        <f t="shared" ref="G16:G23" si="1">F16/$F$24</f>
        <v>4.2319575951622876E-2</v>
      </c>
      <c r="I16" s="119" t="s">
        <v>97</v>
      </c>
      <c r="J16" s="120">
        <f>143901-52501</f>
        <v>91400</v>
      </c>
      <c r="K16" s="121">
        <f t="shared" ref="K16:K23" si="2">J16/$J$24</f>
        <v>4.4875502394505745E-2</v>
      </c>
      <c r="M16" s="119" t="s">
        <v>97</v>
      </c>
      <c r="N16" s="120">
        <f>111978-11889</f>
        <v>100089</v>
      </c>
      <c r="O16" s="121">
        <f t="shared" ref="O16:O23" si="3">N16/$J$24</f>
        <v>4.9141620997414502E-2</v>
      </c>
      <c r="Q16" s="119" t="s">
        <v>97</v>
      </c>
      <c r="R16" s="120">
        <v>88013</v>
      </c>
      <c r="S16" s="121">
        <f t="shared" ref="S16:S24" si="4">R16/$J$24</f>
        <v>4.3212555713869082E-2</v>
      </c>
      <c r="U16" s="119" t="s">
        <v>97</v>
      </c>
      <c r="V16" s="120">
        <f>114325-9416</f>
        <v>104909</v>
      </c>
      <c r="W16" s="121">
        <f t="shared" ref="W16:W24" si="5">V16/$J$24</f>
        <v>5.1508140926752773E-2</v>
      </c>
    </row>
    <row r="17" spans="1:23" ht="12.45" customHeight="1" thickBot="1">
      <c r="A17" s="58" t="s">
        <v>54</v>
      </c>
      <c r="B17" s="62">
        <v>35568</v>
      </c>
      <c r="C17" s="63">
        <f t="shared" si="0"/>
        <v>1.9486400116585301E-2</v>
      </c>
      <c r="E17" s="100" t="s">
        <v>98</v>
      </c>
      <c r="F17" s="101">
        <v>52134</v>
      </c>
      <c r="G17" s="102">
        <f t="shared" si="1"/>
        <v>2.584323633816599E-2</v>
      </c>
      <c r="H17" s="127"/>
      <c r="I17" s="119" t="s">
        <v>98</v>
      </c>
      <c r="J17" s="120">
        <v>52501</v>
      </c>
      <c r="K17" s="121">
        <f t="shared" si="2"/>
        <v>2.5776900997964401E-2</v>
      </c>
      <c r="M17" s="119" t="s">
        <v>98</v>
      </c>
      <c r="N17" s="120">
        <v>11889</v>
      </c>
      <c r="O17" s="121">
        <f t="shared" si="3"/>
        <v>5.8372521659549106E-3</v>
      </c>
      <c r="Q17" s="119" t="s">
        <v>98</v>
      </c>
      <c r="R17" s="120">
        <v>6970</v>
      </c>
      <c r="S17" s="121">
        <f t="shared" si="4"/>
        <v>3.4221252920099022E-3</v>
      </c>
      <c r="U17" s="119" t="s">
        <v>98</v>
      </c>
      <c r="V17" s="120">
        <v>9416</v>
      </c>
      <c r="W17" s="121">
        <f t="shared" si="5"/>
        <v>4.6230605092633052E-3</v>
      </c>
    </row>
    <row r="18" spans="1:23" ht="12.45" customHeight="1" thickBot="1">
      <c r="A18" s="58" t="s">
        <v>55</v>
      </c>
      <c r="B18" s="62">
        <v>297947</v>
      </c>
      <c r="C18" s="63">
        <f t="shared" si="0"/>
        <v>0.16323421208772607</v>
      </c>
      <c r="E18" s="100" t="s">
        <v>99</v>
      </c>
      <c r="F18" s="101">
        <v>26986</v>
      </c>
      <c r="G18" s="102">
        <f t="shared" si="1"/>
        <v>1.3377173741162148E-2</v>
      </c>
      <c r="I18" s="119" t="s">
        <v>99</v>
      </c>
      <c r="J18" s="120">
        <v>43040</v>
      </c>
      <c r="K18" s="121">
        <f t="shared" si="2"/>
        <v>2.1131746422970759E-2</v>
      </c>
      <c r="M18" s="119" t="s">
        <v>99</v>
      </c>
      <c r="N18" s="120">
        <v>40874</v>
      </c>
      <c r="O18" s="121">
        <f t="shared" si="3"/>
        <v>2.0068285392483894E-2</v>
      </c>
      <c r="Q18" s="119" t="s">
        <v>99</v>
      </c>
      <c r="R18" s="120">
        <v>32406</v>
      </c>
      <c r="S18" s="121">
        <f t="shared" si="4"/>
        <v>1.5910673201273012E-2</v>
      </c>
      <c r="U18" s="119" t="s">
        <v>99</v>
      </c>
      <c r="V18" s="120">
        <v>26239</v>
      </c>
      <c r="W18" s="121">
        <f t="shared" si="5"/>
        <v>1.2882804237740002E-2</v>
      </c>
    </row>
    <row r="19" spans="1:23" ht="12.45" customHeight="1" thickBot="1">
      <c r="A19" s="58" t="s">
        <v>56</v>
      </c>
      <c r="B19" s="62">
        <v>651917</v>
      </c>
      <c r="C19" s="63">
        <f t="shared" si="0"/>
        <v>0.35716136709412782</v>
      </c>
      <c r="E19" s="100" t="s">
        <v>100</v>
      </c>
      <c r="F19" s="101">
        <v>313967</v>
      </c>
      <c r="G19" s="102">
        <f t="shared" si="1"/>
        <v>0.15563592633185563</v>
      </c>
      <c r="I19" s="119" t="s">
        <v>100</v>
      </c>
      <c r="J19" s="120">
        <v>280374</v>
      </c>
      <c r="K19" s="121">
        <f t="shared" si="2"/>
        <v>0.13765781300171942</v>
      </c>
      <c r="M19" s="119" t="s">
        <v>100</v>
      </c>
      <c r="N19" s="120">
        <v>269759</v>
      </c>
      <c r="O19" s="121">
        <f t="shared" si="3"/>
        <v>0.13244606838555226</v>
      </c>
      <c r="Q19" s="119" t="s">
        <v>100</v>
      </c>
      <c r="R19" s="120">
        <v>245399</v>
      </c>
      <c r="S19" s="121">
        <f t="shared" si="4"/>
        <v>0.12048581413686341</v>
      </c>
      <c r="U19" s="119" t="s">
        <v>100</v>
      </c>
      <c r="V19" s="120">
        <v>123366</v>
      </c>
      <c r="W19" s="121">
        <f t="shared" si="5"/>
        <v>6.0570144730859914E-2</v>
      </c>
    </row>
    <row r="20" spans="1:23" ht="12.45" customHeight="1" thickBot="1">
      <c r="A20" s="58" t="s">
        <v>57</v>
      </c>
      <c r="B20" s="62">
        <v>267768</v>
      </c>
      <c r="C20" s="63">
        <f t="shared" si="0"/>
        <v>0.14670024703153994</v>
      </c>
      <c r="E20" s="100" t="s">
        <v>101</v>
      </c>
      <c r="F20" s="101">
        <v>615311</v>
      </c>
      <c r="G20" s="102">
        <f t="shared" si="1"/>
        <v>0.30501453167747061</v>
      </c>
      <c r="I20" s="119" t="s">
        <v>101</v>
      </c>
      <c r="J20" s="120">
        <v>630339</v>
      </c>
      <c r="K20" s="121">
        <f t="shared" si="2"/>
        <v>0.3094833621865466</v>
      </c>
      <c r="M20" s="119" t="s">
        <v>101</v>
      </c>
      <c r="N20" s="120">
        <v>616144</v>
      </c>
      <c r="O20" s="121">
        <f t="shared" si="3"/>
        <v>0.30251391189672155</v>
      </c>
      <c r="Q20" s="119" t="s">
        <v>101</v>
      </c>
      <c r="R20" s="120">
        <v>596790</v>
      </c>
      <c r="S20" s="121">
        <f t="shared" si="4"/>
        <v>0.29301149971572304</v>
      </c>
      <c r="U20" s="119" t="s">
        <v>101</v>
      </c>
      <c r="V20" s="120">
        <v>518338</v>
      </c>
      <c r="W20" s="121">
        <f t="shared" si="5"/>
        <v>0.2544931965006928</v>
      </c>
    </row>
    <row r="21" spans="1:23" ht="12.45" customHeight="1" thickBot="1">
      <c r="A21" s="58" t="s">
        <v>82</v>
      </c>
      <c r="B21" s="62">
        <v>23914</v>
      </c>
      <c r="C21" s="63">
        <f t="shared" si="0"/>
        <v>1.3101601787787361E-2</v>
      </c>
      <c r="E21" s="100" t="s">
        <v>102</v>
      </c>
      <c r="F21" s="101">
        <v>421963</v>
      </c>
      <c r="G21" s="102">
        <f t="shared" si="1"/>
        <v>0.20917039810798205</v>
      </c>
      <c r="I21" s="119" t="s">
        <v>102</v>
      </c>
      <c r="J21" s="120">
        <f>209859+282978-121783</f>
        <v>371054</v>
      </c>
      <c r="K21" s="121">
        <f t="shared" si="2"/>
        <v>0.18217981034453978</v>
      </c>
      <c r="M21" s="119" t="s">
        <v>102</v>
      </c>
      <c r="N21" s="120">
        <v>437029</v>
      </c>
      <c r="O21" s="121">
        <f t="shared" si="3"/>
        <v>0.21457216560140538</v>
      </c>
      <c r="Q21" s="119" t="s">
        <v>102</v>
      </c>
      <c r="R21" s="120">
        <v>196862</v>
      </c>
      <c r="S21" s="121">
        <f t="shared" si="4"/>
        <v>9.6655154840122437E-2</v>
      </c>
      <c r="U21" s="119" t="s">
        <v>102</v>
      </c>
      <c r="V21" s="120">
        <f>121701-23075</f>
        <v>98626</v>
      </c>
      <c r="W21" s="121">
        <f t="shared" si="5"/>
        <v>4.8423318371559339E-2</v>
      </c>
    </row>
    <row r="22" spans="1:23" ht="12.45" customHeight="1" thickBot="1">
      <c r="A22" s="58" t="s">
        <v>58</v>
      </c>
      <c r="B22" s="62">
        <v>1150</v>
      </c>
      <c r="C22" s="63">
        <f t="shared" si="0"/>
        <v>6.3004273881222151E-4</v>
      </c>
      <c r="E22" s="139" t="s">
        <v>103</v>
      </c>
      <c r="F22" s="140">
        <v>166672</v>
      </c>
      <c r="G22" s="141">
        <f t="shared" si="1"/>
        <v>8.2620629281367278E-2</v>
      </c>
      <c r="I22" s="136" t="s">
        <v>103</v>
      </c>
      <c r="J22" s="137">
        <v>232811</v>
      </c>
      <c r="K22" s="138">
        <f t="shared" si="2"/>
        <v>0.1143053674832306</v>
      </c>
      <c r="M22" s="136" t="s">
        <v>103</v>
      </c>
      <c r="N22" s="137">
        <v>236575</v>
      </c>
      <c r="O22" s="121">
        <f t="shared" si="3"/>
        <v>0.11615341333676364</v>
      </c>
      <c r="Q22" s="136" t="s">
        <v>103</v>
      </c>
      <c r="R22" s="137">
        <v>232520</v>
      </c>
      <c r="S22" s="121">
        <f t="shared" si="4"/>
        <v>0.11416249252484109</v>
      </c>
      <c r="U22" s="152" t="s">
        <v>103</v>
      </c>
      <c r="V22" s="153">
        <v>209109</v>
      </c>
      <c r="W22" s="121">
        <f t="shared" si="5"/>
        <v>0.10266817757344313</v>
      </c>
    </row>
    <row r="23" spans="1:23" ht="12.45" customHeight="1" thickBot="1">
      <c r="A23" s="58" t="s">
        <v>59</v>
      </c>
      <c r="B23" s="62">
        <f>SUM(B14:B22)</f>
        <v>1825273</v>
      </c>
      <c r="C23" s="63">
        <f t="shared" si="0"/>
        <v>1</v>
      </c>
      <c r="E23" s="100" t="s">
        <v>104</v>
      </c>
      <c r="F23" s="101">
        <v>35058</v>
      </c>
      <c r="G23" s="102">
        <f t="shared" si="1"/>
        <v>1.7378528015180559E-2</v>
      </c>
      <c r="I23" s="119" t="s">
        <v>104</v>
      </c>
      <c r="J23" s="120">
        <v>38315</v>
      </c>
      <c r="K23" s="121">
        <f t="shared" si="2"/>
        <v>1.8811869521285423E-2</v>
      </c>
      <c r="M23" s="119" t="s">
        <v>140</v>
      </c>
      <c r="N23" s="120">
        <v>443346</v>
      </c>
      <c r="O23" s="121">
        <f t="shared" si="3"/>
        <v>0.21767368145070617</v>
      </c>
      <c r="Q23" s="119" t="s">
        <v>140</v>
      </c>
      <c r="R23" s="120">
        <v>697860</v>
      </c>
      <c r="S23" s="121">
        <f t="shared" si="4"/>
        <v>0.34263477134605885</v>
      </c>
      <c r="U23" s="119" t="s">
        <v>140</v>
      </c>
      <c r="V23" s="120">
        <f>898186-84202</f>
        <v>813984</v>
      </c>
      <c r="W23" s="121">
        <f t="shared" si="5"/>
        <v>0.39964924443204997</v>
      </c>
    </row>
    <row r="24" spans="1:23" ht="12.45" customHeight="1" thickBot="1">
      <c r="B24" s="60" t="s">
        <v>60</v>
      </c>
      <c r="E24" s="97" t="s">
        <v>105</v>
      </c>
      <c r="F24" s="98">
        <v>2017317</v>
      </c>
      <c r="G24" s="99">
        <v>1</v>
      </c>
      <c r="I24" s="122" t="s">
        <v>105</v>
      </c>
      <c r="J24" s="123">
        <v>2036746</v>
      </c>
      <c r="K24" s="124">
        <v>1</v>
      </c>
      <c r="M24" s="119" t="s">
        <v>104</v>
      </c>
      <c r="N24" s="120">
        <v>77222</v>
      </c>
      <c r="O24" s="121">
        <f t="shared" ref="O24" si="6">N24/$J$24</f>
        <v>3.7914398751734385E-2</v>
      </c>
      <c r="Q24" s="119" t="s">
        <v>141</v>
      </c>
      <c r="R24" s="120">
        <v>76728</v>
      </c>
      <c r="S24" s="121">
        <f t="shared" si="4"/>
        <v>3.7671855007939133E-2</v>
      </c>
      <c r="U24" s="119" t="s">
        <v>141</v>
      </c>
      <c r="V24" s="120">
        <v>85747</v>
      </c>
      <c r="W24" s="121">
        <f t="shared" si="5"/>
        <v>4.2099996759537024E-2</v>
      </c>
    </row>
    <row r="25" spans="1:23" ht="12.45" customHeight="1" thickBot="1">
      <c r="B25" s="60">
        <v>1825273</v>
      </c>
      <c r="M25" s="122" t="s">
        <v>105</v>
      </c>
      <c r="N25" s="123">
        <f>SUM(N15:N24)</f>
        <v>2658487</v>
      </c>
      <c r="O25" s="124">
        <v>1</v>
      </c>
      <c r="Q25" s="122" t="s">
        <v>105</v>
      </c>
      <c r="R25" s="123">
        <f>SUM(R15:R24)</f>
        <v>2578402</v>
      </c>
      <c r="S25" s="124">
        <v>1</v>
      </c>
      <c r="U25" s="122" t="s">
        <v>105</v>
      </c>
      <c r="V25" s="123">
        <f>SUM(V15:V24)</f>
        <v>2509291</v>
      </c>
      <c r="W25" s="124">
        <v>1</v>
      </c>
    </row>
    <row r="26" spans="1:23" ht="12.45" customHeight="1">
      <c r="B26" s="89"/>
      <c r="N26" s="134"/>
    </row>
    <row r="27" spans="1:23" ht="12.45" customHeight="1">
      <c r="R27" s="147">
        <v>2578402.1310000001</v>
      </c>
      <c r="U27" s="146" t="s">
        <v>146</v>
      </c>
      <c r="V27" s="57">
        <v>2509291</v>
      </c>
    </row>
    <row r="28" spans="1:23" ht="12.45" customHeight="1"/>
    <row r="29" spans="1:23" ht="12.45" customHeight="1">
      <c r="U29" s="146" t="s">
        <v>147</v>
      </c>
      <c r="V29" s="57">
        <v>57194</v>
      </c>
    </row>
    <row r="30" spans="1:23" ht="12.45" customHeight="1">
      <c r="U30" s="146" t="s">
        <v>148</v>
      </c>
      <c r="V30" s="57">
        <v>10452</v>
      </c>
    </row>
    <row r="31" spans="1:23" ht="12.45" customHeight="1">
      <c r="U31" s="146" t="s">
        <v>149</v>
      </c>
      <c r="V31" s="57">
        <v>11741</v>
      </c>
    </row>
    <row r="32" spans="1:23" ht="12.45" customHeight="1">
      <c r="U32" s="146" t="s">
        <v>150</v>
      </c>
      <c r="V32" s="57">
        <v>42314</v>
      </c>
    </row>
    <row r="33" spans="21:22" ht="12.45" customHeight="1">
      <c r="U33" s="146" t="s">
        <v>151</v>
      </c>
      <c r="V33" s="57">
        <v>-23075</v>
      </c>
    </row>
    <row r="34" spans="21:22" ht="12.45" customHeight="1"/>
    <row r="35" spans="21:22" ht="12.45" customHeight="1"/>
    <row r="36" spans="21:22" ht="12.45" customHeight="1"/>
    <row r="37" spans="21:22" ht="12.45" customHeight="1"/>
    <row r="38" spans="21:22" ht="12.45" customHeight="1"/>
    <row r="39" spans="21:22" ht="12.45" customHeight="1"/>
    <row r="40" spans="21:22" ht="12.45" customHeight="1"/>
    <row r="41" spans="21:22" ht="12.45" customHeight="1"/>
    <row r="42" spans="21:22" ht="12.45" customHeight="1"/>
    <row r="43" spans="21:22" ht="12.45" customHeight="1"/>
  </sheetData>
  <mergeCells count="20">
    <mergeCell ref="B9:G9"/>
    <mergeCell ref="B1:G1"/>
    <mergeCell ref="B6:G6"/>
    <mergeCell ref="B7:G7"/>
    <mergeCell ref="B8:G8"/>
    <mergeCell ref="B5:G5"/>
    <mergeCell ref="B2:G2"/>
    <mergeCell ref="B3:G3"/>
    <mergeCell ref="B4:G4"/>
    <mergeCell ref="U13:U14"/>
    <mergeCell ref="W13:W14"/>
    <mergeCell ref="E13:E14"/>
    <mergeCell ref="G13:G14"/>
    <mergeCell ref="B10:G10"/>
    <mergeCell ref="Q13:Q14"/>
    <mergeCell ref="S13:S14"/>
    <mergeCell ref="M13:M14"/>
    <mergeCell ref="O13:O14"/>
    <mergeCell ref="I13:I14"/>
    <mergeCell ref="K13:K14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自關係企業進貨</vt:lpstr>
      <vt:lpstr>支付美國漢高 for biz transfer</vt:lpstr>
      <vt:lpstr>sales by SBU</vt:lpstr>
      <vt:lpstr>Sheet1</vt:lpstr>
      <vt:lpstr>'sales by SBU'!Print_Area</vt:lpstr>
      <vt:lpstr>自關係企業進貨!Print_Area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Jessie Lien</cp:lastModifiedBy>
  <cp:lastPrinted>2015-06-30T08:14:12Z</cp:lastPrinted>
  <dcterms:created xsi:type="dcterms:W3CDTF">2009-04-21T00:11:45Z</dcterms:created>
  <dcterms:modified xsi:type="dcterms:W3CDTF">2017-06-12T09:38:21Z</dcterms:modified>
</cp:coreProperties>
</file>