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Downloads\"/>
    </mc:Choice>
  </mc:AlternateContent>
  <xr:revisionPtr revIDLastSave="0" documentId="13_ncr:1_{8699DD99-CB11-4D00-AEF5-52DDDDFE09EF}" xr6:coauthVersionLast="47" xr6:coauthVersionMax="47" xr10:uidLastSave="{00000000-0000-0000-0000-000000000000}"/>
  <bookViews>
    <workbookView xWindow="-120" yWindow="-120" windowWidth="20730" windowHeight="11040" xr2:uid="{E3396AE5-BE35-7A41-A025-66468B105C46}"/>
  </bookViews>
  <sheets>
    <sheet name="Información" sheetId="2" r:id="rId1"/>
    <sheet name="Flujo de Caja Corrientes" sheetId="1" r:id="rId2"/>
    <sheet name="Calculo de la TIR Y VPN" sheetId="3" r:id="rId3"/>
    <sheet name="Información 2" sheetId="4" r:id="rId4"/>
    <sheet name="Flujo de Caja Incremental" sheetId="5" r:id="rId5"/>
    <sheet name="Calculo tir y VPN" sheetId="6" r:id="rId6"/>
    <sheet name="Información 3" sheetId="7" r:id="rId7"/>
    <sheet name="Flujo de caja Inversionista" sheetId="8" r:id="rId8"/>
    <sheet name="Caluclo Tir y VP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2" l="1"/>
  <c r="H61" i="2"/>
  <c r="F44" i="2"/>
  <c r="G44" i="2"/>
  <c r="H44" i="2"/>
  <c r="F45" i="2"/>
  <c r="G45" i="2" s="1"/>
  <c r="H45" i="2" s="1"/>
  <c r="F46" i="2"/>
  <c r="G46" i="2"/>
  <c r="H46" i="2" s="1"/>
  <c r="F47" i="2"/>
  <c r="G47" i="2"/>
  <c r="H47" i="2"/>
  <c r="F48" i="2"/>
  <c r="G48" i="2"/>
  <c r="H48" i="2"/>
  <c r="F49" i="2"/>
  <c r="G49" i="2" s="1"/>
  <c r="H49" i="2" s="1"/>
  <c r="F50" i="2"/>
  <c r="G50" i="2"/>
  <c r="H50" i="2" s="1"/>
  <c r="F51" i="2"/>
  <c r="G51" i="2"/>
  <c r="H51" i="2"/>
  <c r="F52" i="2"/>
  <c r="G52" i="2"/>
  <c r="H52" i="2"/>
  <c r="F43" i="2"/>
  <c r="G43" i="2" s="1"/>
  <c r="H43" i="2" s="1"/>
  <c r="E44" i="2"/>
  <c r="E45" i="2"/>
  <c r="E46" i="2"/>
  <c r="E47" i="2"/>
  <c r="E48" i="2"/>
  <c r="E49" i="2"/>
  <c r="E50" i="2"/>
  <c r="E51" i="2"/>
  <c r="E52" i="2"/>
  <c r="E43" i="2"/>
  <c r="I70" i="2" l="1"/>
  <c r="I71" i="2" s="1"/>
  <c r="I72" i="2" s="1"/>
  <c r="I73" i="2" s="1"/>
  <c r="I74" i="2" s="1"/>
  <c r="D57" i="2"/>
  <c r="D58" i="2"/>
  <c r="D56" i="2"/>
  <c r="D59" i="2" s="1"/>
  <c r="J71" i="2" s="1"/>
  <c r="D44" i="2"/>
  <c r="D45" i="2"/>
  <c r="D46" i="2"/>
  <c r="D47" i="2"/>
  <c r="D53" i="2" s="1"/>
  <c r="D48" i="2"/>
  <c r="D49" i="2"/>
  <c r="D50" i="2"/>
  <c r="D51" i="2"/>
  <c r="D52" i="2"/>
  <c r="D43" i="2"/>
  <c r="D7" i="1"/>
  <c r="L53" i="2" l="1"/>
  <c r="J73" i="2"/>
  <c r="J72" i="2"/>
  <c r="J74" i="2"/>
  <c r="J70" i="2"/>
  <c r="B53" i="7" l="1"/>
  <c r="D47" i="7"/>
  <c r="I17" i="8"/>
  <c r="I16" i="5"/>
  <c r="E9" i="8"/>
  <c r="E13" i="8" s="1"/>
  <c r="D33" i="7"/>
  <c r="D29" i="7"/>
  <c r="E29" i="7" s="1"/>
  <c r="D25" i="7"/>
  <c r="E7" i="8" s="1"/>
  <c r="D12" i="7"/>
  <c r="E12" i="7" s="1"/>
  <c r="D37" i="7"/>
  <c r="E6" i="8" s="1"/>
  <c r="C5" i="7"/>
  <c r="D5" i="8" s="1"/>
  <c r="D18" i="8" s="1"/>
  <c r="C8" i="9" s="1"/>
  <c r="B5" i="7"/>
  <c r="E33" i="7" l="1"/>
  <c r="F29" i="7"/>
  <c r="F12" i="7"/>
  <c r="E37" i="7"/>
  <c r="E25" i="7"/>
  <c r="F25" i="7" s="1"/>
  <c r="G25" i="7" s="1"/>
  <c r="H25" i="7" s="1"/>
  <c r="C52" i="7"/>
  <c r="E8" i="8" s="1"/>
  <c r="E10" i="8" s="1"/>
  <c r="B52" i="7"/>
  <c r="D52" i="7" s="1"/>
  <c r="F9" i="8"/>
  <c r="B54" i="7"/>
  <c r="E11" i="8" l="1"/>
  <c r="F12" i="8" s="1"/>
  <c r="E18" i="8"/>
  <c r="D8" i="9" s="1"/>
  <c r="G12" i="7"/>
  <c r="F13" i="8"/>
  <c r="G9" i="8"/>
  <c r="F37" i="7"/>
  <c r="F6" i="8"/>
  <c r="F33" i="7"/>
  <c r="G7" i="8" s="1"/>
  <c r="G29" i="7"/>
  <c r="E16" i="8"/>
  <c r="E52" i="7"/>
  <c r="C53" i="7" s="1"/>
  <c r="D53" i="7" s="1"/>
  <c r="E53" i="7" s="1"/>
  <c r="F7" i="8"/>
  <c r="F8" i="8"/>
  <c r="F10" i="8" s="1"/>
  <c r="H14" i="1"/>
  <c r="C55" i="4"/>
  <c r="D55" i="4" s="1"/>
  <c r="E55" i="4" s="1"/>
  <c r="F55" i="4" s="1"/>
  <c r="G55" i="4" s="1"/>
  <c r="E14" i="5"/>
  <c r="F14" i="5" s="1"/>
  <c r="G14" i="5" s="1"/>
  <c r="H14" i="5" s="1"/>
  <c r="I14" i="5" s="1"/>
  <c r="E12" i="5"/>
  <c r="F8" i="5"/>
  <c r="F12" i="5" s="1"/>
  <c r="E8" i="5"/>
  <c r="D37" i="4"/>
  <c r="E33" i="4"/>
  <c r="F33" i="4" s="1"/>
  <c r="G33" i="4" s="1"/>
  <c r="H33" i="4" s="1"/>
  <c r="H37" i="4" s="1"/>
  <c r="D33" i="4"/>
  <c r="D29" i="4"/>
  <c r="E7" i="5" s="1"/>
  <c r="E13" i="4"/>
  <c r="F13" i="4" s="1"/>
  <c r="G13" i="4" s="1"/>
  <c r="H13" i="4" s="1"/>
  <c r="D13" i="4"/>
  <c r="D42" i="4"/>
  <c r="E6" i="5" s="1"/>
  <c r="C7" i="4"/>
  <c r="D5" i="5" s="1"/>
  <c r="D17" i="5" s="1"/>
  <c r="B9" i="6" s="1"/>
  <c r="B7" i="4"/>
  <c r="E9" i="5" l="1"/>
  <c r="E42" i="4"/>
  <c r="E37" i="4"/>
  <c r="G8" i="5"/>
  <c r="E29" i="4"/>
  <c r="F29" i="4" s="1"/>
  <c r="G29" i="4" s="1"/>
  <c r="H29" i="4" s="1"/>
  <c r="I7" i="5" s="1"/>
  <c r="F7" i="5"/>
  <c r="F37" i="4"/>
  <c r="G33" i="7"/>
  <c r="H29" i="7"/>
  <c r="H33" i="7" s="1"/>
  <c r="H9" i="8"/>
  <c r="G13" i="8"/>
  <c r="G37" i="4"/>
  <c r="G37" i="7"/>
  <c r="G6" i="8"/>
  <c r="H12" i="7"/>
  <c r="H7" i="8"/>
  <c r="F16" i="8"/>
  <c r="F18" i="8" s="1"/>
  <c r="E8" i="9" s="1"/>
  <c r="F11" i="8"/>
  <c r="G12" i="8" s="1"/>
  <c r="H7" i="5" l="1"/>
  <c r="H13" i="8"/>
  <c r="I9" i="8"/>
  <c r="I13" i="8" s="1"/>
  <c r="I7" i="8"/>
  <c r="G7" i="5"/>
  <c r="H8" i="5"/>
  <c r="G12" i="5"/>
  <c r="E17" i="5"/>
  <c r="C9" i="6" s="1"/>
  <c r="E10" i="5"/>
  <c r="F11" i="5" s="1"/>
  <c r="H37" i="7"/>
  <c r="I6" i="8" s="1"/>
  <c r="H6" i="8"/>
  <c r="H10" i="8" s="1"/>
  <c r="H11" i="8" s="1"/>
  <c r="I12" i="8" s="1"/>
  <c r="F42" i="4"/>
  <c r="F6" i="5"/>
  <c r="F9" i="5" s="1"/>
  <c r="C54" i="7"/>
  <c r="G19" i="3"/>
  <c r="C18" i="3"/>
  <c r="G42" i="4" l="1"/>
  <c r="G6" i="5"/>
  <c r="G9" i="5" s="1"/>
  <c r="I10" i="8"/>
  <c r="I8" i="5"/>
  <c r="I12" i="5" s="1"/>
  <c r="H12" i="5"/>
  <c r="F17" i="5"/>
  <c r="D9" i="6" s="1"/>
  <c r="F10" i="5"/>
  <c r="G11" i="5" s="1"/>
  <c r="D54" i="7"/>
  <c r="G8" i="8"/>
  <c r="G10" i="8" s="1"/>
  <c r="B29" i="3"/>
  <c r="B28" i="3"/>
  <c r="B27" i="3"/>
  <c r="B19" i="3"/>
  <c r="B18" i="3"/>
  <c r="G17" i="5" l="1"/>
  <c r="E9" i="6" s="1"/>
  <c r="G10" i="5"/>
  <c r="H11" i="5" s="1"/>
  <c r="H42" i="4"/>
  <c r="I6" i="5" s="1"/>
  <c r="I9" i="5" s="1"/>
  <c r="H6" i="5"/>
  <c r="H9" i="5" s="1"/>
  <c r="I18" i="8"/>
  <c r="H8" i="9" s="1"/>
  <c r="I11" i="8"/>
  <c r="J12" i="8" s="1"/>
  <c r="J18" i="8" s="1"/>
  <c r="I8" i="9" s="1"/>
  <c r="G11" i="8"/>
  <c r="H12" i="8" s="1"/>
  <c r="H18" i="8" s="1"/>
  <c r="G8" i="9" s="1"/>
  <c r="G16" i="8"/>
  <c r="G18" i="8" s="1"/>
  <c r="F8" i="9" s="1"/>
  <c r="E54" i="7"/>
  <c r="E7" i="1"/>
  <c r="D27" i="2"/>
  <c r="D31" i="2" s="1"/>
  <c r="D22" i="2"/>
  <c r="E22" i="2" s="1"/>
  <c r="F22" i="2" s="1"/>
  <c r="G22" i="2" s="1"/>
  <c r="H22" i="2" s="1"/>
  <c r="D9" i="2"/>
  <c r="D6" i="1" s="1"/>
  <c r="C27" i="3" s="1"/>
  <c r="C31" i="3" s="1"/>
  <c r="C8" i="3" s="1"/>
  <c r="D36" i="2"/>
  <c r="D5" i="1" s="1"/>
  <c r="C5" i="2"/>
  <c r="C4" i="1" s="1"/>
  <c r="B5" i="2"/>
  <c r="I10" i="5" l="1"/>
  <c r="J11" i="5" s="1"/>
  <c r="J17" i="5" s="1"/>
  <c r="H9" i="6" s="1"/>
  <c r="H17" i="5"/>
  <c r="F9" i="6" s="1"/>
  <c r="H10" i="5"/>
  <c r="I11" i="5" s="1"/>
  <c r="I17" i="5" s="1"/>
  <c r="G9" i="6" s="1"/>
  <c r="K7" i="6" s="1"/>
  <c r="C15" i="1"/>
  <c r="B12" i="3" s="1"/>
  <c r="L4" i="3"/>
  <c r="D8" i="1"/>
  <c r="D9" i="1" s="1"/>
  <c r="C17" i="3"/>
  <c r="C21" i="3" s="1"/>
  <c r="C3" i="3" s="1"/>
  <c r="F7" i="1"/>
  <c r="F11" i="1" s="1"/>
  <c r="D18" i="3"/>
  <c r="L7" i="9"/>
  <c r="L6" i="9"/>
  <c r="D11" i="1"/>
  <c r="E11" i="1"/>
  <c r="E27" i="2"/>
  <c r="E31" i="2" s="1"/>
  <c r="E9" i="2"/>
  <c r="E36" i="2"/>
  <c r="K8" i="6" l="1"/>
  <c r="D15" i="1"/>
  <c r="C12" i="3" s="1"/>
  <c r="B8" i="3"/>
  <c r="B3" i="3"/>
  <c r="G7" i="1"/>
  <c r="E18" i="3"/>
  <c r="F9" i="2"/>
  <c r="F27" i="2"/>
  <c r="E6" i="1"/>
  <c r="D27" i="3" s="1"/>
  <c r="E10" i="1"/>
  <c r="D28" i="3" s="1"/>
  <c r="D31" i="3" s="1"/>
  <c r="D8" i="3" s="1"/>
  <c r="E5" i="1"/>
  <c r="D17" i="3" s="1"/>
  <c r="D21" i="3" s="1"/>
  <c r="D3" i="3" s="1"/>
  <c r="F36" i="2"/>
  <c r="H7" i="1" l="1"/>
  <c r="F18" i="3"/>
  <c r="G11" i="1"/>
  <c r="G27" i="2"/>
  <c r="F31" i="2"/>
  <c r="F5" i="1"/>
  <c r="E17" i="3" s="1"/>
  <c r="E21" i="3" s="1"/>
  <c r="E3" i="3" s="1"/>
  <c r="G36" i="2"/>
  <c r="E8" i="1"/>
  <c r="G9" i="2"/>
  <c r="F6" i="1"/>
  <c r="E27" i="3" s="1"/>
  <c r="H11" i="1" l="1"/>
  <c r="G18" i="3"/>
  <c r="F8" i="1"/>
  <c r="E9" i="1"/>
  <c r="F10" i="1" s="1"/>
  <c r="E28" i="3" s="1"/>
  <c r="E31" i="3" s="1"/>
  <c r="E8" i="3" s="1"/>
  <c r="E15" i="1"/>
  <c r="H9" i="2"/>
  <c r="H27" i="2"/>
  <c r="H31" i="2" s="1"/>
  <c r="G31" i="2"/>
  <c r="G6" i="1" s="1"/>
  <c r="F27" i="3" s="1"/>
  <c r="H36" i="2"/>
  <c r="H5" i="1" s="1"/>
  <c r="G17" i="3" s="1"/>
  <c r="G5" i="1"/>
  <c r="F17" i="3" s="1"/>
  <c r="F21" i="3" s="1"/>
  <c r="F3" i="3" s="1"/>
  <c r="H6" i="1" l="1"/>
  <c r="G27" i="3" s="1"/>
  <c r="G21" i="3"/>
  <c r="G3" i="3" s="1"/>
  <c r="L9" i="3" s="1"/>
  <c r="D12" i="3"/>
  <c r="G8" i="1"/>
  <c r="H8" i="1"/>
  <c r="F15" i="1"/>
  <c r="E12" i="3" s="1"/>
  <c r="F9" i="1"/>
  <c r="G10" i="1" s="1"/>
  <c r="F28" i="3" s="1"/>
  <c r="F31" i="3" s="1"/>
  <c r="F8" i="3" s="1"/>
  <c r="G9" i="1" l="1"/>
  <c r="H10" i="1" s="1"/>
  <c r="G28" i="3" s="1"/>
  <c r="G31" i="3" s="1"/>
  <c r="G8" i="3" s="1"/>
  <c r="G15" i="1"/>
  <c r="F12" i="3" s="1"/>
  <c r="H9" i="1"/>
  <c r="I10" i="1" s="1"/>
  <c r="H28" i="3" s="1"/>
  <c r="H31" i="3" s="1"/>
  <c r="H8" i="3" s="1"/>
  <c r="L10" i="3" l="1"/>
  <c r="L6" i="3" s="1"/>
  <c r="H15" i="1"/>
  <c r="I15" i="1"/>
  <c r="H12" i="3" s="1"/>
  <c r="G12" i="3" l="1"/>
  <c r="L19" i="3" s="1"/>
  <c r="L17" i="3"/>
</calcChain>
</file>

<file path=xl/sharedStrings.xml><?xml version="1.0" encoding="utf-8"?>
<sst xmlns="http://schemas.openxmlformats.org/spreadsheetml/2006/main" count="304" uniqueCount="125">
  <si>
    <t>Terrenos</t>
  </si>
  <si>
    <t>Maquinaria y Equipos</t>
  </si>
  <si>
    <t>Capital de Trabajo</t>
  </si>
  <si>
    <t>Total</t>
  </si>
  <si>
    <t>Inversión Inicial</t>
  </si>
  <si>
    <t>Valor USD</t>
  </si>
  <si>
    <t>Valor COP</t>
  </si>
  <si>
    <t>Gasto Operacional/anual</t>
  </si>
  <si>
    <t>Vida Util de Proyecto</t>
  </si>
  <si>
    <t>Tasa Impuesto</t>
  </si>
  <si>
    <t>Inflación Esperada</t>
  </si>
  <si>
    <t>Nota: Se espera que los costos y gastos aumenten cada año</t>
  </si>
  <si>
    <t xml:space="preserve">Valor de Rescate </t>
  </si>
  <si>
    <t xml:space="preserve">Costos Fijos </t>
  </si>
  <si>
    <t>Costo Variable  unitario</t>
  </si>
  <si>
    <t>Precio de Venta Unitario</t>
  </si>
  <si>
    <t>Unidades vendidas/Año</t>
  </si>
  <si>
    <t>Depreciación de Activos</t>
  </si>
  <si>
    <t>conceptos/periodos</t>
  </si>
  <si>
    <t>impuesto causado </t>
  </si>
  <si>
    <r>
      <t xml:space="preserve">inversion inicial </t>
    </r>
    <r>
      <rPr>
        <b/>
        <sz val="11"/>
        <color theme="1"/>
        <rFont val="Calibri"/>
        <family val="2"/>
        <scheme val="minor"/>
      </rPr>
      <t>(-)</t>
    </r>
  </si>
  <si>
    <r>
      <t xml:space="preserve">ingresos gravables </t>
    </r>
    <r>
      <rPr>
        <b/>
        <sz val="11"/>
        <color theme="1"/>
        <rFont val="Calibri"/>
        <family val="2"/>
        <scheme val="minor"/>
      </rPr>
      <t>(+)</t>
    </r>
  </si>
  <si>
    <r>
      <t xml:space="preserve">egresos deducibles  </t>
    </r>
    <r>
      <rPr>
        <b/>
        <sz val="11"/>
        <color theme="1"/>
        <rFont val="Calibri"/>
        <family val="2"/>
        <scheme val="minor"/>
      </rPr>
      <t>(-)</t>
    </r>
  </si>
  <si>
    <r>
      <t xml:space="preserve">depreciacion y amortizacion  </t>
    </r>
    <r>
      <rPr>
        <b/>
        <sz val="11"/>
        <color theme="1"/>
        <rFont val="Calibri"/>
        <family val="2"/>
        <scheme val="minor"/>
      </rPr>
      <t>(-)</t>
    </r>
  </si>
  <si>
    <r>
      <t xml:space="preserve">utilidad antes impuesto  </t>
    </r>
    <r>
      <rPr>
        <b/>
        <sz val="11"/>
        <color theme="1"/>
        <rFont val="Calibri"/>
        <family val="2"/>
        <scheme val="minor"/>
      </rPr>
      <t>(=)</t>
    </r>
  </si>
  <si>
    <r>
      <t xml:space="preserve">impuesto pagado </t>
    </r>
    <r>
      <rPr>
        <b/>
        <sz val="11"/>
        <color theme="1"/>
        <rFont val="Calibri"/>
        <family val="2"/>
        <scheme val="minor"/>
      </rPr>
      <t>(-)</t>
    </r>
  </si>
  <si>
    <r>
      <t xml:space="preserve">depreciacion y amortizacion </t>
    </r>
    <r>
      <rPr>
        <b/>
        <sz val="11"/>
        <color theme="1"/>
        <rFont val="Calibri"/>
        <family val="2"/>
        <scheme val="minor"/>
      </rPr>
      <t>(+)</t>
    </r>
  </si>
  <si>
    <r>
      <t>egresos no deducibles</t>
    </r>
    <r>
      <rPr>
        <b/>
        <sz val="11"/>
        <color theme="1"/>
        <rFont val="Calibri"/>
        <family val="2"/>
        <scheme val="minor"/>
      </rPr>
      <t xml:space="preserve">  (-)</t>
    </r>
  </si>
  <si>
    <r>
      <t xml:space="preserve">ingreosos no gravables  </t>
    </r>
    <r>
      <rPr>
        <b/>
        <sz val="11"/>
        <color theme="1"/>
        <rFont val="Calibri"/>
        <family val="2"/>
        <scheme val="minor"/>
      </rPr>
      <t>(+)</t>
    </r>
  </si>
  <si>
    <r>
      <t>valor rescate del proyecto</t>
    </r>
    <r>
      <rPr>
        <b/>
        <sz val="11"/>
        <color theme="1"/>
        <rFont val="Calibri"/>
        <family val="2"/>
        <scheme val="minor"/>
      </rPr>
      <t xml:space="preserve"> (+)</t>
    </r>
  </si>
  <si>
    <r>
      <rPr>
        <b/>
        <sz val="11"/>
        <color theme="1"/>
        <rFont val="Calibri"/>
        <family val="2"/>
        <scheme val="minor"/>
      </rPr>
      <t>(=)</t>
    </r>
    <r>
      <rPr>
        <sz val="11"/>
        <color theme="1"/>
        <rFont val="Calibri"/>
        <family val="2"/>
        <scheme val="minor"/>
      </rPr>
      <t xml:space="preserve"> flujo neto de efectivo </t>
    </r>
  </si>
  <si>
    <t>Flujo de caja a pesos Corrientes (Inflación) COP</t>
  </si>
  <si>
    <t>Flujo de caja a pesos Corrientes (Inflación) USD</t>
  </si>
  <si>
    <t>Año 1</t>
  </si>
  <si>
    <t>Año 2</t>
  </si>
  <si>
    <t>Año 3</t>
  </si>
  <si>
    <t>Año 4</t>
  </si>
  <si>
    <t>Año 5</t>
  </si>
  <si>
    <t>Precio de venta Unitario + inflación</t>
  </si>
  <si>
    <t>Gasto Operacional + inflación</t>
  </si>
  <si>
    <t>Costo Fijo + inflación</t>
  </si>
  <si>
    <t>CostoVariable Unitario + inflación</t>
  </si>
  <si>
    <t xml:space="preserve">CostoVariable Anual </t>
  </si>
  <si>
    <t>Es la parte que no se deprecia de un activo, 
porque es el valor que la empresa 
espera que tenga al finalizar su vida útil.</t>
  </si>
  <si>
    <t>Ingresos</t>
  </si>
  <si>
    <t>Egresos</t>
  </si>
  <si>
    <t>TIO</t>
  </si>
  <si>
    <t>TIR</t>
  </si>
  <si>
    <t>Ingresos Gravables</t>
  </si>
  <si>
    <t>Total de Ingresos</t>
  </si>
  <si>
    <t>Item /Periodo</t>
  </si>
  <si>
    <t>Tabla de Ingresos</t>
  </si>
  <si>
    <t>Tabla de Egresos</t>
  </si>
  <si>
    <t>Año 6</t>
  </si>
  <si>
    <t>VPI (Valor Presente de Ingresos)</t>
  </si>
  <si>
    <t>VPE (Valor Presente de Egresos)</t>
  </si>
  <si>
    <t>TIO (Tasa Interna de Oprtunidad)</t>
  </si>
  <si>
    <t>B/C</t>
  </si>
  <si>
    <t>fLUJO NETO EFECTIVO</t>
  </si>
  <si>
    <t>TIR (Tasa interna de Retorno)</t>
  </si>
  <si>
    <t>VPN (Valor presente neto)</t>
  </si>
  <si>
    <t xml:space="preserve">Terreno Donado </t>
  </si>
  <si>
    <t>Costo de oportunidad</t>
  </si>
  <si>
    <t>Flujo de caja incremental</t>
  </si>
  <si>
    <r>
      <t xml:space="preserve">inversion inicial </t>
    </r>
    <r>
      <rPr>
        <b/>
        <sz val="11"/>
        <color rgb="FF000000"/>
        <rFont val="Calibri"/>
        <family val="2"/>
        <scheme val="minor"/>
      </rPr>
      <t>(-)</t>
    </r>
  </si>
  <si>
    <r>
      <t xml:space="preserve">ingresos gravables </t>
    </r>
    <r>
      <rPr>
        <b/>
        <sz val="11"/>
        <color rgb="FF000000"/>
        <rFont val="Calibri"/>
        <family val="2"/>
        <scheme val="minor"/>
      </rPr>
      <t>(+)</t>
    </r>
  </si>
  <si>
    <r>
      <t xml:space="preserve">egresos deducibles  </t>
    </r>
    <r>
      <rPr>
        <b/>
        <sz val="11"/>
        <color rgb="FF000000"/>
        <rFont val="Calibri"/>
        <family val="2"/>
        <scheme val="minor"/>
      </rPr>
      <t>(-)</t>
    </r>
  </si>
  <si>
    <r>
      <t xml:space="preserve">depreciacion y amortizacion  </t>
    </r>
    <r>
      <rPr>
        <b/>
        <sz val="11"/>
        <color rgb="FF000000"/>
        <rFont val="Calibri"/>
        <family val="2"/>
        <scheme val="minor"/>
      </rPr>
      <t>(-)</t>
    </r>
  </si>
  <si>
    <r>
      <t xml:space="preserve">utilidad antes impuesto  </t>
    </r>
    <r>
      <rPr>
        <b/>
        <sz val="11"/>
        <color rgb="FF000000"/>
        <rFont val="Calibri"/>
        <family val="2"/>
        <scheme val="minor"/>
      </rPr>
      <t>(=)</t>
    </r>
  </si>
  <si>
    <r>
      <t xml:space="preserve">impuesto pagado </t>
    </r>
    <r>
      <rPr>
        <b/>
        <sz val="11"/>
        <color rgb="FF000000"/>
        <rFont val="Calibri"/>
        <family val="2"/>
        <scheme val="minor"/>
      </rPr>
      <t>(-)</t>
    </r>
  </si>
  <si>
    <r>
      <t xml:space="preserve">depreciacion y amortizacion </t>
    </r>
    <r>
      <rPr>
        <b/>
        <sz val="11"/>
        <color rgb="FF000000"/>
        <rFont val="Calibri"/>
        <family val="2"/>
        <scheme val="minor"/>
      </rPr>
      <t>(+)</t>
    </r>
  </si>
  <si>
    <r>
      <t>egresos no deducibles</t>
    </r>
    <r>
      <rPr>
        <b/>
        <sz val="11"/>
        <color rgb="FF000000"/>
        <rFont val="Calibri"/>
        <family val="2"/>
        <scheme val="minor"/>
      </rPr>
      <t xml:space="preserve">  (-)</t>
    </r>
  </si>
  <si>
    <r>
      <t xml:space="preserve">ingreosos no gravables  </t>
    </r>
    <r>
      <rPr>
        <b/>
        <sz val="11"/>
        <color rgb="FF000000"/>
        <rFont val="Calibri"/>
        <family val="2"/>
        <scheme val="minor"/>
      </rPr>
      <t>(+)</t>
    </r>
  </si>
  <si>
    <r>
      <t>valor rescate del proyecto</t>
    </r>
    <r>
      <rPr>
        <b/>
        <sz val="11"/>
        <color rgb="FF000000"/>
        <rFont val="Calibri"/>
        <family val="2"/>
        <scheme val="minor"/>
      </rPr>
      <t xml:space="preserve"> (+)</t>
    </r>
  </si>
  <si>
    <r>
      <t>(=)</t>
    </r>
    <r>
      <rPr>
        <sz val="11"/>
        <color rgb="FF000000"/>
        <rFont val="Calibri"/>
        <family val="2"/>
        <scheme val="minor"/>
      </rPr>
      <t xml:space="preserve"> flujo neto de efectivo </t>
    </r>
  </si>
  <si>
    <t>(-) Costo de Oportunidad</t>
  </si>
  <si>
    <t>Flujo de caja a Incremental (Inflación) COP</t>
  </si>
  <si>
    <t>Arriendo Estimado a un Año 1</t>
  </si>
  <si>
    <t>Costo de oportunidad + inflación</t>
  </si>
  <si>
    <t>Flujo Neto Efectivo</t>
  </si>
  <si>
    <t>VPN</t>
  </si>
  <si>
    <t>Capital invertido</t>
  </si>
  <si>
    <t>Utilidad</t>
  </si>
  <si>
    <t>Credito</t>
  </si>
  <si>
    <t>tiempo</t>
  </si>
  <si>
    <t>años</t>
  </si>
  <si>
    <t>Nominal Mensual</t>
  </si>
  <si>
    <t xml:space="preserve">tasa </t>
  </si>
  <si>
    <t>Flujo de caja del Inversionista</t>
  </si>
  <si>
    <t>Flujo de caja Del Inversionista (Inflación) COP</t>
  </si>
  <si>
    <t>(-) Intereses de prestamo</t>
  </si>
  <si>
    <t>(-) Abono a capital</t>
  </si>
  <si>
    <t>NO</t>
  </si>
  <si>
    <t>Cuota</t>
  </si>
  <si>
    <t>Intereses</t>
  </si>
  <si>
    <t>saldo</t>
  </si>
  <si>
    <t>EA</t>
  </si>
  <si>
    <t>Cuota - Interes</t>
  </si>
  <si>
    <t xml:space="preserve">Saldo * Tasa </t>
  </si>
  <si>
    <t>Debia Credito- Amotización</t>
  </si>
  <si>
    <t>Amortización-Abono a capital</t>
  </si>
  <si>
    <t>fLUJO NETO efectivo</t>
  </si>
  <si>
    <t>Tir</t>
  </si>
  <si>
    <t>Total Activos Fijos / Depreciación 10 Años</t>
  </si>
  <si>
    <t>Ventiladores</t>
  </si>
  <si>
    <t>Luces</t>
  </si>
  <si>
    <t>Televisores</t>
  </si>
  <si>
    <t>Computador con hardware necesario</t>
  </si>
  <si>
    <t>Monitor</t>
  </si>
  <si>
    <t>Mouse</t>
  </si>
  <si>
    <t>Teclado</t>
  </si>
  <si>
    <t>Alfombrilla</t>
  </si>
  <si>
    <t>Mesas</t>
  </si>
  <si>
    <t>Sillas ergonomica</t>
  </si>
  <si>
    <t>Seguros robo y catastrofes</t>
  </si>
  <si>
    <t>Arrendamiento</t>
  </si>
  <si>
    <t>Insumos (Papelería)</t>
  </si>
  <si>
    <t>Valor total</t>
  </si>
  <si>
    <t>Activos diferidos</t>
  </si>
  <si>
    <t>Año</t>
  </si>
  <si>
    <t>Amortización anual</t>
  </si>
  <si>
    <t>Amortización acumulada</t>
  </si>
  <si>
    <t>Valor en libros</t>
  </si>
  <si>
    <t>Tabla de amortzación</t>
  </si>
  <si>
    <t>capital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</si>
</sst>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Bs.S&quot;* #,##0.00_-;\-&quot;Bs.S&quot;* #,##0.00_-;_-&quot;Bs.S&quot;* &quot;-&quot;??_-;_-@_-"/>
    <numFmt numFmtId="165" formatCode="_-[$$]* #,##0.00_ ;_-[$$]* \-#,##0.00\ ;_-[$$]* &quot;-&quot;??_ ;_-@_ " x16r2:formatCode16="_-[$$-gsw-CH]* #,##0.00_ ;_-[$$-gsw-CH]* \-#,##0.00\ ;_-[$$-gsw-CH]* &quot;-&quot;??_ ;_-@_ "/>
    <numFmt numFmtId="166" formatCode="[$$-240A]#,##0.00"/>
    <numFmt numFmtId="167" formatCode="_-[$$-240A]* #,##0.00_-;\-[$$-240A]* #,##0.00_-;_-[$$-240A]* &quot;-&quot;??_-;_-@_-"/>
    <numFmt numFmtId="168" formatCode="[$$-409]#,##0.00"/>
    <numFmt numFmtId="169" formatCode="[$$-240A]#,##0.00;\-[$$-240A]#,##0.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6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/>
    <xf numFmtId="166" fontId="4" fillId="3" borderId="1" xfId="0" applyNumberFormat="1" applyFont="1" applyFill="1" applyBorder="1"/>
    <xf numFmtId="167" fontId="0" fillId="0" borderId="1" xfId="1" applyNumberFormat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168" fontId="0" fillId="0" borderId="1" xfId="0" applyNumberFormat="1" applyBorder="1"/>
    <xf numFmtId="0" fontId="6" fillId="0" borderId="1" xfId="0" applyFont="1" applyBorder="1"/>
    <xf numFmtId="0" fontId="8" fillId="2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167" fontId="6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3" fillId="2" borderId="2" xfId="0" applyFont="1" applyFill="1" applyBorder="1"/>
    <xf numFmtId="168" fontId="0" fillId="0" borderId="2" xfId="0" applyNumberFormat="1" applyBorder="1"/>
    <xf numFmtId="167" fontId="0" fillId="0" borderId="2" xfId="1" applyNumberFormat="1" applyFont="1" applyBorder="1"/>
    <xf numFmtId="168" fontId="0" fillId="0" borderId="0" xfId="0" applyNumberFormat="1"/>
    <xf numFmtId="167" fontId="0" fillId="0" borderId="0" xfId="1" applyNumberFormat="1" applyFont="1" applyBorder="1"/>
    <xf numFmtId="0" fontId="3" fillId="0" borderId="0" xfId="0" applyFont="1"/>
    <xf numFmtId="167" fontId="0" fillId="0" borderId="0" xfId="1" applyNumberFormat="1" applyFont="1" applyFill="1" applyBorder="1"/>
    <xf numFmtId="167" fontId="0" fillId="3" borderId="3" xfId="1" applyNumberFormat="1" applyFont="1" applyFill="1" applyBorder="1"/>
    <xf numFmtId="0" fontId="3" fillId="2" borderId="4" xfId="0" applyFont="1" applyFill="1" applyBorder="1"/>
    <xf numFmtId="168" fontId="0" fillId="0" borderId="4" xfId="0" applyNumberFormat="1" applyBorder="1"/>
    <xf numFmtId="167" fontId="0" fillId="3" borderId="4" xfId="1" applyNumberFormat="1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7" fontId="0" fillId="0" borderId="3" xfId="1" applyNumberFormat="1" applyFont="1" applyFill="1" applyBorder="1"/>
    <xf numFmtId="167" fontId="0" fillId="0" borderId="4" xfId="1" applyNumberFormat="1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0" borderId="8" xfId="0" applyFont="1" applyBorder="1"/>
    <xf numFmtId="167" fontId="12" fillId="0" borderId="9" xfId="0" applyNumberFormat="1" applyFont="1" applyBorder="1"/>
    <xf numFmtId="0" fontId="14" fillId="0" borderId="0" xfId="0" applyFont="1"/>
    <xf numFmtId="167" fontId="14" fillId="0" borderId="9" xfId="0" applyNumberFormat="1" applyFont="1" applyBorder="1"/>
    <xf numFmtId="0" fontId="13" fillId="0" borderId="8" xfId="0" applyFont="1" applyBorder="1"/>
    <xf numFmtId="0" fontId="0" fillId="3" borderId="0" xfId="0" applyFill="1"/>
    <xf numFmtId="167" fontId="0" fillId="3" borderId="0" xfId="0" applyNumberFormat="1" applyFill="1"/>
    <xf numFmtId="166" fontId="0" fillId="3" borderId="0" xfId="0" applyNumberFormat="1" applyFill="1"/>
    <xf numFmtId="0" fontId="14" fillId="0" borderId="5" xfId="0" applyFont="1" applyBorder="1"/>
    <xf numFmtId="9" fontId="0" fillId="3" borderId="0" xfId="0" applyNumberFormat="1" applyFill="1"/>
    <xf numFmtId="9" fontId="0" fillId="0" borderId="1" xfId="0" applyNumberFormat="1" applyBorder="1"/>
    <xf numFmtId="167" fontId="0" fillId="0" borderId="0" xfId="0" applyNumberFormat="1" applyAlignment="1">
      <alignment horizontal="right"/>
    </xf>
    <xf numFmtId="10" fontId="0" fillId="3" borderId="1" xfId="2" applyNumberFormat="1" applyFont="1" applyFill="1" applyBorder="1"/>
    <xf numFmtId="0" fontId="0" fillId="0" borderId="2" xfId="0" applyBorder="1"/>
    <xf numFmtId="169" fontId="0" fillId="0" borderId="1" xfId="0" applyNumberFormat="1" applyBorder="1"/>
    <xf numFmtId="44" fontId="0" fillId="0" borderId="0" xfId="1" applyNumberFormat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8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</xdr:row>
      <xdr:rowOff>38100</xdr:rowOff>
    </xdr:from>
    <xdr:to>
      <xdr:col>12</xdr:col>
      <xdr:colOff>817880</xdr:colOff>
      <xdr:row>30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82735A-E6ED-B644-849E-C69ABA167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44500"/>
          <a:ext cx="3327400" cy="579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88900</xdr:rowOff>
    </xdr:from>
    <xdr:to>
      <xdr:col>13</xdr:col>
      <xdr:colOff>647700</xdr:colOff>
      <xdr:row>10</xdr:row>
      <xdr:rowOff>94950</xdr:rowOff>
    </xdr:to>
    <xdr:pic>
      <xdr:nvPicPr>
        <xdr:cNvPr id="2" name="Imagen 1" descr="Resultado de imagen de formula valor futuro interes compuesto&quot;">
          <a:extLst>
            <a:ext uri="{FF2B5EF4-FFF2-40B4-BE49-F238E27FC236}">
              <a16:creationId xmlns:a16="http://schemas.microsoft.com/office/drawing/2014/main" id="{22F26294-D371-1243-B8B3-94B4BF641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901700"/>
          <a:ext cx="3086100" cy="122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1638300</xdr:colOff>
      <xdr:row>33</xdr:row>
      <xdr:rowOff>127000</xdr:rowOff>
    </xdr:from>
    <xdr:ext cx="5533123" cy="150291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27CF93-E40C-364D-9B26-0B03C37CCE44}"/>
            </a:ext>
          </a:extLst>
        </xdr:cNvPr>
        <xdr:cNvSpPr txBox="1"/>
      </xdr:nvSpPr>
      <xdr:spPr>
        <a:xfrm>
          <a:off x="2463800" y="6451600"/>
          <a:ext cx="5533123" cy="1502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ES_tradnl" sz="3200"/>
            <a:t>Inversión Inicial+(inversión Año1,Año2 ...*( 1+TIO)^-Periodo</a:t>
          </a:r>
          <a:r>
            <a:rPr lang="es-ES_tradnl" sz="3200" baseline="0"/>
            <a:t> (n)</a:t>
          </a:r>
          <a:endParaRPr lang="es-ES_tradnl" sz="3200"/>
        </a:p>
      </xdr:txBody>
    </xdr:sp>
    <xdr:clientData/>
  </xdr:oneCellAnchor>
  <xdr:twoCellAnchor>
    <xdr:from>
      <xdr:col>13</xdr:col>
      <xdr:colOff>190500</xdr:colOff>
      <xdr:row>8</xdr:row>
      <xdr:rowOff>101600</xdr:rowOff>
    </xdr:from>
    <xdr:to>
      <xdr:col>18</xdr:col>
      <xdr:colOff>787400</xdr:colOff>
      <xdr:row>26</xdr:row>
      <xdr:rowOff>165100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CA0D770-63DE-0D42-9B0F-17A666055F06}"/>
            </a:ext>
          </a:extLst>
        </xdr:cNvPr>
        <xdr:cNvSpPr txBox="1"/>
      </xdr:nvSpPr>
      <xdr:spPr>
        <a:xfrm>
          <a:off x="16852900" y="1752600"/>
          <a:ext cx="4724400" cy="372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_tradnl" sz="1600"/>
        </a:p>
        <a:p>
          <a:r>
            <a:rPr lang="es-ES_tradnl" sz="1600" b="1"/>
            <a:t>VPI &gt; VPE</a:t>
          </a:r>
          <a:r>
            <a:rPr lang="es-ES_tradnl" sz="1600" b="1" baseline="0"/>
            <a:t> = </a:t>
          </a:r>
          <a:r>
            <a:rPr lang="es-ES_tradnl" sz="1600" baseline="0"/>
            <a:t>Nuestro Proyecto genera mas Ingresos que gastos por lo que por el momento no vamos a generar perdidas </a:t>
          </a:r>
        </a:p>
        <a:p>
          <a:endParaRPr lang="es-ES_tradnl" sz="1600" baseline="0"/>
        </a:p>
        <a:p>
          <a:r>
            <a:rPr lang="es-ES_tradnl" sz="1600" b="1" baseline="0"/>
            <a:t>VPE &gt; VPI = </a:t>
          </a:r>
          <a:r>
            <a:rPr lang="es-ES_tradnl" sz="1600" baseline="0"/>
            <a:t>Nuesto Proyecto genera perdidas tiene mas gastos que  ingresos habra que esperar la TIR Y VPN</a:t>
          </a:r>
        </a:p>
        <a:p>
          <a:endParaRPr lang="es-ES_tradnl" sz="1600" baseline="0"/>
        </a:p>
        <a:p>
          <a:r>
            <a:rPr lang="es-ES_tradnl" sz="1600" b="1" baseline="0"/>
            <a:t>VPI = VPE = </a:t>
          </a:r>
          <a:r>
            <a:rPr lang="es-ES_tradnl" sz="1600" baseline="0"/>
            <a:t>Nuestro Proyecto No genera gancias pero tampoco perdidas tendriamos que esperar el calculo de la TIR para saber el retorno de nuestro capital invertido y VPN para saber la Utilidad del proyecto </a:t>
          </a:r>
          <a:endParaRPr lang="es-ES_tradnl" sz="1600"/>
        </a:p>
      </xdr:txBody>
    </xdr:sp>
    <xdr:clientData/>
  </xdr:twoCellAnchor>
  <xdr:twoCellAnchor>
    <xdr:from>
      <xdr:col>12</xdr:col>
      <xdr:colOff>635000</xdr:colOff>
      <xdr:row>4</xdr:row>
      <xdr:rowOff>38100</xdr:rowOff>
    </xdr:from>
    <xdr:to>
      <xdr:col>18</xdr:col>
      <xdr:colOff>406400</xdr:colOff>
      <xdr:row>7</xdr:row>
      <xdr:rowOff>50800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AD62424-C8CD-474C-97B0-7D8EFCB8C4B4}"/>
            </a:ext>
          </a:extLst>
        </xdr:cNvPr>
        <xdr:cNvSpPr txBox="1"/>
      </xdr:nvSpPr>
      <xdr:spPr>
        <a:xfrm>
          <a:off x="15786100" y="850900"/>
          <a:ext cx="47244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/>
            <a:t>Por cada peso</a:t>
          </a:r>
          <a:r>
            <a:rPr lang="es-ES_tradnl" sz="1600" baseline="0"/>
            <a:t> invertido yo estoy recibiendo una ganancia de $1,10 </a:t>
          </a:r>
          <a:endParaRPr lang="es-ES_tradnl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CEE9-6607-8143-A1C5-4F9E9C13968A}">
  <dimension ref="A1:L74"/>
  <sheetViews>
    <sheetView tabSelected="1" topLeftCell="C48" workbookViewId="0">
      <selection activeCell="H64" sqref="H64"/>
    </sheetView>
  </sheetViews>
  <sheetFormatPr baseColWidth="10" defaultRowHeight="15.75" x14ac:dyDescent="0.25"/>
  <cols>
    <col min="1" max="1" width="19.875" customWidth="1"/>
    <col min="2" max="2" width="24.125" customWidth="1"/>
    <col min="3" max="3" width="19.625" customWidth="1"/>
    <col min="4" max="4" width="17.375" customWidth="1"/>
    <col min="5" max="6" width="15" bestFit="1" customWidth="1"/>
    <col min="7" max="7" width="27.875" customWidth="1"/>
    <col min="8" max="8" width="15" bestFit="1" customWidth="1"/>
    <col min="9" max="10" width="14.125" bestFit="1" customWidth="1"/>
    <col min="12" max="12" width="12.625" bestFit="1" customWidth="1"/>
  </cols>
  <sheetData>
    <row r="1" spans="1:8" x14ac:dyDescent="0.25">
      <c r="A1" s="8" t="s">
        <v>4</v>
      </c>
      <c r="B1" s="9" t="s">
        <v>5</v>
      </c>
      <c r="C1" s="10" t="s">
        <v>6</v>
      </c>
    </row>
    <row r="2" spans="1:8" x14ac:dyDescent="0.25">
      <c r="A2" s="1" t="s">
        <v>0</v>
      </c>
      <c r="B2" s="3">
        <v>2874.99</v>
      </c>
      <c r="C2" s="6">
        <v>10000000</v>
      </c>
    </row>
    <row r="3" spans="1:8" x14ac:dyDescent="0.25">
      <c r="A3" s="1" t="s">
        <v>1</v>
      </c>
      <c r="B3" s="4">
        <v>7187.49</v>
      </c>
      <c r="C3" s="6">
        <v>25000000</v>
      </c>
    </row>
    <row r="4" spans="1:8" x14ac:dyDescent="0.25">
      <c r="A4" s="1" t="s">
        <v>2</v>
      </c>
      <c r="B4" s="5">
        <v>2300</v>
      </c>
      <c r="C4" s="6">
        <v>8000000</v>
      </c>
    </row>
    <row r="5" spans="1:8" x14ac:dyDescent="0.25">
      <c r="A5" s="12" t="s">
        <v>3</v>
      </c>
      <c r="B5" s="13">
        <f>SUM(B2:B4)</f>
        <v>12362.48</v>
      </c>
      <c r="C5" s="14">
        <f>SUM(C2:C4)</f>
        <v>43000000</v>
      </c>
    </row>
    <row r="7" spans="1:8" x14ac:dyDescent="0.25">
      <c r="D7" s="70" t="s">
        <v>39</v>
      </c>
      <c r="E7" s="70"/>
      <c r="F7" s="70"/>
      <c r="G7" s="70"/>
      <c r="H7" s="70"/>
    </row>
    <row r="8" spans="1:8" x14ac:dyDescent="0.25">
      <c r="B8" s="9" t="s">
        <v>5</v>
      </c>
      <c r="C8" s="9" t="s">
        <v>6</v>
      </c>
      <c r="D8" s="2" t="s">
        <v>33</v>
      </c>
      <c r="E8" s="2" t="s">
        <v>34</v>
      </c>
      <c r="F8" s="2" t="s">
        <v>35</v>
      </c>
      <c r="G8" s="2" t="s">
        <v>36</v>
      </c>
      <c r="H8" s="2" t="s">
        <v>37</v>
      </c>
    </row>
    <row r="9" spans="1:8" x14ac:dyDescent="0.25">
      <c r="A9" s="10" t="s">
        <v>7</v>
      </c>
      <c r="B9" s="18">
        <v>862.5</v>
      </c>
      <c r="C9" s="11">
        <v>3000000</v>
      </c>
      <c r="D9" s="38">
        <f>C9*(1+$B$13)</f>
        <v>3180000</v>
      </c>
      <c r="E9" s="38">
        <f t="shared" ref="E9:H9" si="0">D9*(1+$B$13)</f>
        <v>3370800</v>
      </c>
      <c r="F9" s="38">
        <f t="shared" si="0"/>
        <v>3573048</v>
      </c>
      <c r="G9" s="38">
        <f t="shared" si="0"/>
        <v>3787430.8800000004</v>
      </c>
      <c r="H9" s="38">
        <f t="shared" si="0"/>
        <v>4014676.7328000003</v>
      </c>
    </row>
    <row r="11" spans="1:8" x14ac:dyDescent="0.25">
      <c r="A11" s="7" t="s">
        <v>8</v>
      </c>
      <c r="B11" s="22">
        <v>5</v>
      </c>
    </row>
    <row r="12" spans="1:8" x14ac:dyDescent="0.25">
      <c r="A12" s="7" t="s">
        <v>9</v>
      </c>
      <c r="B12" s="21">
        <v>0.35</v>
      </c>
    </row>
    <row r="13" spans="1:8" x14ac:dyDescent="0.25">
      <c r="A13" s="7" t="s">
        <v>10</v>
      </c>
      <c r="B13" s="21">
        <v>0.06</v>
      </c>
      <c r="D13" s="43"/>
      <c r="E13" s="43"/>
      <c r="F13" s="43"/>
      <c r="G13" s="43"/>
      <c r="H13" s="43"/>
    </row>
    <row r="14" spans="1:8" x14ac:dyDescent="0.25">
      <c r="A14" s="68" t="s">
        <v>11</v>
      </c>
      <c r="B14" s="68"/>
      <c r="C14" s="68"/>
    </row>
    <row r="16" spans="1:8" x14ac:dyDescent="0.25">
      <c r="A16" s="69" t="s">
        <v>17</v>
      </c>
      <c r="B16" s="69"/>
      <c r="C16" s="69"/>
    </row>
    <row r="17" spans="1:8" x14ac:dyDescent="0.25">
      <c r="A17" s="16"/>
      <c r="B17" s="17" t="s">
        <v>5</v>
      </c>
      <c r="C17" s="17" t="s">
        <v>6</v>
      </c>
    </row>
    <row r="18" spans="1:8" x14ac:dyDescent="0.25">
      <c r="A18" s="26" t="s">
        <v>12</v>
      </c>
      <c r="B18" s="27">
        <v>1437.5</v>
      </c>
      <c r="C18" s="28">
        <v>5000000</v>
      </c>
    </row>
    <row r="19" spans="1:8" x14ac:dyDescent="0.25">
      <c r="A19" s="31"/>
      <c r="B19" s="29"/>
      <c r="C19" s="30"/>
    </row>
    <row r="20" spans="1:8" x14ac:dyDescent="0.25">
      <c r="A20" s="31"/>
      <c r="B20" s="29"/>
      <c r="C20" s="32"/>
      <c r="D20" s="70" t="s">
        <v>40</v>
      </c>
      <c r="E20" s="70"/>
      <c r="F20" s="70"/>
      <c r="G20" s="70"/>
      <c r="H20" s="70"/>
    </row>
    <row r="21" spans="1:8" x14ac:dyDescent="0.25">
      <c r="A21" s="31"/>
      <c r="B21" s="29"/>
      <c r="C21" s="32"/>
      <c r="D21" s="2" t="s">
        <v>33</v>
      </c>
      <c r="E21" s="2" t="s">
        <v>34</v>
      </c>
      <c r="F21" s="2" t="s">
        <v>35</v>
      </c>
      <c r="G21" s="2" t="s">
        <v>36</v>
      </c>
      <c r="H21" s="2" t="s">
        <v>37</v>
      </c>
    </row>
    <row r="22" spans="1:8" x14ac:dyDescent="0.25">
      <c r="A22" s="34" t="s">
        <v>13</v>
      </c>
      <c r="B22" s="35">
        <v>2587.5</v>
      </c>
      <c r="C22" s="36">
        <v>9000000</v>
      </c>
      <c r="D22" s="37">
        <f>C22*(1+$B$13)</f>
        <v>9540000</v>
      </c>
      <c r="E22" s="37">
        <f t="shared" ref="E22:H22" si="1">D22*(1+$B$13)</f>
        <v>10112400</v>
      </c>
      <c r="F22" s="37">
        <f t="shared" si="1"/>
        <v>10719144</v>
      </c>
      <c r="G22" s="37">
        <f t="shared" si="1"/>
        <v>11362292.640000001</v>
      </c>
      <c r="H22" s="37">
        <f t="shared" si="1"/>
        <v>12044030.198400002</v>
      </c>
    </row>
    <row r="23" spans="1:8" x14ac:dyDescent="0.25">
      <c r="A23" s="31"/>
      <c r="B23" s="29"/>
      <c r="C23" s="32"/>
      <c r="D23" s="25"/>
      <c r="E23" s="25"/>
      <c r="F23" s="25"/>
      <c r="G23" s="25"/>
      <c r="H23" s="25"/>
    </row>
    <row r="24" spans="1:8" x14ac:dyDescent="0.25">
      <c r="A24" s="31"/>
      <c r="B24" s="29"/>
      <c r="C24" s="32"/>
      <c r="D24" s="25"/>
      <c r="E24" s="25"/>
      <c r="F24" s="25"/>
      <c r="G24" s="25"/>
      <c r="H24" s="25"/>
    </row>
    <row r="25" spans="1:8" x14ac:dyDescent="0.25">
      <c r="A25" s="31"/>
      <c r="B25" s="29"/>
      <c r="C25" s="32"/>
      <c r="D25" s="70" t="s">
        <v>41</v>
      </c>
      <c r="E25" s="70"/>
      <c r="F25" s="70"/>
      <c r="G25" s="70"/>
      <c r="H25" s="70"/>
    </row>
    <row r="26" spans="1:8" x14ac:dyDescent="0.25">
      <c r="A26" s="31"/>
      <c r="B26" s="29"/>
      <c r="C26" s="32"/>
      <c r="D26" s="2" t="s">
        <v>33</v>
      </c>
      <c r="E26" s="2" t="s">
        <v>34</v>
      </c>
      <c r="F26" s="2" t="s">
        <v>35</v>
      </c>
      <c r="G26" s="2" t="s">
        <v>36</v>
      </c>
      <c r="H26" s="2" t="s">
        <v>37</v>
      </c>
    </row>
    <row r="27" spans="1:8" x14ac:dyDescent="0.25">
      <c r="A27" s="10" t="s">
        <v>14</v>
      </c>
      <c r="B27" s="18">
        <v>7.19</v>
      </c>
      <c r="C27" s="15">
        <v>25000</v>
      </c>
      <c r="D27" s="25">
        <f>C27*(1+$B$13)</f>
        <v>26500</v>
      </c>
      <c r="E27" s="25">
        <f t="shared" ref="E27:H27" si="2">D27*(1+$B$13)</f>
        <v>28090</v>
      </c>
      <c r="F27" s="25">
        <f t="shared" si="2"/>
        <v>29775.4</v>
      </c>
      <c r="G27" s="25">
        <f t="shared" si="2"/>
        <v>31561.924000000003</v>
      </c>
      <c r="H27" s="25">
        <f t="shared" si="2"/>
        <v>33455.639440000006</v>
      </c>
    </row>
    <row r="28" spans="1:8" x14ac:dyDescent="0.25">
      <c r="A28" s="31"/>
      <c r="B28" s="29"/>
      <c r="C28" s="30"/>
    </row>
    <row r="29" spans="1:8" x14ac:dyDescent="0.25">
      <c r="A29" s="31"/>
      <c r="B29" s="29"/>
      <c r="C29" s="30"/>
      <c r="D29" s="70" t="s">
        <v>42</v>
      </c>
      <c r="E29" s="70"/>
      <c r="F29" s="70"/>
      <c r="G29" s="70"/>
      <c r="H29" s="70"/>
    </row>
    <row r="30" spans="1:8" x14ac:dyDescent="0.25">
      <c r="A30" s="31"/>
      <c r="B30" s="29"/>
      <c r="C30" s="30"/>
      <c r="D30" s="2" t="s">
        <v>33</v>
      </c>
      <c r="E30" s="2" t="s">
        <v>34</v>
      </c>
      <c r="F30" s="2" t="s">
        <v>35</v>
      </c>
      <c r="G30" s="2" t="s">
        <v>36</v>
      </c>
      <c r="H30" s="2" t="s">
        <v>37</v>
      </c>
    </row>
    <row r="31" spans="1:8" x14ac:dyDescent="0.25">
      <c r="A31" s="31"/>
      <c r="B31" s="29"/>
      <c r="C31" s="30"/>
      <c r="D31" s="37">
        <f>D27*$B$39</f>
        <v>39750000</v>
      </c>
      <c r="E31" s="37">
        <f>E27*$B$39</f>
        <v>42135000</v>
      </c>
      <c r="F31" s="37">
        <f>F27*$B$39</f>
        <v>44663100</v>
      </c>
      <c r="G31" s="37">
        <f>G27*$B$39</f>
        <v>47342886.000000007</v>
      </c>
      <c r="H31" s="37">
        <f>H27*$B$39</f>
        <v>50183459.160000011</v>
      </c>
    </row>
    <row r="32" spans="1:8" x14ac:dyDescent="0.25">
      <c r="A32" s="31"/>
      <c r="B32" s="29"/>
      <c r="C32" s="30"/>
    </row>
    <row r="33" spans="1:9" x14ac:dyDescent="0.25">
      <c r="A33" s="31"/>
      <c r="B33" s="29"/>
      <c r="C33" s="30"/>
    </row>
    <row r="34" spans="1:9" x14ac:dyDescent="0.25">
      <c r="A34" s="31"/>
      <c r="B34" s="29"/>
      <c r="C34" s="30"/>
      <c r="D34" s="70" t="s">
        <v>38</v>
      </c>
      <c r="E34" s="70"/>
      <c r="F34" s="70"/>
      <c r="G34" s="70"/>
      <c r="H34" s="70"/>
    </row>
    <row r="35" spans="1:9" x14ac:dyDescent="0.25">
      <c r="A35" s="31"/>
      <c r="B35" s="29"/>
      <c r="C35" s="32"/>
      <c r="D35" s="2" t="s">
        <v>33</v>
      </c>
      <c r="E35" s="2" t="s">
        <v>34</v>
      </c>
      <c r="F35" s="2" t="s">
        <v>35</v>
      </c>
      <c r="G35" s="2" t="s">
        <v>36</v>
      </c>
      <c r="H35" s="2" t="s">
        <v>37</v>
      </c>
    </row>
    <row r="36" spans="1:9" x14ac:dyDescent="0.25">
      <c r="A36" s="10" t="s">
        <v>15</v>
      </c>
      <c r="B36" s="18">
        <v>10.06</v>
      </c>
      <c r="C36" s="33">
        <v>35000</v>
      </c>
      <c r="D36" s="24">
        <f>C36*(1+$B$13)</f>
        <v>37100</v>
      </c>
      <c r="E36" s="24">
        <f>D36*(1+$B$13)</f>
        <v>39326</v>
      </c>
      <c r="F36" s="24">
        <f>E36*(1+$B$13)</f>
        <v>41685.560000000005</v>
      </c>
      <c r="G36" s="24">
        <f>F36*(1+$B$13)</f>
        <v>44186.693600000006</v>
      </c>
      <c r="H36" s="24">
        <f>G36*(1+$B$13)</f>
        <v>46837.895216000012</v>
      </c>
      <c r="I36" s="25"/>
    </row>
    <row r="39" spans="1:9" x14ac:dyDescent="0.25">
      <c r="A39" s="10" t="s">
        <v>16</v>
      </c>
      <c r="B39" s="22">
        <v>1500</v>
      </c>
      <c r="E39" s="25"/>
    </row>
    <row r="42" spans="1:9" x14ac:dyDescent="0.25">
      <c r="B42" s="67" t="s">
        <v>103</v>
      </c>
      <c r="C42" s="67"/>
      <c r="D42" s="67"/>
    </row>
    <row r="43" spans="1:9" x14ac:dyDescent="0.25">
      <c r="B43" t="s">
        <v>104</v>
      </c>
      <c r="C43" s="64">
        <v>214044.05</v>
      </c>
      <c r="D43" s="65">
        <f>C43/10</f>
        <v>21404.404999999999</v>
      </c>
      <c r="E43" s="65">
        <f>D43</f>
        <v>21404.404999999999</v>
      </c>
      <c r="F43" s="65">
        <f t="shared" ref="F43:H43" si="3">E43</f>
        <v>21404.404999999999</v>
      </c>
      <c r="G43" s="65">
        <f t="shared" si="3"/>
        <v>21404.404999999999</v>
      </c>
      <c r="H43" s="65">
        <f t="shared" si="3"/>
        <v>21404.404999999999</v>
      </c>
    </row>
    <row r="44" spans="1:9" x14ac:dyDescent="0.25">
      <c r="B44" t="s">
        <v>105</v>
      </c>
      <c r="C44" s="65">
        <v>58375.65</v>
      </c>
      <c r="D44" s="65">
        <f t="shared" ref="D44:D52" si="4">C44/10</f>
        <v>5837.5650000000005</v>
      </c>
      <c r="E44" s="65">
        <f t="shared" ref="E44:H52" si="5">D44</f>
        <v>5837.5650000000005</v>
      </c>
      <c r="F44" s="65">
        <f t="shared" si="5"/>
        <v>5837.5650000000005</v>
      </c>
      <c r="G44" s="65">
        <f t="shared" si="5"/>
        <v>5837.5650000000005</v>
      </c>
      <c r="H44" s="65">
        <f t="shared" si="5"/>
        <v>5837.5650000000005</v>
      </c>
    </row>
    <row r="45" spans="1:9" x14ac:dyDescent="0.25">
      <c r="B45" t="s">
        <v>106</v>
      </c>
      <c r="C45" s="65">
        <v>1945855</v>
      </c>
      <c r="D45" s="65">
        <f t="shared" si="4"/>
        <v>194585.5</v>
      </c>
      <c r="E45" s="65">
        <f t="shared" si="5"/>
        <v>194585.5</v>
      </c>
      <c r="F45" s="65">
        <f t="shared" si="5"/>
        <v>194585.5</v>
      </c>
      <c r="G45" s="65">
        <f t="shared" si="5"/>
        <v>194585.5</v>
      </c>
      <c r="H45" s="65">
        <f t="shared" si="5"/>
        <v>194585.5</v>
      </c>
    </row>
    <row r="46" spans="1:9" ht="28.15" customHeight="1" x14ac:dyDescent="0.25">
      <c r="B46" s="66" t="s">
        <v>107</v>
      </c>
      <c r="C46" s="65">
        <v>4670052</v>
      </c>
      <c r="D46" s="65">
        <f t="shared" si="4"/>
        <v>467005.2</v>
      </c>
      <c r="E46" s="65">
        <f t="shared" si="5"/>
        <v>467005.2</v>
      </c>
      <c r="F46" s="65">
        <f t="shared" si="5"/>
        <v>467005.2</v>
      </c>
      <c r="G46" s="65">
        <f t="shared" si="5"/>
        <v>467005.2</v>
      </c>
      <c r="H46" s="65">
        <f t="shared" si="5"/>
        <v>467005.2</v>
      </c>
    </row>
    <row r="47" spans="1:9" x14ac:dyDescent="0.25">
      <c r="B47" t="s">
        <v>108</v>
      </c>
      <c r="C47" s="65">
        <v>1362098.5</v>
      </c>
      <c r="D47" s="65">
        <f t="shared" si="4"/>
        <v>136209.85</v>
      </c>
      <c r="E47" s="65">
        <f t="shared" si="5"/>
        <v>136209.85</v>
      </c>
      <c r="F47" s="65">
        <f t="shared" si="5"/>
        <v>136209.85</v>
      </c>
      <c r="G47" s="65">
        <f t="shared" si="5"/>
        <v>136209.85</v>
      </c>
      <c r="H47" s="65">
        <f t="shared" si="5"/>
        <v>136209.85</v>
      </c>
    </row>
    <row r="48" spans="1:9" x14ac:dyDescent="0.25">
      <c r="B48" t="s">
        <v>109</v>
      </c>
      <c r="C48" s="65">
        <v>272419.7</v>
      </c>
      <c r="D48" s="65">
        <f t="shared" si="4"/>
        <v>27241.97</v>
      </c>
      <c r="E48" s="65">
        <f t="shared" si="5"/>
        <v>27241.97</v>
      </c>
      <c r="F48" s="65">
        <f t="shared" si="5"/>
        <v>27241.97</v>
      </c>
      <c r="G48" s="65">
        <f t="shared" si="5"/>
        <v>27241.97</v>
      </c>
      <c r="H48" s="65">
        <f t="shared" si="5"/>
        <v>27241.97</v>
      </c>
    </row>
    <row r="49" spans="1:12" x14ac:dyDescent="0.25">
      <c r="B49" t="s">
        <v>110</v>
      </c>
      <c r="C49" s="65">
        <v>467005.2</v>
      </c>
      <c r="D49" s="65">
        <f t="shared" si="4"/>
        <v>46700.520000000004</v>
      </c>
      <c r="E49" s="65">
        <f t="shared" si="5"/>
        <v>46700.520000000004</v>
      </c>
      <c r="F49" s="65">
        <f t="shared" si="5"/>
        <v>46700.520000000004</v>
      </c>
      <c r="G49" s="65">
        <f t="shared" si="5"/>
        <v>46700.520000000004</v>
      </c>
      <c r="H49" s="65">
        <f t="shared" si="5"/>
        <v>46700.520000000004</v>
      </c>
    </row>
    <row r="50" spans="1:12" x14ac:dyDescent="0.25">
      <c r="B50" t="s">
        <v>111</v>
      </c>
      <c r="C50" s="65">
        <v>116751.3</v>
      </c>
      <c r="D50" s="65">
        <f t="shared" si="4"/>
        <v>11675.130000000001</v>
      </c>
      <c r="E50" s="65">
        <f t="shared" si="5"/>
        <v>11675.130000000001</v>
      </c>
      <c r="F50" s="65">
        <f t="shared" si="5"/>
        <v>11675.130000000001</v>
      </c>
      <c r="G50" s="65">
        <f t="shared" si="5"/>
        <v>11675.130000000001</v>
      </c>
      <c r="H50" s="65">
        <f t="shared" si="5"/>
        <v>11675.130000000001</v>
      </c>
    </row>
    <row r="51" spans="1:12" x14ac:dyDescent="0.25">
      <c r="B51" t="s">
        <v>112</v>
      </c>
      <c r="C51" s="65">
        <v>1751269.5</v>
      </c>
      <c r="D51" s="65">
        <f t="shared" si="4"/>
        <v>175126.95</v>
      </c>
      <c r="E51" s="65">
        <f t="shared" si="5"/>
        <v>175126.95</v>
      </c>
      <c r="F51" s="65">
        <f t="shared" si="5"/>
        <v>175126.95</v>
      </c>
      <c r="G51" s="65">
        <f t="shared" si="5"/>
        <v>175126.95</v>
      </c>
      <c r="H51" s="65">
        <f t="shared" si="5"/>
        <v>175126.95</v>
      </c>
    </row>
    <row r="52" spans="1:12" x14ac:dyDescent="0.25">
      <c r="B52" t="s">
        <v>113</v>
      </c>
      <c r="C52" s="65">
        <v>1556684</v>
      </c>
      <c r="D52" s="65">
        <f t="shared" si="4"/>
        <v>155668.4</v>
      </c>
      <c r="E52" s="65">
        <f t="shared" si="5"/>
        <v>155668.4</v>
      </c>
      <c r="F52" s="65">
        <f t="shared" si="5"/>
        <v>155668.4</v>
      </c>
      <c r="G52" s="65">
        <f t="shared" si="5"/>
        <v>155668.4</v>
      </c>
      <c r="H52" s="65">
        <f t="shared" si="5"/>
        <v>155668.4</v>
      </c>
    </row>
    <row r="53" spans="1:12" x14ac:dyDescent="0.25">
      <c r="C53" t="s">
        <v>3</v>
      </c>
      <c r="D53" s="65">
        <f>SUM(D43:D52)</f>
        <v>1241455.49</v>
      </c>
      <c r="L53" s="65">
        <f>D59/5</f>
        <v>450000</v>
      </c>
    </row>
    <row r="55" spans="1:12" x14ac:dyDescent="0.25">
      <c r="A55" s="67" t="s">
        <v>118</v>
      </c>
      <c r="B55" s="67"/>
      <c r="C55" s="67"/>
      <c r="D55" s="67"/>
    </row>
    <row r="56" spans="1:12" x14ac:dyDescent="0.25">
      <c r="A56" t="s">
        <v>115</v>
      </c>
      <c r="B56">
        <v>1</v>
      </c>
      <c r="C56" s="65">
        <v>750000</v>
      </c>
      <c r="D56" s="65">
        <f>C56*B56</f>
        <v>750000</v>
      </c>
    </row>
    <row r="57" spans="1:12" x14ac:dyDescent="0.25">
      <c r="A57" t="s">
        <v>114</v>
      </c>
      <c r="B57">
        <v>2</v>
      </c>
      <c r="C57" s="65">
        <v>500000</v>
      </c>
      <c r="D57" s="65">
        <f>C57*B57</f>
        <v>1000000</v>
      </c>
    </row>
    <row r="58" spans="1:12" x14ac:dyDescent="0.25">
      <c r="A58" t="s">
        <v>116</v>
      </c>
      <c r="B58">
        <v>1</v>
      </c>
      <c r="C58" s="65">
        <v>500000</v>
      </c>
      <c r="D58" s="65">
        <f t="shared" ref="D58" si="6">C58*B58</f>
        <v>500000</v>
      </c>
    </row>
    <row r="59" spans="1:12" x14ac:dyDescent="0.25">
      <c r="C59" t="s">
        <v>117</v>
      </c>
      <c r="D59" s="65">
        <f>SUM(D56:D58)</f>
        <v>2250000</v>
      </c>
    </row>
    <row r="61" spans="1:12" x14ac:dyDescent="0.25">
      <c r="C61" t="s">
        <v>124</v>
      </c>
      <c r="D61">
        <v>8000000</v>
      </c>
      <c r="H61" s="65">
        <f>SUM(D61,H43:H52)</f>
        <v>9241455.4900000002</v>
      </c>
    </row>
    <row r="64" spans="1:12" x14ac:dyDescent="0.25">
      <c r="H64">
        <v>12367152.109999999</v>
      </c>
    </row>
    <row r="66" spans="7:10" x14ac:dyDescent="0.25">
      <c r="H66" s="80">
        <f>FV(6%,5,,-H61)</f>
        <v>12367152.110969946</v>
      </c>
    </row>
    <row r="68" spans="7:10" x14ac:dyDescent="0.25">
      <c r="G68" s="67" t="s">
        <v>123</v>
      </c>
      <c r="H68" s="67"/>
      <c r="I68" s="67"/>
      <c r="J68" s="67"/>
    </row>
    <row r="69" spans="7:10" x14ac:dyDescent="0.25">
      <c r="G69" t="s">
        <v>119</v>
      </c>
      <c r="H69" t="s">
        <v>120</v>
      </c>
      <c r="I69" t="s">
        <v>121</v>
      </c>
      <c r="J69" t="s">
        <v>122</v>
      </c>
    </row>
    <row r="70" spans="7:10" x14ac:dyDescent="0.25">
      <c r="G70">
        <v>1</v>
      </c>
      <c r="H70" s="65">
        <v>450000</v>
      </c>
      <c r="I70" s="65">
        <f>H70</f>
        <v>450000</v>
      </c>
      <c r="J70" s="65">
        <f>$D$59-I70</f>
        <v>1800000</v>
      </c>
    </row>
    <row r="71" spans="7:10" x14ac:dyDescent="0.25">
      <c r="G71">
        <v>2</v>
      </c>
      <c r="H71" s="65">
        <v>450000</v>
      </c>
      <c r="I71" s="65">
        <f>I70+H71</f>
        <v>900000</v>
      </c>
      <c r="J71" s="65">
        <f>$D$59-I71</f>
        <v>1350000</v>
      </c>
    </row>
    <row r="72" spans="7:10" x14ac:dyDescent="0.25">
      <c r="G72">
        <v>3</v>
      </c>
      <c r="H72" s="65">
        <v>450000</v>
      </c>
      <c r="I72" s="65">
        <f t="shared" ref="I72:I74" si="7">I71+H72</f>
        <v>1350000</v>
      </c>
      <c r="J72" s="65">
        <f>$D$59-I72</f>
        <v>900000</v>
      </c>
    </row>
    <row r="73" spans="7:10" x14ac:dyDescent="0.25">
      <c r="G73">
        <v>4</v>
      </c>
      <c r="H73" s="65">
        <v>450000</v>
      </c>
      <c r="I73" s="65">
        <f>I72+H73</f>
        <v>1800000</v>
      </c>
      <c r="J73" s="65">
        <f>$D$59-I73</f>
        <v>450000</v>
      </c>
    </row>
    <row r="74" spans="7:10" x14ac:dyDescent="0.25">
      <c r="G74">
        <v>5</v>
      </c>
      <c r="H74" s="65">
        <v>450000</v>
      </c>
      <c r="I74" s="65">
        <f t="shared" si="7"/>
        <v>2250000</v>
      </c>
      <c r="J74" s="65">
        <f>$D$59-I74</f>
        <v>0</v>
      </c>
    </row>
  </sheetData>
  <mergeCells count="10">
    <mergeCell ref="D7:H7"/>
    <mergeCell ref="D20:H20"/>
    <mergeCell ref="D25:H25"/>
    <mergeCell ref="D29:H29"/>
    <mergeCell ref="B42:D42"/>
    <mergeCell ref="A55:D55"/>
    <mergeCell ref="G68:J68"/>
    <mergeCell ref="A14:C14"/>
    <mergeCell ref="A16:C16"/>
    <mergeCell ref="D34:H34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BE38-29F4-2540-B260-A60FFE763E21}">
  <dimension ref="B2:N33"/>
  <sheetViews>
    <sheetView zoomScaleNormal="100" workbookViewId="0">
      <selection activeCell="B21" sqref="B21"/>
    </sheetView>
  </sheetViews>
  <sheetFormatPr baseColWidth="10" defaultRowHeight="15.75" x14ac:dyDescent="0.25"/>
  <cols>
    <col min="2" max="2" width="25" bestFit="1" customWidth="1"/>
    <col min="3" max="3" width="17.75" bestFit="1" customWidth="1"/>
    <col min="4" max="4" width="17" bestFit="1" customWidth="1"/>
    <col min="5" max="6" width="16.75" bestFit="1" customWidth="1"/>
    <col min="7" max="7" width="17" bestFit="1" customWidth="1"/>
    <col min="8" max="8" width="14.75" bestFit="1" customWidth="1"/>
    <col min="9" max="9" width="12.5" bestFit="1" customWidth="1"/>
  </cols>
  <sheetData>
    <row r="2" spans="2:14" x14ac:dyDescent="0.25">
      <c r="B2" s="69" t="s">
        <v>31</v>
      </c>
      <c r="C2" s="69"/>
      <c r="D2" s="69"/>
      <c r="E2" s="69"/>
      <c r="F2" s="69"/>
      <c r="G2" s="69"/>
      <c r="H2" s="69"/>
      <c r="I2" s="69"/>
    </row>
    <row r="3" spans="2:14" x14ac:dyDescent="0.25">
      <c r="B3" s="20" t="s">
        <v>18</v>
      </c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</row>
    <row r="4" spans="2:14" x14ac:dyDescent="0.25">
      <c r="B4" s="19" t="s">
        <v>20</v>
      </c>
      <c r="C4" s="23">
        <f>Información!C5</f>
        <v>43000000</v>
      </c>
      <c r="D4" s="23"/>
      <c r="E4" s="23"/>
      <c r="F4" s="23"/>
      <c r="G4" s="23"/>
      <c r="H4" s="24"/>
      <c r="I4" s="24"/>
    </row>
    <row r="5" spans="2:14" x14ac:dyDescent="0.25">
      <c r="B5" s="19" t="s">
        <v>21</v>
      </c>
      <c r="C5" s="23"/>
      <c r="D5" s="23">
        <f>Información!D36*Información!$B$39</f>
        <v>55650000</v>
      </c>
      <c r="E5" s="23">
        <f>Información!E36*Información!$B$39</f>
        <v>58989000</v>
      </c>
      <c r="F5" s="23">
        <f>Información!F36*Información!$B$39</f>
        <v>62528340.000000007</v>
      </c>
      <c r="G5" s="23">
        <f>Información!G36*Información!$B$39</f>
        <v>66280040.400000006</v>
      </c>
      <c r="H5" s="23">
        <f>Información!H36*Información!$B$39</f>
        <v>70256842.824000016</v>
      </c>
      <c r="I5" s="24"/>
    </row>
    <row r="6" spans="2:14" x14ac:dyDescent="0.25">
      <c r="B6" s="19" t="s">
        <v>22</v>
      </c>
      <c r="C6" s="23"/>
      <c r="D6" s="23">
        <f>Información!D9+Información!D22+Información!D31</f>
        <v>52470000</v>
      </c>
      <c r="E6" s="23">
        <f>Información!E9+Información!E22+Información!E31</f>
        <v>55618200</v>
      </c>
      <c r="F6" s="23">
        <f>Información!F9+Información!F22+Información!F31</f>
        <v>58955292</v>
      </c>
      <c r="G6" s="23">
        <f>Información!G9+Información!G22+Información!G31</f>
        <v>62492609.520000011</v>
      </c>
      <c r="H6" s="23">
        <f>Información!H9+Información!H22+Información!H31</f>
        <v>66242166.091200009</v>
      </c>
      <c r="I6" s="24"/>
    </row>
    <row r="7" spans="2:14" x14ac:dyDescent="0.25">
      <c r="B7" s="19" t="s">
        <v>23</v>
      </c>
      <c r="C7" s="23"/>
      <c r="D7" s="23">
        <f>Información!C3/10</f>
        <v>2500000</v>
      </c>
      <c r="E7" s="23">
        <f>D7</f>
        <v>2500000</v>
      </c>
      <c r="F7" s="23">
        <f t="shared" ref="F7:H7" si="0">E7</f>
        <v>2500000</v>
      </c>
      <c r="G7" s="23">
        <f t="shared" si="0"/>
        <v>2500000</v>
      </c>
      <c r="H7" s="23">
        <f t="shared" si="0"/>
        <v>2500000</v>
      </c>
      <c r="I7" s="24"/>
    </row>
    <row r="8" spans="2:14" x14ac:dyDescent="0.25">
      <c r="B8" s="19" t="s">
        <v>24</v>
      </c>
      <c r="C8" s="23"/>
      <c r="D8" s="23">
        <f>D5-D6-D7</f>
        <v>680000</v>
      </c>
      <c r="E8" s="23">
        <f>E5-E6-E7</f>
        <v>870800</v>
      </c>
      <c r="F8" s="23">
        <f>F5-F6-F7</f>
        <v>1073048.0000000075</v>
      </c>
      <c r="G8" s="23">
        <f>G5-G6-G7</f>
        <v>1287430.8799999952</v>
      </c>
      <c r="H8" s="23">
        <f>H5-H6-H7</f>
        <v>1514676.7328000069</v>
      </c>
      <c r="I8" s="24"/>
    </row>
    <row r="9" spans="2:14" x14ac:dyDescent="0.25">
      <c r="B9" s="19" t="s">
        <v>19</v>
      </c>
      <c r="C9" s="23"/>
      <c r="D9" s="23">
        <f>D8*Información!$B$12</f>
        <v>237999.99999999997</v>
      </c>
      <c r="E9" s="23">
        <f>E8*Información!$B$12</f>
        <v>304780</v>
      </c>
      <c r="F9" s="23">
        <f>F8*Información!$B$12</f>
        <v>375566.80000000261</v>
      </c>
      <c r="G9" s="23">
        <f>G8*Información!$B$12</f>
        <v>450600.80799999833</v>
      </c>
      <c r="H9" s="23">
        <f>H8*Información!$B$12</f>
        <v>530136.8564800024</v>
      </c>
      <c r="I9" s="24"/>
    </row>
    <row r="10" spans="2:14" x14ac:dyDescent="0.25">
      <c r="B10" s="19" t="s">
        <v>25</v>
      </c>
      <c r="C10" s="23"/>
      <c r="D10" s="23"/>
      <c r="E10" s="23">
        <f>D9</f>
        <v>237999.99999999997</v>
      </c>
      <c r="F10" s="23">
        <f t="shared" ref="F10:I10" si="1">E9</f>
        <v>304780</v>
      </c>
      <c r="G10" s="23">
        <f t="shared" si="1"/>
        <v>375566.80000000261</v>
      </c>
      <c r="H10" s="23">
        <f t="shared" si="1"/>
        <v>450600.80799999833</v>
      </c>
      <c r="I10" s="23">
        <f t="shared" si="1"/>
        <v>530136.8564800024</v>
      </c>
    </row>
    <row r="11" spans="2:14" x14ac:dyDescent="0.25">
      <c r="B11" s="19" t="s">
        <v>26</v>
      </c>
      <c r="C11" s="23"/>
      <c r="D11" s="23">
        <f>D7</f>
        <v>2500000</v>
      </c>
      <c r="E11" s="23">
        <f t="shared" ref="E11:H11" si="2">E7</f>
        <v>2500000</v>
      </c>
      <c r="F11" s="23">
        <f t="shared" si="2"/>
        <v>2500000</v>
      </c>
      <c r="G11" s="23">
        <f t="shared" si="2"/>
        <v>2500000</v>
      </c>
      <c r="H11" s="23">
        <f t="shared" si="2"/>
        <v>2500000</v>
      </c>
      <c r="I11" s="24"/>
    </row>
    <row r="12" spans="2:14" x14ac:dyDescent="0.25">
      <c r="B12" s="19" t="s">
        <v>27</v>
      </c>
      <c r="C12" s="23"/>
      <c r="D12" s="23"/>
      <c r="E12" s="23"/>
      <c r="F12" s="23"/>
      <c r="G12" s="23"/>
      <c r="H12" s="23"/>
      <c r="I12" s="24"/>
    </row>
    <row r="13" spans="2:14" x14ac:dyDescent="0.25">
      <c r="B13" s="19" t="s">
        <v>28</v>
      </c>
      <c r="C13" s="23"/>
      <c r="D13" s="23"/>
      <c r="E13" s="23"/>
      <c r="F13" s="23"/>
      <c r="G13" s="23"/>
      <c r="H13" s="24"/>
      <c r="I13" s="24"/>
      <c r="K13" s="71" t="s">
        <v>43</v>
      </c>
      <c r="L13" s="72"/>
      <c r="M13" s="72"/>
      <c r="N13" s="72"/>
    </row>
    <row r="14" spans="2:14" x14ac:dyDescent="0.25">
      <c r="B14" s="19" t="s">
        <v>29</v>
      </c>
      <c r="C14" s="23"/>
      <c r="D14" s="23"/>
      <c r="E14" s="23"/>
      <c r="F14" s="23"/>
      <c r="G14" s="23"/>
      <c r="H14" s="24">
        <f>FV(Información!B13,Información!B11,,-Información!C18)</f>
        <v>6691127.8880000021</v>
      </c>
      <c r="I14" s="24"/>
      <c r="K14" s="72"/>
      <c r="L14" s="72"/>
      <c r="M14" s="72"/>
      <c r="N14" s="72"/>
    </row>
    <row r="15" spans="2:14" x14ac:dyDescent="0.25">
      <c r="B15" s="19" t="s">
        <v>30</v>
      </c>
      <c r="C15" s="23">
        <f>-C4</f>
        <v>-43000000</v>
      </c>
      <c r="D15" s="23">
        <f>D8-D10+D11-D12+D13+D1</f>
        <v>3180000</v>
      </c>
      <c r="E15" s="23">
        <f>E8-E10+E11-E12+E13+E14</f>
        <v>3132800</v>
      </c>
      <c r="F15" s="23">
        <f>F8-F10+F11-F12+F13+F14</f>
        <v>3268268.0000000075</v>
      </c>
      <c r="G15" s="23">
        <f>G8-G10+G11-G12+G13+G14</f>
        <v>3411864.0799999926</v>
      </c>
      <c r="H15" s="23">
        <f>H8-H10+H11-H12+H13+H14</f>
        <v>10255203.812800011</v>
      </c>
      <c r="I15" s="24">
        <f>-I10</f>
        <v>-530136.8564800024</v>
      </c>
      <c r="K15" s="72"/>
      <c r="L15" s="72"/>
      <c r="M15" s="72"/>
      <c r="N15" s="72"/>
    </row>
    <row r="16" spans="2:14" x14ac:dyDescent="0.25">
      <c r="K16" s="72"/>
      <c r="L16" s="72"/>
      <c r="M16" s="72"/>
      <c r="N16" s="72"/>
    </row>
    <row r="17" spans="2:14" x14ac:dyDescent="0.25">
      <c r="K17" s="72"/>
      <c r="L17" s="72"/>
      <c r="M17" s="72"/>
      <c r="N17" s="72"/>
    </row>
    <row r="20" spans="2:14" x14ac:dyDescent="0.25">
      <c r="B20" s="69" t="s">
        <v>32</v>
      </c>
      <c r="C20" s="69"/>
      <c r="D20" s="69"/>
      <c r="E20" s="69"/>
      <c r="F20" s="69"/>
      <c r="G20" s="69"/>
      <c r="H20" s="69"/>
      <c r="I20" s="69"/>
    </row>
    <row r="21" spans="2:14" x14ac:dyDescent="0.25">
      <c r="B21" s="20" t="s">
        <v>18</v>
      </c>
      <c r="C21" s="20">
        <v>0</v>
      </c>
      <c r="D21" s="20">
        <v>1</v>
      </c>
      <c r="E21" s="20">
        <v>2</v>
      </c>
      <c r="F21" s="20">
        <v>3</v>
      </c>
      <c r="G21" s="20">
        <v>4</v>
      </c>
      <c r="H21" s="20">
        <v>5</v>
      </c>
      <c r="I21" s="20">
        <v>6</v>
      </c>
    </row>
    <row r="22" spans="2:14" x14ac:dyDescent="0.25">
      <c r="B22" s="19" t="s">
        <v>20</v>
      </c>
      <c r="C22" s="19"/>
      <c r="D22" s="19"/>
      <c r="E22" s="19"/>
      <c r="F22" s="19"/>
      <c r="G22" s="19"/>
      <c r="H22" s="2"/>
      <c r="I22" s="2"/>
    </row>
    <row r="23" spans="2:14" x14ac:dyDescent="0.25">
      <c r="B23" s="19" t="s">
        <v>21</v>
      </c>
      <c r="C23" s="19"/>
      <c r="D23" s="19"/>
      <c r="E23" s="19"/>
      <c r="F23" s="19"/>
      <c r="G23" s="19"/>
      <c r="H23" s="2"/>
      <c r="I23" s="2"/>
    </row>
    <row r="24" spans="2:14" x14ac:dyDescent="0.25">
      <c r="B24" s="19" t="s">
        <v>22</v>
      </c>
      <c r="C24" s="19"/>
      <c r="D24" s="19"/>
      <c r="E24" s="19"/>
      <c r="F24" s="19"/>
      <c r="G24" s="19"/>
      <c r="H24" s="2"/>
      <c r="I24" s="2"/>
    </row>
    <row r="25" spans="2:14" x14ac:dyDescent="0.25">
      <c r="B25" s="19" t="s">
        <v>23</v>
      </c>
      <c r="C25" s="19"/>
      <c r="D25" s="19"/>
      <c r="E25" s="19"/>
      <c r="F25" s="19"/>
      <c r="G25" s="19"/>
      <c r="H25" s="2"/>
      <c r="I25" s="2"/>
    </row>
    <row r="26" spans="2:14" x14ac:dyDescent="0.25">
      <c r="B26" s="19" t="s">
        <v>24</v>
      </c>
      <c r="C26" s="19"/>
      <c r="D26" s="19"/>
      <c r="E26" s="19"/>
      <c r="F26" s="19"/>
      <c r="G26" s="19"/>
      <c r="H26" s="2"/>
      <c r="I26" s="2"/>
    </row>
    <row r="27" spans="2:14" x14ac:dyDescent="0.25">
      <c r="B27" s="19" t="s">
        <v>19</v>
      </c>
      <c r="C27" s="19"/>
      <c r="D27" s="19"/>
      <c r="E27" s="19"/>
      <c r="F27" s="19"/>
      <c r="G27" s="19"/>
      <c r="H27" s="2"/>
      <c r="I27" s="2"/>
    </row>
    <row r="28" spans="2:14" x14ac:dyDescent="0.25">
      <c r="B28" s="19" t="s">
        <v>25</v>
      </c>
      <c r="C28" s="19"/>
      <c r="D28" s="19"/>
      <c r="E28" s="19"/>
      <c r="F28" s="19"/>
      <c r="G28" s="19"/>
      <c r="H28" s="2"/>
      <c r="I28" s="2"/>
    </row>
    <row r="29" spans="2:14" x14ac:dyDescent="0.25">
      <c r="B29" s="19" t="s">
        <v>26</v>
      </c>
      <c r="C29" s="19"/>
      <c r="D29" s="19"/>
      <c r="E29" s="19"/>
      <c r="F29" s="19"/>
      <c r="G29" s="19"/>
      <c r="H29" s="2"/>
      <c r="I29" s="2"/>
    </row>
    <row r="30" spans="2:14" x14ac:dyDescent="0.25">
      <c r="B30" s="19" t="s">
        <v>27</v>
      </c>
      <c r="C30" s="19"/>
      <c r="D30" s="19"/>
      <c r="E30" s="19"/>
      <c r="F30" s="19"/>
      <c r="G30" s="19"/>
      <c r="H30" s="2"/>
      <c r="I30" s="2"/>
    </row>
    <row r="31" spans="2:14" x14ac:dyDescent="0.25">
      <c r="B31" s="19" t="s">
        <v>28</v>
      </c>
      <c r="C31" s="19"/>
      <c r="D31" s="19"/>
      <c r="E31" s="19"/>
      <c r="F31" s="19"/>
      <c r="G31" s="19"/>
      <c r="H31" s="2"/>
      <c r="I31" s="2"/>
    </row>
    <row r="32" spans="2:14" x14ac:dyDescent="0.25">
      <c r="B32" s="19" t="s">
        <v>29</v>
      </c>
      <c r="C32" s="19"/>
      <c r="D32" s="19"/>
      <c r="E32" s="19"/>
      <c r="F32" s="19"/>
      <c r="G32" s="19"/>
      <c r="H32" s="2"/>
      <c r="I32" s="2"/>
    </row>
    <row r="33" spans="2:9" x14ac:dyDescent="0.25">
      <c r="B33" s="19" t="s">
        <v>30</v>
      </c>
      <c r="C33" s="19"/>
      <c r="D33" s="19"/>
      <c r="E33" s="19"/>
      <c r="F33" s="19"/>
      <c r="G33" s="19"/>
      <c r="H33" s="2"/>
      <c r="I33" s="2"/>
    </row>
  </sheetData>
  <mergeCells count="3">
    <mergeCell ref="B2:I2"/>
    <mergeCell ref="B20:I20"/>
    <mergeCell ref="K13:N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2038-0D34-5C4E-982D-821005092EE3}">
  <dimension ref="A2:L32"/>
  <sheetViews>
    <sheetView topLeftCell="D1" workbookViewId="0">
      <selection activeCell="L19" sqref="L19"/>
    </sheetView>
  </sheetViews>
  <sheetFormatPr baseColWidth="10" defaultRowHeight="15.75" x14ac:dyDescent="0.25"/>
  <cols>
    <col min="1" max="1" width="19.75" bestFit="1" customWidth="1"/>
    <col min="2" max="2" width="27.75" bestFit="1" customWidth="1"/>
    <col min="3" max="7" width="16.75" bestFit="1" customWidth="1"/>
    <col min="8" max="8" width="14.25" bestFit="1" customWidth="1"/>
    <col min="11" max="11" width="28" bestFit="1" customWidth="1"/>
    <col min="12" max="12" width="14.75" bestFit="1" customWidth="1"/>
  </cols>
  <sheetData>
    <row r="2" spans="1:12" x14ac:dyDescent="0.25">
      <c r="B2" t="s">
        <v>44</v>
      </c>
    </row>
    <row r="3" spans="1:12" x14ac:dyDescent="0.25">
      <c r="B3">
        <f>L4</f>
        <v>43000000</v>
      </c>
      <c r="C3" s="43">
        <f>C21</f>
        <v>58150000</v>
      </c>
      <c r="D3" s="43">
        <f t="shared" ref="D3:G3" si="0">D21</f>
        <v>61489000</v>
      </c>
      <c r="E3" s="43">
        <f t="shared" si="0"/>
        <v>65028340.000000007</v>
      </c>
      <c r="F3" s="43">
        <f t="shared" si="0"/>
        <v>68780040.400000006</v>
      </c>
      <c r="G3" s="43">
        <f t="shared" si="0"/>
        <v>79447970.712000012</v>
      </c>
    </row>
    <row r="4" spans="1:12" x14ac:dyDescent="0.25">
      <c r="K4" s="2" t="s">
        <v>4</v>
      </c>
      <c r="L4" s="2">
        <f>'Flujo de Caja Corrientes'!C4</f>
        <v>43000000</v>
      </c>
    </row>
    <row r="5" spans="1:12" ht="16.5" thickBot="1" x14ac:dyDescent="0.3">
      <c r="B5" s="40"/>
      <c r="C5" s="40"/>
      <c r="D5" s="40"/>
      <c r="E5" s="40"/>
      <c r="F5" s="40"/>
      <c r="G5" s="40"/>
      <c r="H5" s="40"/>
    </row>
    <row r="6" spans="1:12" ht="16.5" thickTop="1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s="39" t="s">
        <v>57</v>
      </c>
      <c r="L6" s="44">
        <f>L9/L10</f>
        <v>1.097021922061348</v>
      </c>
    </row>
    <row r="7" spans="1:12" x14ac:dyDescent="0.25">
      <c r="K7" s="41"/>
    </row>
    <row r="8" spans="1:12" x14ac:dyDescent="0.25">
      <c r="B8">
        <f>L4</f>
        <v>43000000</v>
      </c>
      <c r="C8" s="43">
        <f>C31</f>
        <v>52470000</v>
      </c>
      <c r="D8" s="43">
        <f t="shared" ref="D8:H8" si="1">D31</f>
        <v>55856200</v>
      </c>
      <c r="E8" s="43">
        <f t="shared" si="1"/>
        <v>59260072</v>
      </c>
      <c r="F8" s="43">
        <f t="shared" si="1"/>
        <v>62868176.320000015</v>
      </c>
      <c r="G8" s="43">
        <f t="shared" si="1"/>
        <v>66692766.899200007</v>
      </c>
      <c r="H8" s="43">
        <f t="shared" si="1"/>
        <v>530136.8564800024</v>
      </c>
    </row>
    <row r="9" spans="1:12" x14ac:dyDescent="0.25">
      <c r="B9" t="s">
        <v>45</v>
      </c>
      <c r="K9" s="2" t="s">
        <v>54</v>
      </c>
      <c r="L9" s="43">
        <f>(L4+(C3*POWER(1+L15,-C6))+(D3*POWER(1+L15,-D6))+(E3*POWER(1+L15,-E6))+(F3*POWER(1+L15,-F6))+(G3*POWER(1+L15,-G6)))</f>
        <v>291846378.19821048</v>
      </c>
    </row>
    <row r="10" spans="1:12" x14ac:dyDescent="0.25">
      <c r="K10" s="2" t="s">
        <v>55</v>
      </c>
      <c r="L10" s="43">
        <f>(L4+(C8*POWER(1+L15,-C6))+(D8*POWER(1+L15,-D6))+(E8*POWER(1+L15,-E6))+(F8*POWER(1+L15,-F6))+(G8*POWER(1+L15,-G6))+(H8*POWER(1+L15,-H6)))</f>
        <v>266035137.79361811</v>
      </c>
    </row>
    <row r="12" spans="1:12" x14ac:dyDescent="0.25">
      <c r="A12" s="2" t="s">
        <v>58</v>
      </c>
      <c r="B12" s="6">
        <f>'Flujo de Caja Corrientes'!C15</f>
        <v>-43000000</v>
      </c>
      <c r="C12" s="6">
        <f>'Flujo de Caja Corrientes'!D15</f>
        <v>3180000</v>
      </c>
      <c r="D12" s="6">
        <f>'Flujo de Caja Corrientes'!E15</f>
        <v>3132800</v>
      </c>
      <c r="E12" s="6">
        <f>'Flujo de Caja Corrientes'!F15</f>
        <v>3268268.0000000075</v>
      </c>
      <c r="F12" s="6">
        <f>'Flujo de Caja Corrientes'!G15</f>
        <v>3411864.0799999926</v>
      </c>
      <c r="G12" s="6">
        <f>'Flujo de Caja Corrientes'!H15</f>
        <v>10255203.812800011</v>
      </c>
      <c r="H12" s="6">
        <f>'Flujo de Caja Corrientes'!I15</f>
        <v>-530136.8564800024</v>
      </c>
    </row>
    <row r="15" spans="1:12" x14ac:dyDescent="0.25">
      <c r="B15" s="73" t="s">
        <v>51</v>
      </c>
      <c r="C15" s="74"/>
      <c r="D15" s="74"/>
      <c r="E15" s="74"/>
      <c r="F15" s="74"/>
      <c r="G15" s="75"/>
      <c r="K15" s="2" t="s">
        <v>56</v>
      </c>
      <c r="L15" s="42">
        <v>0.1</v>
      </c>
    </row>
    <row r="16" spans="1:12" x14ac:dyDescent="0.25">
      <c r="B16" s="2" t="s">
        <v>50</v>
      </c>
      <c r="C16" s="2" t="s">
        <v>33</v>
      </c>
      <c r="D16" s="2" t="s">
        <v>34</v>
      </c>
      <c r="E16" s="2" t="s">
        <v>35</v>
      </c>
      <c r="F16" s="2" t="s">
        <v>36</v>
      </c>
      <c r="G16" s="2" t="s">
        <v>37</v>
      </c>
    </row>
    <row r="17" spans="2:12" x14ac:dyDescent="0.25">
      <c r="B17" s="2" t="s">
        <v>48</v>
      </c>
      <c r="C17" s="6">
        <f>'Flujo de Caja Corrientes'!D5</f>
        <v>55650000</v>
      </c>
      <c r="D17" s="6">
        <f>'Flujo de Caja Corrientes'!E5</f>
        <v>58989000</v>
      </c>
      <c r="E17" s="6">
        <f>'Flujo de Caja Corrientes'!F5</f>
        <v>62528340.000000007</v>
      </c>
      <c r="F17" s="6">
        <f>'Flujo de Caja Corrientes'!G5</f>
        <v>66280040.400000006</v>
      </c>
      <c r="G17" s="6">
        <f>'Flujo de Caja Corrientes'!H5</f>
        <v>70256842.824000016</v>
      </c>
      <c r="K17" s="2" t="s">
        <v>59</v>
      </c>
      <c r="L17" s="42">
        <f>IRR('Flujo de Caja Corrientes'!C15:I15)</f>
        <v>-0.15698412266160322</v>
      </c>
    </row>
    <row r="18" spans="2:12" x14ac:dyDescent="0.25">
      <c r="B18" s="2" t="str">
        <f>'Flujo de Caja Corrientes'!B11</f>
        <v>depreciacion y amortizacion (+)</v>
      </c>
      <c r="C18" s="6">
        <f>'Flujo de Caja Corrientes'!D7</f>
        <v>2500000</v>
      </c>
      <c r="D18" s="6">
        <f>'Flujo de Caja Corrientes'!E7</f>
        <v>2500000</v>
      </c>
      <c r="E18" s="6">
        <f>'Flujo de Caja Corrientes'!F7</f>
        <v>2500000</v>
      </c>
      <c r="F18" s="6">
        <f>'Flujo de Caja Corrientes'!G7</f>
        <v>2500000</v>
      </c>
      <c r="G18" s="6">
        <f>'Flujo de Caja Corrientes'!H7</f>
        <v>2500000</v>
      </c>
    </row>
    <row r="19" spans="2:12" x14ac:dyDescent="0.25">
      <c r="B19" s="2" t="str">
        <f>'Flujo de Caja Corrientes'!B14</f>
        <v>valor rescate del proyecto (+)</v>
      </c>
      <c r="C19" s="6"/>
      <c r="D19" s="6"/>
      <c r="E19" s="6"/>
      <c r="F19" s="6"/>
      <c r="G19" s="6">
        <f>'Flujo de Caja Corrientes'!H14</f>
        <v>6691127.8880000021</v>
      </c>
      <c r="K19" s="2" t="s">
        <v>60</v>
      </c>
      <c r="L19" s="43">
        <f>NPV(L15,'Calculo de la TIR Y VPN'!C12:H12)+(-L4)</f>
        <v>-26665726.518928789</v>
      </c>
    </row>
    <row r="21" spans="2:12" x14ac:dyDescent="0.25">
      <c r="B21" s="2" t="s">
        <v>49</v>
      </c>
      <c r="C21" s="6">
        <f>SUM(C17:C19)</f>
        <v>58150000</v>
      </c>
      <c r="D21" s="6">
        <f t="shared" ref="D21:G21" si="2">SUM(D17:D19)</f>
        <v>61489000</v>
      </c>
      <c r="E21" s="6">
        <f t="shared" si="2"/>
        <v>65028340.000000007</v>
      </c>
      <c r="F21" s="6">
        <f t="shared" si="2"/>
        <v>68780040.400000006</v>
      </c>
      <c r="G21" s="6">
        <f t="shared" si="2"/>
        <v>79447970.712000012</v>
      </c>
    </row>
    <row r="25" spans="2:12" x14ac:dyDescent="0.25">
      <c r="B25" s="68" t="s">
        <v>52</v>
      </c>
      <c r="C25" s="68"/>
      <c r="D25" s="68"/>
      <c r="E25" s="68"/>
      <c r="F25" s="68"/>
      <c r="G25" s="68"/>
      <c r="H25" s="68"/>
    </row>
    <row r="26" spans="2:12" x14ac:dyDescent="0.25">
      <c r="B26" s="2" t="s">
        <v>50</v>
      </c>
      <c r="C26" s="2" t="s">
        <v>33</v>
      </c>
      <c r="D26" s="2" t="s">
        <v>34</v>
      </c>
      <c r="E26" s="2" t="s">
        <v>35</v>
      </c>
      <c r="F26" s="2" t="s">
        <v>36</v>
      </c>
      <c r="G26" s="2" t="s">
        <v>37</v>
      </c>
      <c r="H26" s="2" t="s">
        <v>53</v>
      </c>
    </row>
    <row r="27" spans="2:12" x14ac:dyDescent="0.25">
      <c r="B27" s="2" t="str">
        <f>'Flujo de Caja Corrientes'!B6</f>
        <v>egresos deducibles  (-)</v>
      </c>
      <c r="C27" s="6">
        <f>'Flujo de Caja Corrientes'!D6</f>
        <v>52470000</v>
      </c>
      <c r="D27" s="6">
        <f>'Flujo de Caja Corrientes'!E6</f>
        <v>55618200</v>
      </c>
      <c r="E27" s="6">
        <f>'Flujo de Caja Corrientes'!F6</f>
        <v>58955292</v>
      </c>
      <c r="F27" s="6">
        <f>'Flujo de Caja Corrientes'!G6</f>
        <v>62492609.520000011</v>
      </c>
      <c r="G27" s="6">
        <f>'Flujo de Caja Corrientes'!H6</f>
        <v>66242166.091200009</v>
      </c>
      <c r="H27" s="6"/>
    </row>
    <row r="28" spans="2:12" x14ac:dyDescent="0.25">
      <c r="B28" s="2" t="str">
        <f>'Flujo de Caja Corrientes'!B10</f>
        <v>impuesto pagado (-)</v>
      </c>
      <c r="C28" s="6"/>
      <c r="D28" s="6">
        <f>'Flujo de Caja Corrientes'!E10</f>
        <v>237999.99999999997</v>
      </c>
      <c r="E28" s="6">
        <f>'Flujo de Caja Corrientes'!F10</f>
        <v>304780</v>
      </c>
      <c r="F28" s="6">
        <f>'Flujo de Caja Corrientes'!G10</f>
        <v>375566.80000000261</v>
      </c>
      <c r="G28" s="6">
        <f>'Flujo de Caja Corrientes'!H10</f>
        <v>450600.80799999833</v>
      </c>
      <c r="H28" s="6">
        <f>'Flujo de Caja Corrientes'!I10</f>
        <v>530136.8564800024</v>
      </c>
    </row>
    <row r="29" spans="2:12" x14ac:dyDescent="0.25">
      <c r="B29" s="2" t="str">
        <f>'Flujo de Caja Corrientes'!B12</f>
        <v>egresos no deducibles  (-)</v>
      </c>
      <c r="C29" s="6"/>
      <c r="D29" s="6"/>
      <c r="E29" s="6"/>
      <c r="F29" s="6"/>
      <c r="G29" s="6"/>
      <c r="H29" s="6"/>
    </row>
    <row r="31" spans="2:12" x14ac:dyDescent="0.25">
      <c r="B31" s="2" t="s">
        <v>49</v>
      </c>
      <c r="C31" s="6">
        <f>SUM(C27:C29)</f>
        <v>52470000</v>
      </c>
      <c r="D31" s="6">
        <f t="shared" ref="D31:H31" si="3">SUM(D27:D29)</f>
        <v>55856200</v>
      </c>
      <c r="E31" s="6">
        <f t="shared" si="3"/>
        <v>59260072</v>
      </c>
      <c r="F31" s="6">
        <f t="shared" si="3"/>
        <v>62868176.320000015</v>
      </c>
      <c r="G31" s="6">
        <f t="shared" si="3"/>
        <v>66692766.899200007</v>
      </c>
      <c r="H31" s="6">
        <f t="shared" si="3"/>
        <v>530136.8564800024</v>
      </c>
    </row>
    <row r="32" spans="2:12" x14ac:dyDescent="0.25">
      <c r="K32" s="42"/>
    </row>
  </sheetData>
  <mergeCells count="2">
    <mergeCell ref="B15:G15"/>
    <mergeCell ref="B25:H25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48DE-51CE-C54D-9A03-E27E2EB004B7}">
  <dimension ref="A3:H55"/>
  <sheetViews>
    <sheetView topLeftCell="A36" workbookViewId="0">
      <selection activeCell="C25" sqref="C25"/>
    </sheetView>
  </sheetViews>
  <sheetFormatPr baseColWidth="10" defaultRowHeight="15.75" x14ac:dyDescent="0.25"/>
  <cols>
    <col min="1" max="1" width="22" bestFit="1" customWidth="1"/>
    <col min="2" max="2" width="16.25" bestFit="1" customWidth="1"/>
    <col min="3" max="3" width="14" bestFit="1" customWidth="1"/>
    <col min="4" max="8" width="15" bestFit="1" customWidth="1"/>
  </cols>
  <sheetData>
    <row r="3" spans="1:8" x14ac:dyDescent="0.25">
      <c r="A3" s="8" t="s">
        <v>4</v>
      </c>
      <c r="B3" s="9" t="s">
        <v>5</v>
      </c>
      <c r="C3" s="10" t="s">
        <v>6</v>
      </c>
    </row>
    <row r="4" spans="1:8" x14ac:dyDescent="0.25">
      <c r="A4" s="1" t="s">
        <v>0</v>
      </c>
      <c r="B4" s="3"/>
      <c r="C4" s="6"/>
    </row>
    <row r="5" spans="1:8" x14ac:dyDescent="0.25">
      <c r="A5" s="1" t="s">
        <v>1</v>
      </c>
      <c r="B5" s="4">
        <v>7187.49</v>
      </c>
      <c r="C5" s="6">
        <v>25000000</v>
      </c>
    </row>
    <row r="6" spans="1:8" x14ac:dyDescent="0.25">
      <c r="A6" s="1" t="s">
        <v>2</v>
      </c>
      <c r="B6" s="5">
        <v>2300</v>
      </c>
      <c r="C6" s="6">
        <v>8000000</v>
      </c>
    </row>
    <row r="7" spans="1:8" x14ac:dyDescent="0.25">
      <c r="A7" s="12" t="s">
        <v>3</v>
      </c>
      <c r="B7" s="13">
        <f>SUM(B4:B6)</f>
        <v>9487.49</v>
      </c>
      <c r="C7" s="14">
        <f>SUM(C4:C6)</f>
        <v>33000000</v>
      </c>
    </row>
    <row r="11" spans="1:8" x14ac:dyDescent="0.25">
      <c r="D11" s="70" t="s">
        <v>39</v>
      </c>
      <c r="E11" s="70"/>
      <c r="F11" s="70"/>
      <c r="G11" s="70"/>
      <c r="H11" s="70"/>
    </row>
    <row r="12" spans="1:8" x14ac:dyDescent="0.25">
      <c r="B12" s="9" t="s">
        <v>5</v>
      </c>
      <c r="C12" s="9" t="s">
        <v>6</v>
      </c>
      <c r="D12" s="2" t="s">
        <v>33</v>
      </c>
      <c r="E12" s="2" t="s">
        <v>34</v>
      </c>
      <c r="F12" s="2" t="s">
        <v>35</v>
      </c>
      <c r="G12" s="2" t="s">
        <v>36</v>
      </c>
      <c r="H12" s="2" t="s">
        <v>37</v>
      </c>
    </row>
    <row r="13" spans="1:8" x14ac:dyDescent="0.25">
      <c r="A13" s="10" t="s">
        <v>7</v>
      </c>
      <c r="B13" s="18">
        <v>862.5</v>
      </c>
      <c r="C13" s="6">
        <v>3000000</v>
      </c>
      <c r="D13" s="56">
        <f>C13*(1+$B$19)</f>
        <v>3180000</v>
      </c>
      <c r="E13" s="56">
        <f t="shared" ref="E13:H13" si="0">D13*(1+$B$19)</f>
        <v>3370800</v>
      </c>
      <c r="F13" s="56">
        <f t="shared" si="0"/>
        <v>3573048</v>
      </c>
      <c r="G13" s="56">
        <f t="shared" si="0"/>
        <v>3787430.8800000004</v>
      </c>
      <c r="H13" s="56">
        <f t="shared" si="0"/>
        <v>4014676.7328000003</v>
      </c>
    </row>
    <row r="17" spans="1:8" x14ac:dyDescent="0.25">
      <c r="A17" s="7" t="s">
        <v>8</v>
      </c>
      <c r="B17" s="22">
        <v>5</v>
      </c>
    </row>
    <row r="18" spans="1:8" x14ac:dyDescent="0.25">
      <c r="A18" s="7" t="s">
        <v>9</v>
      </c>
      <c r="B18" s="21">
        <v>0.35</v>
      </c>
    </row>
    <row r="19" spans="1:8" x14ac:dyDescent="0.25">
      <c r="A19" s="7" t="s">
        <v>10</v>
      </c>
      <c r="B19" s="21">
        <v>0.06</v>
      </c>
    </row>
    <row r="20" spans="1:8" x14ac:dyDescent="0.25">
      <c r="A20" s="68" t="s">
        <v>11</v>
      </c>
      <c r="B20" s="68"/>
      <c r="C20" s="68"/>
    </row>
    <row r="23" spans="1:8" x14ac:dyDescent="0.25">
      <c r="A23" s="69" t="s">
        <v>17</v>
      </c>
      <c r="B23" s="69"/>
      <c r="C23" s="69"/>
    </row>
    <row r="24" spans="1:8" x14ac:dyDescent="0.25">
      <c r="A24" s="16"/>
      <c r="B24" s="17" t="s">
        <v>5</v>
      </c>
      <c r="C24" s="17" t="s">
        <v>6</v>
      </c>
    </row>
    <row r="25" spans="1:8" x14ac:dyDescent="0.25">
      <c r="A25" s="26" t="s">
        <v>12</v>
      </c>
      <c r="B25" s="18">
        <v>1437.5</v>
      </c>
      <c r="C25" s="15">
        <v>6000000</v>
      </c>
    </row>
    <row r="27" spans="1:8" x14ac:dyDescent="0.25">
      <c r="D27" s="70" t="s">
        <v>40</v>
      </c>
      <c r="E27" s="70"/>
      <c r="F27" s="70"/>
      <c r="G27" s="70"/>
      <c r="H27" s="70"/>
    </row>
    <row r="28" spans="1:8" x14ac:dyDescent="0.25">
      <c r="D28" s="2" t="s">
        <v>33</v>
      </c>
      <c r="E28" s="2" t="s">
        <v>34</v>
      </c>
      <c r="F28" s="2" t="s">
        <v>35</v>
      </c>
      <c r="G28" s="2" t="s">
        <v>36</v>
      </c>
      <c r="H28" s="2" t="s">
        <v>37</v>
      </c>
    </row>
    <row r="29" spans="1:8" x14ac:dyDescent="0.25">
      <c r="A29" s="34" t="s">
        <v>13</v>
      </c>
      <c r="B29" s="18">
        <v>2587.5</v>
      </c>
      <c r="C29" s="46">
        <v>8000000</v>
      </c>
      <c r="D29" s="55">
        <f>C29*(1+$B$19)</f>
        <v>8480000</v>
      </c>
      <c r="E29" s="55">
        <f t="shared" ref="E29:H29" si="1">D29*(1+$B$19)</f>
        <v>8988800</v>
      </c>
      <c r="F29" s="55">
        <f t="shared" si="1"/>
        <v>9528128</v>
      </c>
      <c r="G29" s="55">
        <f t="shared" si="1"/>
        <v>10099815.68</v>
      </c>
      <c r="H29" s="55">
        <f t="shared" si="1"/>
        <v>10705804.6208</v>
      </c>
    </row>
    <row r="31" spans="1:8" x14ac:dyDescent="0.25">
      <c r="D31" s="70" t="s">
        <v>41</v>
      </c>
      <c r="E31" s="70"/>
      <c r="F31" s="70"/>
      <c r="G31" s="70"/>
      <c r="H31" s="70"/>
    </row>
    <row r="32" spans="1:8" x14ac:dyDescent="0.25">
      <c r="D32" s="2" t="s">
        <v>33</v>
      </c>
      <c r="E32" s="2" t="s">
        <v>34</v>
      </c>
      <c r="F32" s="2" t="s">
        <v>35</v>
      </c>
      <c r="G32" s="2" t="s">
        <v>36</v>
      </c>
      <c r="H32" s="2" t="s">
        <v>37</v>
      </c>
    </row>
    <row r="33" spans="1:8" x14ac:dyDescent="0.25">
      <c r="A33" s="10" t="s">
        <v>14</v>
      </c>
      <c r="B33" s="18">
        <v>7.19</v>
      </c>
      <c r="C33" s="15">
        <v>20000</v>
      </c>
      <c r="D33" s="25">
        <f>C33*(1+$B$19)</f>
        <v>21200</v>
      </c>
      <c r="E33" s="25">
        <f t="shared" ref="E33:H33" si="2">D33*(1+$B$19)</f>
        <v>22472</v>
      </c>
      <c r="F33" s="25">
        <f t="shared" si="2"/>
        <v>23820.32</v>
      </c>
      <c r="G33" s="25">
        <f t="shared" si="2"/>
        <v>25249.539199999999</v>
      </c>
      <c r="H33" s="25">
        <f t="shared" si="2"/>
        <v>26764.511552</v>
      </c>
    </row>
    <row r="35" spans="1:8" x14ac:dyDescent="0.25">
      <c r="D35" s="70" t="s">
        <v>42</v>
      </c>
      <c r="E35" s="70"/>
      <c r="F35" s="70"/>
      <c r="G35" s="70"/>
      <c r="H35" s="70"/>
    </row>
    <row r="36" spans="1:8" x14ac:dyDescent="0.25">
      <c r="D36" s="2" t="s">
        <v>33</v>
      </c>
      <c r="E36" s="2" t="s">
        <v>34</v>
      </c>
      <c r="F36" s="2" t="s">
        <v>35</v>
      </c>
      <c r="G36" s="2" t="s">
        <v>36</v>
      </c>
      <c r="H36" s="2" t="s">
        <v>37</v>
      </c>
    </row>
    <row r="37" spans="1:8" x14ac:dyDescent="0.25">
      <c r="D37" s="55">
        <f>D33*$B$46</f>
        <v>25440000</v>
      </c>
      <c r="E37" s="55">
        <f t="shared" ref="E37:H37" si="3">E33*$B$46</f>
        <v>26966400</v>
      </c>
      <c r="F37" s="55">
        <f t="shared" si="3"/>
        <v>28584384</v>
      </c>
      <c r="G37" s="55">
        <f t="shared" si="3"/>
        <v>30299447.039999999</v>
      </c>
      <c r="H37" s="55">
        <f t="shared" si="3"/>
        <v>32117413.862399999</v>
      </c>
    </row>
    <row r="39" spans="1:8" x14ac:dyDescent="0.25">
      <c r="C39" s="67"/>
      <c r="D39" s="67"/>
      <c r="E39" s="67"/>
      <c r="F39" s="67"/>
    </row>
    <row r="40" spans="1:8" x14ac:dyDescent="0.25">
      <c r="D40" s="70" t="s">
        <v>38</v>
      </c>
      <c r="E40" s="70"/>
      <c r="F40" s="70"/>
      <c r="G40" s="70"/>
      <c r="H40" s="70"/>
    </row>
    <row r="41" spans="1:8" x14ac:dyDescent="0.25">
      <c r="D41" s="2" t="s">
        <v>33</v>
      </c>
      <c r="E41" s="2" t="s">
        <v>34</v>
      </c>
      <c r="F41" s="2" t="s">
        <v>35</v>
      </c>
      <c r="G41" s="2" t="s">
        <v>36</v>
      </c>
      <c r="H41" s="2" t="s">
        <v>37</v>
      </c>
    </row>
    <row r="42" spans="1:8" x14ac:dyDescent="0.25">
      <c r="A42" s="10" t="s">
        <v>15</v>
      </c>
      <c r="B42" s="18">
        <v>10.06</v>
      </c>
      <c r="C42" s="45">
        <v>40000</v>
      </c>
      <c r="D42" s="55">
        <f>C42*(1+$B$19)</f>
        <v>42400</v>
      </c>
      <c r="E42" s="55">
        <f t="shared" ref="E42:H42" si="4">D42*(1+$B$19)</f>
        <v>44944</v>
      </c>
      <c r="F42" s="55">
        <f t="shared" si="4"/>
        <v>47640.639999999999</v>
      </c>
      <c r="G42" s="55">
        <f t="shared" si="4"/>
        <v>50499.078399999999</v>
      </c>
      <c r="H42" s="55">
        <f t="shared" si="4"/>
        <v>53529.023104</v>
      </c>
    </row>
    <row r="46" spans="1:8" x14ac:dyDescent="0.25">
      <c r="A46" s="10" t="s">
        <v>16</v>
      </c>
      <c r="B46" s="2">
        <v>1200</v>
      </c>
    </row>
    <row r="48" spans="1:8" x14ac:dyDescent="0.25">
      <c r="A48" s="69" t="s">
        <v>63</v>
      </c>
      <c r="B48" s="69"/>
    </row>
    <row r="49" spans="1:7" x14ac:dyDescent="0.25">
      <c r="A49" s="2" t="s">
        <v>61</v>
      </c>
      <c r="B49" s="6">
        <v>50000000</v>
      </c>
    </row>
    <row r="50" spans="1:7" x14ac:dyDescent="0.25">
      <c r="A50" s="2" t="s">
        <v>62</v>
      </c>
      <c r="B50" s="6">
        <v>1000000</v>
      </c>
      <c r="C50" s="75" t="s">
        <v>77</v>
      </c>
      <c r="D50" s="68"/>
      <c r="E50" s="68"/>
      <c r="F50" s="68"/>
    </row>
    <row r="53" spans="1:7" x14ac:dyDescent="0.25">
      <c r="C53" s="70" t="s">
        <v>78</v>
      </c>
      <c r="D53" s="70"/>
      <c r="E53" s="70"/>
      <c r="F53" s="70"/>
      <c r="G53" s="70"/>
    </row>
    <row r="54" spans="1:7" x14ac:dyDescent="0.25">
      <c r="C54" s="2" t="s">
        <v>33</v>
      </c>
      <c r="D54" s="2" t="s">
        <v>34</v>
      </c>
      <c r="E54" s="2" t="s">
        <v>35</v>
      </c>
      <c r="F54" s="2" t="s">
        <v>36</v>
      </c>
      <c r="G54" s="2" t="s">
        <v>37</v>
      </c>
    </row>
    <row r="55" spans="1:7" x14ac:dyDescent="0.25">
      <c r="C55" s="43">
        <f>B50</f>
        <v>1000000</v>
      </c>
      <c r="D55" s="43">
        <f>C55*(1+$B$19)</f>
        <v>1060000</v>
      </c>
      <c r="E55" s="43">
        <f t="shared" ref="E55:G55" si="5">D55*(1+$B$19)</f>
        <v>1123600</v>
      </c>
      <c r="F55" s="43">
        <f t="shared" si="5"/>
        <v>1191016</v>
      </c>
      <c r="G55" s="43">
        <f t="shared" si="5"/>
        <v>1262476.96</v>
      </c>
    </row>
  </sheetData>
  <mergeCells count="11">
    <mergeCell ref="C53:G53"/>
    <mergeCell ref="D11:H11"/>
    <mergeCell ref="D27:H27"/>
    <mergeCell ref="D31:H31"/>
    <mergeCell ref="C39:F39"/>
    <mergeCell ref="A20:C20"/>
    <mergeCell ref="A23:C23"/>
    <mergeCell ref="C50:F50"/>
    <mergeCell ref="A48:B48"/>
    <mergeCell ref="D40:H40"/>
    <mergeCell ref="D35:H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3CA7-1DDD-7A4C-B5F9-48D0BFBE3B93}">
  <dimension ref="C3:J17"/>
  <sheetViews>
    <sheetView workbookViewId="0">
      <selection activeCell="I17" sqref="I17"/>
    </sheetView>
  </sheetViews>
  <sheetFormatPr baseColWidth="10" defaultRowHeight="15.75" x14ac:dyDescent="0.25"/>
  <cols>
    <col min="3" max="3" width="25" bestFit="1" customWidth="1"/>
    <col min="4" max="4" width="18.75" bestFit="1" customWidth="1"/>
    <col min="5" max="5" width="18.25" bestFit="1" customWidth="1"/>
    <col min="6" max="7" width="18" bestFit="1" customWidth="1"/>
    <col min="8" max="8" width="18.25" bestFit="1" customWidth="1"/>
    <col min="9" max="9" width="15.75" bestFit="1" customWidth="1"/>
    <col min="10" max="10" width="14" bestFit="1" customWidth="1"/>
  </cols>
  <sheetData>
    <row r="3" spans="3:10" x14ac:dyDescent="0.25">
      <c r="C3" s="76" t="s">
        <v>76</v>
      </c>
      <c r="D3" s="77"/>
      <c r="E3" s="77"/>
      <c r="F3" s="77"/>
      <c r="G3" s="77"/>
      <c r="H3" s="77"/>
      <c r="I3" s="77"/>
      <c r="J3" s="78"/>
    </row>
    <row r="4" spans="3:10" x14ac:dyDescent="0.25">
      <c r="C4" s="47" t="s">
        <v>18</v>
      </c>
      <c r="D4" s="48">
        <v>0</v>
      </c>
      <c r="E4" s="48">
        <v>1</v>
      </c>
      <c r="F4" s="48">
        <v>2</v>
      </c>
      <c r="G4" s="48">
        <v>3</v>
      </c>
      <c r="H4" s="48">
        <v>4</v>
      </c>
      <c r="I4" s="48">
        <v>5</v>
      </c>
      <c r="J4" s="48">
        <v>6</v>
      </c>
    </row>
    <row r="5" spans="3:10" x14ac:dyDescent="0.25">
      <c r="C5" s="49" t="s">
        <v>64</v>
      </c>
      <c r="D5" s="50">
        <f>'Información 2'!C7</f>
        <v>33000000</v>
      </c>
      <c r="E5" s="50"/>
      <c r="F5" s="50"/>
      <c r="G5" s="50"/>
      <c r="H5" s="50"/>
      <c r="I5" s="52"/>
      <c r="J5" s="52"/>
    </row>
    <row r="6" spans="3:10" x14ac:dyDescent="0.25">
      <c r="C6" s="49" t="s">
        <v>65</v>
      </c>
      <c r="D6" s="50"/>
      <c r="E6" s="50">
        <f>'Información 2'!D42*'Información 2'!$B$46</f>
        <v>50880000</v>
      </c>
      <c r="F6" s="50">
        <f>'Información 2'!E42*'Información 2'!$B$46</f>
        <v>53932800</v>
      </c>
      <c r="G6" s="50">
        <f>'Información 2'!F42*'Información 2'!$B$46</f>
        <v>57168768</v>
      </c>
      <c r="H6" s="50">
        <f>'Información 2'!G42*'Información 2'!$B$46</f>
        <v>60598894.079999998</v>
      </c>
      <c r="I6" s="50">
        <f>'Información 2'!H42*'Información 2'!$B$46</f>
        <v>64234827.724799998</v>
      </c>
      <c r="J6" s="52"/>
    </row>
    <row r="7" spans="3:10" x14ac:dyDescent="0.25">
      <c r="C7" s="49" t="s">
        <v>66</v>
      </c>
      <c r="D7" s="50"/>
      <c r="E7" s="50">
        <f>'Información 2'!D13+'Información 2'!D29+'Información 2'!D37</f>
        <v>37100000</v>
      </c>
      <c r="F7" s="50">
        <f>'Información 2'!E13+'Información 2'!E29+'Información 2'!E37</f>
        <v>39326000</v>
      </c>
      <c r="G7" s="50">
        <f>'Información 2'!F13+'Información 2'!F29+'Información 2'!F37</f>
        <v>41685560</v>
      </c>
      <c r="H7" s="50">
        <f>'Información 2'!G13+'Información 2'!G29+'Información 2'!G37</f>
        <v>44186693.600000001</v>
      </c>
      <c r="I7" s="50">
        <f>'Información 2'!H13+'Información 2'!H29+'Información 2'!H37</f>
        <v>46837895.215999998</v>
      </c>
      <c r="J7" s="52"/>
    </row>
    <row r="8" spans="3:10" x14ac:dyDescent="0.25">
      <c r="C8" s="49" t="s">
        <v>67</v>
      </c>
      <c r="D8" s="50"/>
      <c r="E8" s="50">
        <f>'Información 2'!C5/10</f>
        <v>2500000</v>
      </c>
      <c r="F8" s="50">
        <f>E8</f>
        <v>2500000</v>
      </c>
      <c r="G8" s="50">
        <f t="shared" ref="G8:I8" si="0">F8</f>
        <v>2500000</v>
      </c>
      <c r="H8" s="50">
        <f t="shared" si="0"/>
        <v>2500000</v>
      </c>
      <c r="I8" s="50">
        <f t="shared" si="0"/>
        <v>2500000</v>
      </c>
      <c r="J8" s="52"/>
    </row>
    <row r="9" spans="3:10" x14ac:dyDescent="0.25">
      <c r="C9" s="49" t="s">
        <v>68</v>
      </c>
      <c r="D9" s="50"/>
      <c r="E9" s="50">
        <f>E6-E7-E8</f>
        <v>11280000</v>
      </c>
      <c r="F9" s="50">
        <f t="shared" ref="F9:I9" si="1">F6-F7-F8</f>
        <v>12106800</v>
      </c>
      <c r="G9" s="50">
        <f t="shared" si="1"/>
        <v>12983208</v>
      </c>
      <c r="H9" s="50">
        <f t="shared" si="1"/>
        <v>13912200.479999997</v>
      </c>
      <c r="I9" s="50">
        <f t="shared" si="1"/>
        <v>14896932.5088</v>
      </c>
      <c r="J9" s="52"/>
    </row>
    <row r="10" spans="3:10" x14ac:dyDescent="0.25">
      <c r="C10" s="49" t="s">
        <v>19</v>
      </c>
      <c r="D10" s="50"/>
      <c r="E10" s="50">
        <f>E9*'Información 2'!$B$18</f>
        <v>3947999.9999999995</v>
      </c>
      <c r="F10" s="50">
        <f>F9*'Información 2'!$B$18</f>
        <v>4237380</v>
      </c>
      <c r="G10" s="50">
        <f>G9*'Información 2'!$B$18</f>
        <v>4544122.8</v>
      </c>
      <c r="H10" s="50">
        <f>H9*'Información 2'!$B$18</f>
        <v>4869270.1679999987</v>
      </c>
      <c r="I10" s="50">
        <f>I9*'Información 2'!$B$18</f>
        <v>5213926.3780799992</v>
      </c>
      <c r="J10" s="52"/>
    </row>
    <row r="11" spans="3:10" x14ac:dyDescent="0.25">
      <c r="C11" s="49" t="s">
        <v>69</v>
      </c>
      <c r="D11" s="50"/>
      <c r="E11" s="50"/>
      <c r="F11" s="50">
        <f>E10</f>
        <v>3947999.9999999995</v>
      </c>
      <c r="G11" s="50">
        <f t="shared" ref="G11:J11" si="2">F10</f>
        <v>4237380</v>
      </c>
      <c r="H11" s="50">
        <f t="shared" si="2"/>
        <v>4544122.8</v>
      </c>
      <c r="I11" s="50">
        <f t="shared" si="2"/>
        <v>4869270.1679999987</v>
      </c>
      <c r="J11" s="50">
        <f t="shared" si="2"/>
        <v>5213926.3780799992</v>
      </c>
    </row>
    <row r="12" spans="3:10" x14ac:dyDescent="0.25">
      <c r="C12" s="49" t="s">
        <v>70</v>
      </c>
      <c r="D12" s="50"/>
      <c r="E12" s="50">
        <f>E8</f>
        <v>2500000</v>
      </c>
      <c r="F12" s="50">
        <f t="shared" ref="F12:I12" si="3">F8</f>
        <v>2500000</v>
      </c>
      <c r="G12" s="50">
        <f t="shared" si="3"/>
        <v>2500000</v>
      </c>
      <c r="H12" s="50">
        <f t="shared" si="3"/>
        <v>2500000</v>
      </c>
      <c r="I12" s="50">
        <f t="shared" si="3"/>
        <v>2500000</v>
      </c>
      <c r="J12" s="52"/>
    </row>
    <row r="13" spans="3:10" x14ac:dyDescent="0.25">
      <c r="C13" s="49" t="s">
        <v>71</v>
      </c>
      <c r="D13" s="50"/>
      <c r="E13" s="50"/>
      <c r="F13" s="50"/>
      <c r="G13" s="50"/>
      <c r="H13" s="50"/>
      <c r="I13" s="50"/>
      <c r="J13" s="52"/>
    </row>
    <row r="14" spans="3:10" x14ac:dyDescent="0.25">
      <c r="C14" s="53" t="s">
        <v>75</v>
      </c>
      <c r="D14" s="50"/>
      <c r="E14" s="50">
        <f>'Información 2'!B50</f>
        <v>1000000</v>
      </c>
      <c r="F14" s="50">
        <f>E14*(1+'Información 2'!$B$19)</f>
        <v>1060000</v>
      </c>
      <c r="G14" s="50">
        <f>F14*(1+'Información 2'!$B$19)</f>
        <v>1123600</v>
      </c>
      <c r="H14" s="50">
        <f>G14*(1+'Información 2'!$B$19)</f>
        <v>1191016</v>
      </c>
      <c r="I14" s="50">
        <f>H14*(1+'Información 2'!$B$19)</f>
        <v>1262476.96</v>
      </c>
      <c r="J14" s="52"/>
    </row>
    <row r="15" spans="3:10" x14ac:dyDescent="0.25">
      <c r="C15" s="49" t="s">
        <v>72</v>
      </c>
      <c r="D15" s="50"/>
      <c r="E15" s="50"/>
      <c r="F15" s="50"/>
      <c r="G15" s="50"/>
      <c r="H15" s="50"/>
      <c r="I15" s="52"/>
      <c r="J15" s="52"/>
    </row>
    <row r="16" spans="3:10" x14ac:dyDescent="0.25">
      <c r="C16" s="49" t="s">
        <v>73</v>
      </c>
      <c r="D16" s="50"/>
      <c r="E16" s="50"/>
      <c r="F16" s="50"/>
      <c r="G16" s="50"/>
      <c r="H16" s="50"/>
      <c r="I16" s="52">
        <f>FV('Información 2'!B19,'Información 2'!B17,,-'Información 2'!C25)</f>
        <v>8029353.4656000026</v>
      </c>
      <c r="J16" s="52"/>
    </row>
    <row r="17" spans="3:10" x14ac:dyDescent="0.25">
      <c r="C17" s="53" t="s">
        <v>74</v>
      </c>
      <c r="D17" s="50">
        <f>-D5</f>
        <v>-33000000</v>
      </c>
      <c r="E17" s="50">
        <f>E9-E11+E12-E13-E14+E15+E16</f>
        <v>12780000</v>
      </c>
      <c r="F17" s="50">
        <f t="shared" ref="F17:H17" si="4">F9-F11+F12-F13-F14+F15+F16</f>
        <v>9598800</v>
      </c>
      <c r="G17" s="50">
        <f t="shared" si="4"/>
        <v>10122228</v>
      </c>
      <c r="H17" s="50">
        <f t="shared" si="4"/>
        <v>10677061.679999996</v>
      </c>
      <c r="I17" s="50">
        <f>I9-I11+I12-I13-I14+I15+I16</f>
        <v>19294538.846400004</v>
      </c>
      <c r="J17" s="52">
        <f>-J11</f>
        <v>-5213926.3780799992</v>
      </c>
    </row>
  </sheetData>
  <mergeCells count="1">
    <mergeCell ref="C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11B8-F7D3-ED47-9F1F-11D248181A75}">
  <dimension ref="A6:L20"/>
  <sheetViews>
    <sheetView workbookViewId="0">
      <selection activeCell="H7" sqref="B6:H7"/>
    </sheetView>
  </sheetViews>
  <sheetFormatPr baseColWidth="10" defaultRowHeight="15.75" x14ac:dyDescent="0.25"/>
  <cols>
    <col min="1" max="1" width="16.75" bestFit="1" customWidth="1"/>
    <col min="11" max="11" width="16.25" bestFit="1" customWidth="1"/>
    <col min="12" max="12" width="14.5" bestFit="1" customWidth="1"/>
  </cols>
  <sheetData>
    <row r="6" spans="1:12" ht="16.5" thickBot="1" x14ac:dyDescent="0.3">
      <c r="B6" s="57"/>
      <c r="C6" s="57"/>
      <c r="D6" s="57"/>
      <c r="E6" s="57"/>
      <c r="F6" s="57"/>
      <c r="G6" s="57"/>
      <c r="H6" s="57"/>
      <c r="J6" t="s">
        <v>46</v>
      </c>
      <c r="K6" s="42">
        <v>0.05</v>
      </c>
    </row>
    <row r="7" spans="1:12" ht="16.5" thickTop="1" x14ac:dyDescent="0.25">
      <c r="B7" s="51">
        <v>0</v>
      </c>
      <c r="C7" s="51">
        <v>1</v>
      </c>
      <c r="D7" s="51">
        <v>2</v>
      </c>
      <c r="E7" s="51">
        <v>3</v>
      </c>
      <c r="F7" s="51">
        <v>4</v>
      </c>
      <c r="G7" s="51">
        <v>5</v>
      </c>
      <c r="H7" s="51">
        <v>6</v>
      </c>
      <c r="J7" t="s">
        <v>47</v>
      </c>
      <c r="K7" s="58">
        <f>IRR(B9:H9)</f>
        <v>0.21824034716629082</v>
      </c>
      <c r="L7" s="54" t="s">
        <v>81</v>
      </c>
    </row>
    <row r="8" spans="1:12" x14ac:dyDescent="0.25">
      <c r="J8" t="s">
        <v>80</v>
      </c>
      <c r="K8" s="56">
        <f>NPV(K6,C9:H9)+B9</f>
        <v>16632893.240044743</v>
      </c>
      <c r="L8" s="54" t="s">
        <v>82</v>
      </c>
    </row>
    <row r="9" spans="1:12" x14ac:dyDescent="0.25">
      <c r="A9" t="s">
        <v>79</v>
      </c>
      <c r="B9">
        <f>'Flujo de Caja Incremental'!D17</f>
        <v>-33000000</v>
      </c>
      <c r="C9">
        <f>'Flujo de Caja Incremental'!E17</f>
        <v>12780000</v>
      </c>
      <c r="D9">
        <f>'Flujo de Caja Incremental'!F17</f>
        <v>9598800</v>
      </c>
      <c r="E9">
        <f>'Flujo de Caja Incremental'!G17</f>
        <v>10122228</v>
      </c>
      <c r="F9">
        <f>'Flujo de Caja Incremental'!H17</f>
        <v>10677061.679999996</v>
      </c>
      <c r="G9">
        <f>'Flujo de Caja Incremental'!I17</f>
        <v>19294538.846400004</v>
      </c>
      <c r="H9">
        <f>'Flujo de Caja Incremental'!J17</f>
        <v>-5213926.3780799992</v>
      </c>
    </row>
    <row r="14" spans="1:12" x14ac:dyDescent="0.25">
      <c r="K14" s="43"/>
    </row>
    <row r="15" spans="1:12" x14ac:dyDescent="0.25">
      <c r="K15" s="43"/>
    </row>
    <row r="16" spans="1:12" x14ac:dyDescent="0.25">
      <c r="K16" s="43"/>
    </row>
    <row r="18" spans="11:11" x14ac:dyDescent="0.25">
      <c r="K18" s="43"/>
    </row>
    <row r="20" spans="11:11" x14ac:dyDescent="0.25">
      <c r="K2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1D3D-3013-8143-930B-69E785729366}">
  <dimension ref="A1:H54"/>
  <sheetViews>
    <sheetView topLeftCell="A32" workbookViewId="0">
      <selection activeCell="D52" sqref="D52"/>
    </sheetView>
  </sheetViews>
  <sheetFormatPr baseColWidth="10" defaultRowHeight="15.75" x14ac:dyDescent="0.25"/>
  <cols>
    <col min="1" max="1" width="22" bestFit="1" customWidth="1"/>
    <col min="2" max="2" width="17" bestFit="1" customWidth="1"/>
    <col min="3" max="3" width="15.75" bestFit="1" customWidth="1"/>
    <col min="4" max="4" width="25.5" bestFit="1" customWidth="1"/>
    <col min="5" max="5" width="23.75" bestFit="1" customWidth="1"/>
    <col min="6" max="8" width="15" bestFit="1" customWidth="1"/>
  </cols>
  <sheetData>
    <row r="1" spans="1:8" x14ac:dyDescent="0.25">
      <c r="A1" s="8" t="s">
        <v>4</v>
      </c>
      <c r="B1" s="9" t="s">
        <v>5</v>
      </c>
      <c r="C1" s="10" t="s">
        <v>6</v>
      </c>
    </row>
    <row r="2" spans="1:8" x14ac:dyDescent="0.25">
      <c r="A2" s="1" t="s">
        <v>0</v>
      </c>
      <c r="B2" s="3">
        <v>2874.99</v>
      </c>
      <c r="C2" s="6">
        <v>10000000</v>
      </c>
    </row>
    <row r="3" spans="1:8" x14ac:dyDescent="0.25">
      <c r="A3" s="1" t="s">
        <v>1</v>
      </c>
      <c r="B3" s="4">
        <v>7187.49</v>
      </c>
      <c r="C3" s="6">
        <v>25000000</v>
      </c>
    </row>
    <row r="4" spans="1:8" x14ac:dyDescent="0.25">
      <c r="A4" s="1" t="s">
        <v>2</v>
      </c>
      <c r="B4" s="5">
        <v>2300</v>
      </c>
      <c r="C4" s="6">
        <v>8000000</v>
      </c>
    </row>
    <row r="5" spans="1:8" x14ac:dyDescent="0.25">
      <c r="A5" s="12" t="s">
        <v>3</v>
      </c>
      <c r="B5" s="13">
        <f>SUM(B2:B4)</f>
        <v>12362.48</v>
      </c>
      <c r="C5" s="14">
        <f>SUM(C2:C4)</f>
        <v>43000000</v>
      </c>
    </row>
    <row r="10" spans="1:8" x14ac:dyDescent="0.25">
      <c r="D10" s="79" t="s">
        <v>39</v>
      </c>
      <c r="E10" s="79"/>
      <c r="F10" s="79"/>
      <c r="G10" s="79"/>
      <c r="H10" s="79"/>
    </row>
    <row r="11" spans="1:8" x14ac:dyDescent="0.25">
      <c r="B11" s="9" t="s">
        <v>5</v>
      </c>
      <c r="C11" s="9" t="s">
        <v>6</v>
      </c>
      <c r="D11" s="2" t="s">
        <v>33</v>
      </c>
      <c r="E11" s="2" t="s">
        <v>34</v>
      </c>
      <c r="F11" s="2" t="s">
        <v>35</v>
      </c>
      <c r="G11" s="2" t="s">
        <v>36</v>
      </c>
      <c r="H11" s="2" t="s">
        <v>37</v>
      </c>
    </row>
    <row r="12" spans="1:8" x14ac:dyDescent="0.25">
      <c r="A12" s="10" t="s">
        <v>7</v>
      </c>
      <c r="B12" s="18">
        <v>862.5</v>
      </c>
      <c r="C12" s="11">
        <v>3000000</v>
      </c>
      <c r="D12" s="43">
        <f>C12*(1+$B$16)</f>
        <v>3180000</v>
      </c>
      <c r="E12" s="43">
        <f t="shared" ref="E12:H12" si="0">D12*(1+$B$16)</f>
        <v>3370800</v>
      </c>
      <c r="F12" s="43">
        <f t="shared" si="0"/>
        <v>3573048</v>
      </c>
      <c r="G12" s="43">
        <f t="shared" si="0"/>
        <v>3787430.8800000004</v>
      </c>
      <c r="H12" s="43">
        <f t="shared" si="0"/>
        <v>4014676.7328000003</v>
      </c>
    </row>
    <row r="14" spans="1:8" x14ac:dyDescent="0.25">
      <c r="A14" s="7" t="s">
        <v>8</v>
      </c>
      <c r="B14" s="22">
        <v>5</v>
      </c>
    </row>
    <row r="15" spans="1:8" x14ac:dyDescent="0.25">
      <c r="A15" s="7" t="s">
        <v>9</v>
      </c>
      <c r="B15" s="21">
        <v>0.35</v>
      </c>
    </row>
    <row r="16" spans="1:8" x14ac:dyDescent="0.25">
      <c r="A16" s="7" t="s">
        <v>10</v>
      </c>
      <c r="B16" s="21">
        <v>0.06</v>
      </c>
    </row>
    <row r="17" spans="1:8" x14ac:dyDescent="0.25">
      <c r="A17" s="68" t="s">
        <v>11</v>
      </c>
      <c r="B17" s="68"/>
      <c r="C17" s="68"/>
    </row>
    <row r="19" spans="1:8" x14ac:dyDescent="0.25">
      <c r="A19" s="69" t="s">
        <v>17</v>
      </c>
      <c r="B19" s="69"/>
      <c r="C19" s="69"/>
    </row>
    <row r="20" spans="1:8" x14ac:dyDescent="0.25">
      <c r="A20" s="16"/>
      <c r="B20" s="17" t="s">
        <v>5</v>
      </c>
      <c r="C20" s="17" t="s">
        <v>6</v>
      </c>
    </row>
    <row r="21" spans="1:8" x14ac:dyDescent="0.25">
      <c r="A21" s="26" t="s">
        <v>12</v>
      </c>
      <c r="B21" s="27">
        <v>1437.5</v>
      </c>
      <c r="C21" s="28">
        <v>6000000</v>
      </c>
    </row>
    <row r="23" spans="1:8" x14ac:dyDescent="0.25">
      <c r="D23" s="70" t="s">
        <v>40</v>
      </c>
      <c r="E23" s="70"/>
      <c r="F23" s="70"/>
      <c r="G23" s="70"/>
      <c r="H23" s="70"/>
    </row>
    <row r="24" spans="1:8" x14ac:dyDescent="0.25">
      <c r="D24" s="2" t="s">
        <v>33</v>
      </c>
      <c r="E24" s="2" t="s">
        <v>34</v>
      </c>
      <c r="F24" s="2" t="s">
        <v>35</v>
      </c>
      <c r="G24" s="2" t="s">
        <v>36</v>
      </c>
      <c r="H24" s="2" t="s">
        <v>37</v>
      </c>
    </row>
    <row r="25" spans="1:8" x14ac:dyDescent="0.25">
      <c r="A25" s="34" t="s">
        <v>13</v>
      </c>
      <c r="B25" s="18">
        <v>2587.5</v>
      </c>
      <c r="C25" s="46">
        <v>8000000</v>
      </c>
      <c r="D25" s="25">
        <f>C25*(1+$B$16)</f>
        <v>8480000</v>
      </c>
      <c r="E25" s="25">
        <f t="shared" ref="E25:H25" si="1">D25*(1+$B$16)</f>
        <v>8988800</v>
      </c>
      <c r="F25" s="25">
        <f t="shared" si="1"/>
        <v>9528128</v>
      </c>
      <c r="G25" s="25">
        <f t="shared" si="1"/>
        <v>10099815.68</v>
      </c>
      <c r="H25" s="25">
        <f t="shared" si="1"/>
        <v>10705804.6208</v>
      </c>
    </row>
    <row r="27" spans="1:8" x14ac:dyDescent="0.25">
      <c r="D27" s="70" t="s">
        <v>41</v>
      </c>
      <c r="E27" s="70"/>
      <c r="F27" s="70"/>
      <c r="G27" s="70"/>
      <c r="H27" s="70"/>
    </row>
    <row r="28" spans="1:8" x14ac:dyDescent="0.25">
      <c r="D28" s="2" t="s">
        <v>33</v>
      </c>
      <c r="E28" s="2" t="s">
        <v>34</v>
      </c>
      <c r="F28" s="2" t="s">
        <v>35</v>
      </c>
      <c r="G28" s="2" t="s">
        <v>36</v>
      </c>
      <c r="H28" s="2" t="s">
        <v>37</v>
      </c>
    </row>
    <row r="29" spans="1:8" x14ac:dyDescent="0.25">
      <c r="A29" s="10" t="s">
        <v>14</v>
      </c>
      <c r="B29" s="18">
        <v>7.19</v>
      </c>
      <c r="C29" s="15">
        <v>20000</v>
      </c>
      <c r="D29" s="25">
        <f>C29*(1+$B$16)</f>
        <v>21200</v>
      </c>
      <c r="E29" s="25">
        <f t="shared" ref="E29:H29" si="2">D29*(1+$B$16)</f>
        <v>22472</v>
      </c>
      <c r="F29" s="25">
        <f t="shared" si="2"/>
        <v>23820.32</v>
      </c>
      <c r="G29" s="25">
        <f t="shared" si="2"/>
        <v>25249.539199999999</v>
      </c>
      <c r="H29" s="25">
        <f t="shared" si="2"/>
        <v>26764.511552</v>
      </c>
    </row>
    <row r="31" spans="1:8" x14ac:dyDescent="0.25">
      <c r="D31" s="70" t="s">
        <v>42</v>
      </c>
      <c r="E31" s="70"/>
      <c r="F31" s="70"/>
      <c r="G31" s="70"/>
      <c r="H31" s="70"/>
    </row>
    <row r="32" spans="1:8" x14ac:dyDescent="0.25">
      <c r="D32" s="2" t="s">
        <v>33</v>
      </c>
      <c r="E32" s="2" t="s">
        <v>34</v>
      </c>
      <c r="F32" s="2" t="s">
        <v>35</v>
      </c>
      <c r="G32" s="2" t="s">
        <v>36</v>
      </c>
      <c r="H32" s="2" t="s">
        <v>37</v>
      </c>
    </row>
    <row r="33" spans="1:8" x14ac:dyDescent="0.25">
      <c r="D33" s="60">
        <f>D29*$B$41</f>
        <v>25440000</v>
      </c>
      <c r="E33" s="60">
        <f t="shared" ref="E33:G33" si="3">E29*$B$41</f>
        <v>26966400</v>
      </c>
      <c r="F33" s="60">
        <f t="shared" si="3"/>
        <v>28584384</v>
      </c>
      <c r="G33" s="60">
        <f t="shared" si="3"/>
        <v>30299447.039999999</v>
      </c>
      <c r="H33" s="60">
        <f>H29*$B$41</f>
        <v>32117413.862399999</v>
      </c>
    </row>
    <row r="35" spans="1:8" x14ac:dyDescent="0.25">
      <c r="D35" s="70" t="s">
        <v>38</v>
      </c>
      <c r="E35" s="70"/>
      <c r="F35" s="70"/>
      <c r="G35" s="70"/>
      <c r="H35" s="70"/>
    </row>
    <row r="36" spans="1:8" x14ac:dyDescent="0.25">
      <c r="D36" s="2" t="s">
        <v>33</v>
      </c>
      <c r="E36" s="2" t="s">
        <v>34</v>
      </c>
      <c r="F36" s="2" t="s">
        <v>35</v>
      </c>
      <c r="G36" s="2" t="s">
        <v>36</v>
      </c>
      <c r="H36" s="2" t="s">
        <v>37</v>
      </c>
    </row>
    <row r="37" spans="1:8" x14ac:dyDescent="0.25">
      <c r="A37" s="10" t="s">
        <v>15</v>
      </c>
      <c r="B37" s="18">
        <v>10.06</v>
      </c>
      <c r="C37" s="45">
        <v>40000</v>
      </c>
      <c r="D37" s="25">
        <f>C37*(1+$B$16)</f>
        <v>42400</v>
      </c>
      <c r="E37" s="25">
        <f t="shared" ref="E37:H37" si="4">D37*(1+$B$16)</f>
        <v>44944</v>
      </c>
      <c r="F37" s="25">
        <f t="shared" si="4"/>
        <v>47640.639999999999</v>
      </c>
      <c r="G37" s="25">
        <f t="shared" si="4"/>
        <v>50499.078399999999</v>
      </c>
      <c r="H37" s="25">
        <f t="shared" si="4"/>
        <v>53529.023104</v>
      </c>
    </row>
    <row r="41" spans="1:8" x14ac:dyDescent="0.25">
      <c r="A41" s="10" t="s">
        <v>16</v>
      </c>
      <c r="B41" s="2">
        <v>1200</v>
      </c>
    </row>
    <row r="43" spans="1:8" x14ac:dyDescent="0.25">
      <c r="A43" s="68" t="s">
        <v>88</v>
      </c>
      <c r="B43" s="68"/>
      <c r="C43" s="68"/>
    </row>
    <row r="44" spans="1:8" x14ac:dyDescent="0.25">
      <c r="B44" s="34" t="s">
        <v>5</v>
      </c>
      <c r="C44" s="34" t="s">
        <v>6</v>
      </c>
    </row>
    <row r="45" spans="1:8" x14ac:dyDescent="0.25">
      <c r="A45" s="10" t="s">
        <v>83</v>
      </c>
      <c r="B45" s="5">
        <v>7139.05</v>
      </c>
      <c r="C45" s="15">
        <v>25000000</v>
      </c>
    </row>
    <row r="46" spans="1:8" x14ac:dyDescent="0.25">
      <c r="A46" s="10" t="s">
        <v>84</v>
      </c>
      <c r="B46" s="2">
        <v>3</v>
      </c>
      <c r="C46" s="39" t="s">
        <v>85</v>
      </c>
    </row>
    <row r="47" spans="1:8" x14ac:dyDescent="0.25">
      <c r="A47" s="10" t="s">
        <v>87</v>
      </c>
      <c r="B47" s="59">
        <v>0.2</v>
      </c>
      <c r="C47" s="2" t="s">
        <v>86</v>
      </c>
      <c r="D47" s="61">
        <f>EFFECT(B47,12)</f>
        <v>0.21939108490523185</v>
      </c>
      <c r="E47" s="22" t="s">
        <v>96</v>
      </c>
    </row>
    <row r="49" spans="1:5" x14ac:dyDescent="0.25">
      <c r="C49" s="62" t="s">
        <v>98</v>
      </c>
      <c r="D49" s="62" t="s">
        <v>97</v>
      </c>
      <c r="E49" s="62" t="s">
        <v>99</v>
      </c>
    </row>
    <row r="50" spans="1:5" x14ac:dyDescent="0.25">
      <c r="A50" s="10" t="s">
        <v>92</v>
      </c>
      <c r="B50" s="2" t="s">
        <v>93</v>
      </c>
      <c r="C50" s="2" t="s">
        <v>94</v>
      </c>
      <c r="D50" s="2" t="s">
        <v>100</v>
      </c>
      <c r="E50" s="2" t="s">
        <v>95</v>
      </c>
    </row>
    <row r="51" spans="1:5" x14ac:dyDescent="0.25">
      <c r="A51" s="2">
        <v>0</v>
      </c>
      <c r="B51" s="63"/>
      <c r="C51" s="2"/>
      <c r="D51" s="2"/>
      <c r="E51" s="2"/>
    </row>
    <row r="52" spans="1:5" x14ac:dyDescent="0.25">
      <c r="A52" s="2">
        <v>1</v>
      </c>
      <c r="B52" s="63">
        <f>PMT($D$47,$B$46,-$C$45)</f>
        <v>12230038.308389241</v>
      </c>
      <c r="C52" s="24">
        <f>C45*D47</f>
        <v>5484777.1226307964</v>
      </c>
      <c r="D52" s="63">
        <f>B52-C52</f>
        <v>6745261.1857584445</v>
      </c>
      <c r="E52" s="24">
        <f>C45-D52</f>
        <v>18254738.814241555</v>
      </c>
    </row>
    <row r="53" spans="1:5" x14ac:dyDescent="0.25">
      <c r="A53" s="2">
        <v>2</v>
      </c>
      <c r="B53" s="63">
        <f t="shared" ref="B53:B54" si="5">PMT($D$47,$B$46,-$C$45)</f>
        <v>12230038.308389241</v>
      </c>
      <c r="C53" s="24">
        <f>E52*D47</f>
        <v>4004926.9531181003</v>
      </c>
      <c r="D53" s="63">
        <f>B53-C53</f>
        <v>8225111.3552711401</v>
      </c>
      <c r="E53" s="24">
        <f>E52-D53</f>
        <v>10029627.458970414</v>
      </c>
    </row>
    <row r="54" spans="1:5" x14ac:dyDescent="0.25">
      <c r="A54" s="2">
        <v>3</v>
      </c>
      <c r="B54" s="63">
        <f t="shared" si="5"/>
        <v>12230038.308389241</v>
      </c>
      <c r="C54" s="24">
        <f>E53*D47</f>
        <v>2200410.8494188231</v>
      </c>
      <c r="D54" s="63">
        <f>B54-C54</f>
        <v>10029627.458970418</v>
      </c>
      <c r="E54" s="24">
        <f>E53-D54</f>
        <v>0</v>
      </c>
    </row>
  </sheetData>
  <mergeCells count="8">
    <mergeCell ref="D10:H10"/>
    <mergeCell ref="A17:C17"/>
    <mergeCell ref="A19:C19"/>
    <mergeCell ref="A43:C43"/>
    <mergeCell ref="D23:H23"/>
    <mergeCell ref="D27:H27"/>
    <mergeCell ref="D31:H31"/>
    <mergeCell ref="D35:H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9960-45EE-1E42-9BB6-74E8F2D96CB9}">
  <dimension ref="C3:J18"/>
  <sheetViews>
    <sheetView workbookViewId="0">
      <selection activeCell="E17" sqref="E17"/>
    </sheetView>
  </sheetViews>
  <sheetFormatPr baseColWidth="10" defaultRowHeight="15.75" x14ac:dyDescent="0.25"/>
  <cols>
    <col min="3" max="3" width="25" bestFit="1" customWidth="1"/>
    <col min="4" max="9" width="14.75" bestFit="1" customWidth="1"/>
    <col min="10" max="10" width="14" bestFit="1" customWidth="1"/>
  </cols>
  <sheetData>
    <row r="3" spans="3:10" x14ac:dyDescent="0.25">
      <c r="C3" s="76" t="s">
        <v>89</v>
      </c>
      <c r="D3" s="77"/>
      <c r="E3" s="77"/>
      <c r="F3" s="77"/>
      <c r="G3" s="77"/>
      <c r="H3" s="77"/>
      <c r="I3" s="77"/>
      <c r="J3" s="78"/>
    </row>
    <row r="4" spans="3:10" x14ac:dyDescent="0.25">
      <c r="C4" s="47" t="s">
        <v>18</v>
      </c>
      <c r="D4" s="48">
        <v>0</v>
      </c>
      <c r="E4" s="48">
        <v>1</v>
      </c>
      <c r="F4" s="48">
        <v>2</v>
      </c>
      <c r="G4" s="48">
        <v>3</v>
      </c>
      <c r="H4" s="48">
        <v>4</v>
      </c>
      <c r="I4" s="48">
        <v>5</v>
      </c>
      <c r="J4" s="48">
        <v>6</v>
      </c>
    </row>
    <row r="5" spans="3:10" x14ac:dyDescent="0.25">
      <c r="C5" s="49" t="s">
        <v>64</v>
      </c>
      <c r="D5" s="50">
        <f>'Información 3'!C5-'Información 3'!C45</f>
        <v>18000000</v>
      </c>
      <c r="E5" s="50"/>
      <c r="F5" s="50"/>
      <c r="G5" s="50"/>
      <c r="H5" s="50"/>
      <c r="I5" s="52"/>
      <c r="J5" s="52"/>
    </row>
    <row r="6" spans="3:10" x14ac:dyDescent="0.25">
      <c r="C6" s="49" t="s">
        <v>65</v>
      </c>
      <c r="D6" s="50"/>
      <c r="E6" s="50">
        <f>'Información 3'!D37*'Información 3'!$B$41</f>
        <v>50880000</v>
      </c>
      <c r="F6" s="50">
        <f>'Información 3'!E37*'Información 3'!$B$41</f>
        <v>53932800</v>
      </c>
      <c r="G6" s="50">
        <f>'Información 3'!F37*'Información 3'!$B$41</f>
        <v>57168768</v>
      </c>
      <c r="H6" s="50">
        <f>'Información 3'!G37*'Información 3'!$B$41</f>
        <v>60598894.079999998</v>
      </c>
      <c r="I6" s="50">
        <f>'Información 3'!H37*'Información 3'!$B$41</f>
        <v>64234827.724799998</v>
      </c>
      <c r="J6" s="52"/>
    </row>
    <row r="7" spans="3:10" x14ac:dyDescent="0.25">
      <c r="C7" s="49" t="s">
        <v>66</v>
      </c>
      <c r="D7" s="50"/>
      <c r="E7" s="50">
        <f>'Información 3'!D12+'Información 3'!D25+'Información 3'!D33</f>
        <v>37100000</v>
      </c>
      <c r="F7" s="50">
        <f>'Información 3'!E12+'Información 3'!E25+'Información 3'!E33</f>
        <v>39326000</v>
      </c>
      <c r="G7" s="50">
        <f>'Información 3'!F12+'Información 3'!F25+'Información 3'!F33</f>
        <v>41685560</v>
      </c>
      <c r="H7" s="50">
        <f>'Información 3'!G12+'Información 3'!G25+'Información 3'!G33</f>
        <v>44186693.600000001</v>
      </c>
      <c r="I7" s="50">
        <f>'Información 3'!H12+'Información 3'!H25+'Información 3'!H33</f>
        <v>46837895.215999998</v>
      </c>
      <c r="J7" s="52"/>
    </row>
    <row r="8" spans="3:10" x14ac:dyDescent="0.25">
      <c r="C8" s="53" t="s">
        <v>90</v>
      </c>
      <c r="D8" s="50"/>
      <c r="E8" s="50">
        <f>'Información 3'!C52</f>
        <v>5484777.1226307964</v>
      </c>
      <c r="F8" s="50">
        <f>'Información 3'!C53</f>
        <v>4004926.9531181003</v>
      </c>
      <c r="G8" s="50">
        <f>'Información 3'!C54</f>
        <v>2200410.8494188231</v>
      </c>
      <c r="H8" s="50"/>
      <c r="I8" s="50"/>
      <c r="J8" s="52"/>
    </row>
    <row r="9" spans="3:10" x14ac:dyDescent="0.25">
      <c r="C9" s="49" t="s">
        <v>67</v>
      </c>
      <c r="D9" s="50"/>
      <c r="E9" s="50">
        <f>'Información 3'!C3/10</f>
        <v>2500000</v>
      </c>
      <c r="F9" s="50">
        <f>E9</f>
        <v>2500000</v>
      </c>
      <c r="G9" s="50">
        <f t="shared" ref="G9:I9" si="0">F9</f>
        <v>2500000</v>
      </c>
      <c r="H9" s="50">
        <f t="shared" si="0"/>
        <v>2500000</v>
      </c>
      <c r="I9" s="50">
        <f t="shared" si="0"/>
        <v>2500000</v>
      </c>
      <c r="J9" s="52"/>
    </row>
    <row r="10" spans="3:10" x14ac:dyDescent="0.25">
      <c r="C10" s="49" t="s">
        <v>68</v>
      </c>
      <c r="D10" s="50"/>
      <c r="E10" s="50">
        <f>E6-E7-E8-E9</f>
        <v>5795222.8773692036</v>
      </c>
      <c r="F10" s="50">
        <f t="shared" ref="F10:I10" si="1">F6-F7-F8-F9</f>
        <v>8101873.0468818992</v>
      </c>
      <c r="G10" s="50">
        <f t="shared" si="1"/>
        <v>10782797.150581177</v>
      </c>
      <c r="H10" s="50">
        <f t="shared" si="1"/>
        <v>13912200.479999997</v>
      </c>
      <c r="I10" s="50">
        <f t="shared" si="1"/>
        <v>14896932.5088</v>
      </c>
      <c r="J10" s="52"/>
    </row>
    <row r="11" spans="3:10" x14ac:dyDescent="0.25">
      <c r="C11" s="49" t="s">
        <v>19</v>
      </c>
      <c r="D11" s="50"/>
      <c r="E11" s="50">
        <f>E10*'Información 3'!$B$15</f>
        <v>2028328.0070792211</v>
      </c>
      <c r="F11" s="50">
        <f>F10*'Información 3'!$B$15</f>
        <v>2835655.5664086645</v>
      </c>
      <c r="G11" s="50">
        <f>G10*'Información 3'!$B$15</f>
        <v>3773979.002703412</v>
      </c>
      <c r="H11" s="50">
        <f>H10*'Información 3'!$B$15</f>
        <v>4869270.1679999987</v>
      </c>
      <c r="I11" s="50">
        <f>I10*'Información 3'!$B$15</f>
        <v>5213926.3780799992</v>
      </c>
      <c r="J11" s="52"/>
    </row>
    <row r="12" spans="3:10" x14ac:dyDescent="0.25">
      <c r="C12" s="49" t="s">
        <v>69</v>
      </c>
      <c r="D12" s="50"/>
      <c r="E12" s="50"/>
      <c r="F12" s="50">
        <f>E11</f>
        <v>2028328.0070792211</v>
      </c>
      <c r="G12" s="50">
        <f t="shared" ref="G12:J12" si="2">F11</f>
        <v>2835655.5664086645</v>
      </c>
      <c r="H12" s="50">
        <f t="shared" si="2"/>
        <v>3773979.002703412</v>
      </c>
      <c r="I12" s="50">
        <f t="shared" si="2"/>
        <v>4869270.1679999987</v>
      </c>
      <c r="J12" s="50">
        <f t="shared" si="2"/>
        <v>5213926.3780799992</v>
      </c>
    </row>
    <row r="13" spans="3:10" x14ac:dyDescent="0.25">
      <c r="C13" s="49" t="s">
        <v>70</v>
      </c>
      <c r="D13" s="50"/>
      <c r="E13" s="50">
        <f>E9</f>
        <v>2500000</v>
      </c>
      <c r="F13" s="50">
        <f t="shared" ref="F13:I13" si="3">F9</f>
        <v>2500000</v>
      </c>
      <c r="G13" s="50">
        <f t="shared" si="3"/>
        <v>2500000</v>
      </c>
      <c r="H13" s="50">
        <f t="shared" si="3"/>
        <v>2500000</v>
      </c>
      <c r="I13" s="50">
        <f t="shared" si="3"/>
        <v>2500000</v>
      </c>
      <c r="J13" s="52"/>
    </row>
    <row r="14" spans="3:10" x14ac:dyDescent="0.25">
      <c r="C14" s="49" t="s">
        <v>71</v>
      </c>
      <c r="D14" s="50"/>
      <c r="E14" s="50"/>
      <c r="F14" s="50"/>
      <c r="G14" s="50"/>
      <c r="H14" s="50"/>
      <c r="I14" s="50"/>
      <c r="J14" s="52"/>
    </row>
    <row r="15" spans="3:10" x14ac:dyDescent="0.25">
      <c r="C15" s="49" t="s">
        <v>72</v>
      </c>
      <c r="D15" s="50"/>
      <c r="E15" s="50"/>
      <c r="F15" s="50"/>
      <c r="G15" s="50"/>
      <c r="H15" s="50"/>
      <c r="I15" s="52"/>
      <c r="J15" s="52"/>
    </row>
    <row r="16" spans="3:10" x14ac:dyDescent="0.25">
      <c r="C16" s="53" t="s">
        <v>91</v>
      </c>
      <c r="D16" s="50"/>
      <c r="E16" s="50">
        <f>'Información 3'!D52</f>
        <v>6745261.1857584445</v>
      </c>
      <c r="F16" s="50">
        <f>'Información 3'!D53</f>
        <v>8225111.3552711401</v>
      </c>
      <c r="G16" s="50">
        <f>'Información 3'!D54</f>
        <v>10029627.458970418</v>
      </c>
      <c r="H16" s="50"/>
      <c r="I16" s="52"/>
      <c r="J16" s="52"/>
    </row>
    <row r="17" spans="3:10" x14ac:dyDescent="0.25">
      <c r="C17" s="49" t="s">
        <v>73</v>
      </c>
      <c r="D17" s="50"/>
      <c r="E17" s="50"/>
      <c r="F17" s="50"/>
      <c r="G17" s="50"/>
      <c r="H17" s="50"/>
      <c r="I17" s="52">
        <f>FV('Información 3'!$B$16,'Información 3'!B14,,-'Información 3'!C21)</f>
        <v>8029353.4656000026</v>
      </c>
      <c r="J17" s="52"/>
    </row>
    <row r="18" spans="3:10" x14ac:dyDescent="0.25">
      <c r="C18" s="53" t="s">
        <v>74</v>
      </c>
      <c r="D18" s="50">
        <f>-D5</f>
        <v>-18000000</v>
      </c>
      <c r="E18" s="50">
        <f>E10-E12+E13-E14+E15-E16+E17</f>
        <v>1549961.6916107591</v>
      </c>
      <c r="F18" s="50">
        <f>F10-F12+F13-F14+F15-F16+F17</f>
        <v>348433.68453153782</v>
      </c>
      <c r="G18" s="50">
        <f>G10-G12+G13-G14+G15-G16+G17</f>
        <v>417514.12520209514</v>
      </c>
      <c r="H18" s="50">
        <f>H10-H12+H13-H14+H15-H16+H17</f>
        <v>12638221.477296585</v>
      </c>
      <c r="I18" s="50">
        <f>I10-I12+I13-I14+I15-I16+I17</f>
        <v>20557015.806400005</v>
      </c>
      <c r="J18" s="52">
        <f>-J12</f>
        <v>-5213926.3780799992</v>
      </c>
    </row>
  </sheetData>
  <mergeCells count="1">
    <mergeCell ref="C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128-4D1C-D04F-8E7D-7DB4A3AE43CE}">
  <dimension ref="B5:L8"/>
  <sheetViews>
    <sheetView workbookViewId="0">
      <selection activeCell="L7" sqref="L7"/>
    </sheetView>
  </sheetViews>
  <sheetFormatPr baseColWidth="10" defaultRowHeight="15.75" x14ac:dyDescent="0.25"/>
  <cols>
    <col min="2" max="2" width="18.25" bestFit="1" customWidth="1"/>
    <col min="12" max="12" width="15.25" bestFit="1" customWidth="1"/>
  </cols>
  <sheetData>
    <row r="5" spans="2:12" ht="16.5" thickBot="1" x14ac:dyDescent="0.3">
      <c r="C5" s="57"/>
      <c r="D5" s="57"/>
      <c r="E5" s="57"/>
      <c r="F5" s="57"/>
      <c r="G5" s="57"/>
      <c r="H5" s="57"/>
      <c r="I5" s="57"/>
      <c r="K5" t="s">
        <v>46</v>
      </c>
      <c r="L5" s="42">
        <v>0.05</v>
      </c>
    </row>
    <row r="6" spans="2:12" ht="16.5" thickTop="1" x14ac:dyDescent="0.25">
      <c r="C6" s="51">
        <v>0</v>
      </c>
      <c r="D6" s="51">
        <v>1</v>
      </c>
      <c r="E6" s="51">
        <v>2</v>
      </c>
      <c r="F6" s="51">
        <v>3</v>
      </c>
      <c r="G6" s="51">
        <v>4</v>
      </c>
      <c r="H6" s="51">
        <v>5</v>
      </c>
      <c r="I6" s="51">
        <v>6</v>
      </c>
      <c r="K6" t="s">
        <v>102</v>
      </c>
      <c r="L6" s="42">
        <f>IRR(C8:I8)</f>
        <v>0.1351900843986209</v>
      </c>
    </row>
    <row r="7" spans="2:12" x14ac:dyDescent="0.25">
      <c r="K7" t="s">
        <v>80</v>
      </c>
      <c r="L7" s="43">
        <f>NPV(L5,D8:I8)+C8</f>
        <v>6766601.7493424378</v>
      </c>
    </row>
    <row r="8" spans="2:12" x14ac:dyDescent="0.25">
      <c r="B8" t="s">
        <v>101</v>
      </c>
      <c r="C8">
        <f>'Flujo de caja Inversionista'!D18</f>
        <v>-18000000</v>
      </c>
      <c r="D8">
        <f>'Flujo de caja Inversionista'!E18</f>
        <v>1549961.6916107591</v>
      </c>
      <c r="E8">
        <f>'Flujo de caja Inversionista'!F18</f>
        <v>348433.68453153782</v>
      </c>
      <c r="F8">
        <f>'Flujo de caja Inversionista'!G18</f>
        <v>417514.12520209514</v>
      </c>
      <c r="G8">
        <f>'Flujo de caja Inversionista'!H18</f>
        <v>12638221.477296585</v>
      </c>
      <c r="H8">
        <f>'Flujo de caja Inversionista'!I18</f>
        <v>20557015.806400005</v>
      </c>
      <c r="I8">
        <f>'Flujo de caja Inversionista'!J18</f>
        <v>-5213926.3780799992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Información</vt:lpstr>
      <vt:lpstr>Flujo de Caja Corrientes</vt:lpstr>
      <vt:lpstr>Calculo de la TIR Y VPN</vt:lpstr>
      <vt:lpstr>Información 2</vt:lpstr>
      <vt:lpstr>Flujo de Caja Incremental</vt:lpstr>
      <vt:lpstr>Calculo tir y VPN</vt:lpstr>
      <vt:lpstr>Información 3</vt:lpstr>
      <vt:lpstr>Flujo de caja Inversionista</vt:lpstr>
      <vt:lpstr>Caluclo Tir y 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 figueredo</dc:creator>
  <cp:lastModifiedBy>TopoLoL Games</cp:lastModifiedBy>
  <dcterms:created xsi:type="dcterms:W3CDTF">2019-11-27T19:42:43Z</dcterms:created>
  <dcterms:modified xsi:type="dcterms:W3CDTF">2024-05-30T03:19:11Z</dcterms:modified>
</cp:coreProperties>
</file>