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24871\Desktop\"/>
    </mc:Choice>
  </mc:AlternateContent>
  <xr:revisionPtr revIDLastSave="0" documentId="13_ncr:1_{41B8A84A-20E3-4CD2-97F3-DC1ABFF9DF6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 (2)" sheetId="2" r:id="rId1"/>
    <sheet name="Sheet1" sheetId="3" r:id="rId2"/>
    <sheet name="Data" sheetId="1" r:id="rId3"/>
    <sheet name="Sheet2" sheetId="4" r:id="rId4"/>
  </sheets>
  <definedNames>
    <definedName name="solver_adj" localSheetId="1" hidden="1">Sheet1!$E$56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Sheet1!$H$56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1" i="3" l="1"/>
  <c r="AM42" i="3" l="1"/>
  <c r="AM43" i="3"/>
  <c r="AM44" i="3"/>
  <c r="AM45" i="3"/>
  <c r="AM46" i="3"/>
  <c r="AM47" i="3"/>
  <c r="AM48" i="3"/>
  <c r="AM41" i="3"/>
  <c r="AM40" i="3"/>
  <c r="AJ41" i="3"/>
  <c r="AJ42" i="3"/>
  <c r="AJ43" i="3"/>
  <c r="AJ44" i="3"/>
  <c r="AJ45" i="3"/>
  <c r="AJ46" i="3"/>
  <c r="AJ47" i="3"/>
  <c r="AJ40" i="3" s="1"/>
  <c r="AJ48" i="3"/>
  <c r="AG42" i="3"/>
  <c r="AG43" i="3"/>
  <c r="AG44" i="3"/>
  <c r="AG45" i="3"/>
  <c r="AG46" i="3"/>
  <c r="AG47" i="3"/>
  <c r="AG48" i="3"/>
  <c r="AG41" i="3"/>
  <c r="AC42" i="3"/>
  <c r="AC43" i="3"/>
  <c r="AC44" i="3"/>
  <c r="AC45" i="3"/>
  <c r="AC46" i="3"/>
  <c r="AC47" i="3"/>
  <c r="AC48" i="3"/>
  <c r="AC41" i="3"/>
  <c r="AL27" i="3"/>
  <c r="AL28" i="3"/>
  <c r="AL29" i="3"/>
  <c r="AL30" i="3"/>
  <c r="AL31" i="3"/>
  <c r="AL32" i="3"/>
  <c r="AL33" i="3"/>
  <c r="AL26" i="3"/>
  <c r="AL34" i="3" s="1"/>
  <c r="AF27" i="3"/>
  <c r="AF34" i="3" s="1"/>
  <c r="AF28" i="3"/>
  <c r="AF29" i="3"/>
  <c r="AF30" i="3"/>
  <c r="AF31" i="3"/>
  <c r="AF32" i="3"/>
  <c r="AF33" i="3"/>
  <c r="AF26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18" i="3"/>
  <c r="P18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Q7" i="1"/>
  <c r="R7" i="1"/>
  <c r="P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H7" i="1"/>
  <c r="G7" i="1"/>
  <c r="E44" i="2"/>
  <c r="AK27" i="3"/>
  <c r="AK28" i="3"/>
  <c r="AK29" i="3"/>
  <c r="AK30" i="3"/>
  <c r="AK31" i="3"/>
  <c r="AK32" i="3"/>
  <c r="AK33" i="3"/>
  <c r="AK26" i="3"/>
  <c r="AE26" i="3"/>
  <c r="AE27" i="3"/>
  <c r="AE28" i="3"/>
  <c r="AE29" i="3"/>
  <c r="AE30" i="3"/>
  <c r="AE31" i="3"/>
  <c r="AE32" i="3"/>
  <c r="AE33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S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18" i="3"/>
  <c r="R18" i="3"/>
  <c r="AD37" i="3"/>
  <c r="AD35" i="3"/>
  <c r="AH35" i="3"/>
  <c r="AI35" i="3"/>
  <c r="AJ35" i="3"/>
  <c r="AC35" i="3"/>
  <c r="AK16" i="1"/>
  <c r="AL16" i="1"/>
  <c r="AM16" i="1"/>
  <c r="AN16" i="1"/>
  <c r="AO16" i="1"/>
  <c r="AK17" i="1"/>
  <c r="AL17" i="1"/>
  <c r="AM17" i="1"/>
  <c r="AN17" i="1"/>
  <c r="AO17" i="1"/>
  <c r="AK18" i="1"/>
  <c r="AL18" i="1"/>
  <c r="AM18" i="1"/>
  <c r="AN18" i="1"/>
  <c r="AO18" i="1"/>
  <c r="AK19" i="1"/>
  <c r="AL19" i="1"/>
  <c r="AM19" i="1"/>
  <c r="AN19" i="1"/>
  <c r="AO19" i="1"/>
  <c r="AK20" i="1"/>
  <c r="AL20" i="1"/>
  <c r="AM20" i="1"/>
  <c r="AN20" i="1"/>
  <c r="AO20" i="1"/>
  <c r="AK21" i="1"/>
  <c r="AL21" i="1"/>
  <c r="AM21" i="1"/>
  <c r="AN21" i="1"/>
  <c r="AO21" i="1"/>
  <c r="AK22" i="1"/>
  <c r="AL22" i="1"/>
  <c r="AM22" i="1"/>
  <c r="AN22" i="1"/>
  <c r="AO22" i="1"/>
  <c r="AL15" i="1"/>
  <c r="AM15" i="1"/>
  <c r="AN15" i="1"/>
  <c r="AO15" i="1"/>
  <c r="AK15" i="1"/>
  <c r="D56" i="3"/>
  <c r="I65" i="3"/>
  <c r="H65" i="3"/>
  <c r="C93" i="3"/>
  <c r="A93" i="3"/>
  <c r="I59" i="3"/>
  <c r="AC37" i="3"/>
  <c r="J52" i="3"/>
  <c r="I5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D42" i="3"/>
  <c r="E42" i="3"/>
  <c r="C42" i="3"/>
  <c r="B42" i="3"/>
  <c r="B43" i="3"/>
  <c r="B44" i="3"/>
  <c r="B45" i="3"/>
  <c r="B46" i="3"/>
  <c r="B47" i="3"/>
  <c r="B48" i="3"/>
  <c r="B49" i="3"/>
  <c r="A49" i="3"/>
  <c r="A43" i="3"/>
  <c r="A44" i="3"/>
  <c r="A45" i="3"/>
  <c r="A46" i="3"/>
  <c r="A47" i="3"/>
  <c r="A48" i="3"/>
  <c r="A42" i="3"/>
  <c r="O33" i="3"/>
  <c r="N33" i="3"/>
  <c r="E33" i="3"/>
  <c r="D33" i="3"/>
  <c r="O32" i="3"/>
  <c r="N32" i="3"/>
  <c r="E32" i="3"/>
  <c r="D32" i="3"/>
  <c r="O31" i="3"/>
  <c r="N31" i="3"/>
  <c r="E31" i="3"/>
  <c r="D31" i="3"/>
  <c r="O30" i="3"/>
  <c r="N30" i="3"/>
  <c r="E30" i="3"/>
  <c r="D30" i="3"/>
  <c r="O29" i="3"/>
  <c r="N29" i="3"/>
  <c r="E29" i="3"/>
  <c r="D29" i="3"/>
  <c r="O28" i="3"/>
  <c r="N28" i="3"/>
  <c r="E28" i="3"/>
  <c r="D28" i="3"/>
  <c r="O27" i="3"/>
  <c r="N27" i="3"/>
  <c r="E27" i="3"/>
  <c r="D27" i="3"/>
  <c r="O26" i="3"/>
  <c r="N26" i="3"/>
  <c r="E26" i="3"/>
  <c r="D26" i="3"/>
  <c r="O25" i="3"/>
  <c r="N25" i="3"/>
  <c r="E25" i="3"/>
  <c r="D25" i="3"/>
  <c r="O24" i="3"/>
  <c r="N24" i="3"/>
  <c r="E24" i="3"/>
  <c r="D24" i="3"/>
  <c r="O23" i="3"/>
  <c r="N23" i="3"/>
  <c r="E23" i="3"/>
  <c r="D23" i="3"/>
  <c r="O22" i="3"/>
  <c r="N22" i="3"/>
  <c r="E22" i="3"/>
  <c r="D22" i="3"/>
  <c r="O21" i="3"/>
  <c r="N21" i="3"/>
  <c r="E21" i="3"/>
  <c r="D21" i="3"/>
  <c r="O20" i="3"/>
  <c r="N20" i="3"/>
  <c r="E20" i="3"/>
  <c r="D20" i="3"/>
  <c r="O19" i="3"/>
  <c r="N19" i="3"/>
  <c r="E19" i="3"/>
  <c r="D19" i="3"/>
  <c r="O18" i="3"/>
  <c r="N18" i="3"/>
  <c r="E18" i="3"/>
  <c r="D18" i="3"/>
  <c r="R90" i="2"/>
  <c r="R91" i="2"/>
  <c r="R92" i="2"/>
  <c r="R89" i="2"/>
  <c r="Q90" i="2"/>
  <c r="Q91" i="2"/>
  <c r="Q92" i="2"/>
  <c r="Q89" i="2"/>
  <c r="U33" i="2"/>
  <c r="U35" i="2"/>
  <c r="W35" i="2"/>
  <c r="W32" i="2"/>
  <c r="W31" i="2"/>
  <c r="W33" i="2"/>
  <c r="W34" i="2"/>
  <c r="W36" i="2"/>
  <c r="W37" i="2"/>
  <c r="W38" i="2"/>
  <c r="N2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M8" i="1"/>
  <c r="M9" i="1"/>
  <c r="O9" i="1" s="1"/>
  <c r="M10" i="1"/>
  <c r="M11" i="1"/>
  <c r="M12" i="1"/>
  <c r="M13" i="1"/>
  <c r="M14" i="1"/>
  <c r="M15" i="1"/>
  <c r="M16" i="1"/>
  <c r="M17" i="1"/>
  <c r="O17" i="1" s="1"/>
  <c r="M18" i="1"/>
  <c r="M19" i="1"/>
  <c r="M20" i="1"/>
  <c r="M21" i="1"/>
  <c r="O21" i="1" s="1"/>
  <c r="M22" i="1"/>
  <c r="M7" i="1"/>
  <c r="N74" i="2"/>
  <c r="N72" i="2"/>
  <c r="N70" i="2"/>
  <c r="V21" i="2"/>
  <c r="X16" i="2"/>
  <c r="X17" i="2"/>
  <c r="X18" i="2"/>
  <c r="X19" i="2"/>
  <c r="X20" i="2"/>
  <c r="V20" i="2" s="1"/>
  <c r="X21" i="2"/>
  <c r="X22" i="2"/>
  <c r="V22" i="2" s="1"/>
  <c r="X15" i="2"/>
  <c r="V15" i="2" s="1"/>
  <c r="O23" i="2" s="1"/>
  <c r="D7" i="2"/>
  <c r="D8" i="2"/>
  <c r="D9" i="2"/>
  <c r="D10" i="2"/>
  <c r="D11" i="2"/>
  <c r="D12" i="2"/>
  <c r="D13" i="2"/>
  <c r="D14" i="2"/>
  <c r="D16" i="2"/>
  <c r="W16" i="2" s="1"/>
  <c r="V16" i="2" s="1"/>
  <c r="D17" i="2"/>
  <c r="W17" i="2" s="1"/>
  <c r="V17" i="2" s="1"/>
  <c r="D18" i="2"/>
  <c r="W18" i="2" s="1"/>
  <c r="V18" i="2" s="1"/>
  <c r="D19" i="2"/>
  <c r="W19" i="2" s="1"/>
  <c r="V19" i="2" s="1"/>
  <c r="D20" i="2"/>
  <c r="W20" i="2" s="1"/>
  <c r="D21" i="2"/>
  <c r="W21" i="2" s="1"/>
  <c r="D22" i="2"/>
  <c r="W22" i="2" s="1"/>
  <c r="D15" i="2"/>
  <c r="W15" i="2" s="1"/>
  <c r="U16" i="2"/>
  <c r="Y16" i="2" s="1"/>
  <c r="U17" i="2"/>
  <c r="Y17" i="2" s="1"/>
  <c r="U18" i="2"/>
  <c r="U19" i="2"/>
  <c r="U20" i="2"/>
  <c r="U21" i="2"/>
  <c r="U22" i="2"/>
  <c r="U15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7" i="2"/>
  <c r="AA23" i="2"/>
  <c r="E46" i="2"/>
  <c r="H44" i="2" s="1"/>
  <c r="K26" i="2"/>
  <c r="K28" i="2" s="1"/>
  <c r="K29" i="2" s="1"/>
  <c r="F22" i="2"/>
  <c r="E22" i="2"/>
  <c r="U38" i="2" s="1"/>
  <c r="F21" i="2"/>
  <c r="E21" i="2"/>
  <c r="U37" i="2" s="1"/>
  <c r="F20" i="2"/>
  <c r="E20" i="2"/>
  <c r="U36" i="2" s="1"/>
  <c r="F19" i="2"/>
  <c r="E19" i="2"/>
  <c r="N75" i="2" s="1"/>
  <c r="F18" i="2"/>
  <c r="E18" i="2"/>
  <c r="U34" i="2" s="1"/>
  <c r="F17" i="2"/>
  <c r="E17" i="2"/>
  <c r="N73" i="2" s="1"/>
  <c r="F16" i="2"/>
  <c r="E16" i="2"/>
  <c r="U32" i="2" s="1"/>
  <c r="F15" i="2"/>
  <c r="E15" i="2"/>
  <c r="N71" i="2" s="1"/>
  <c r="F14" i="2"/>
  <c r="E14" i="2"/>
  <c r="F13" i="2"/>
  <c r="E13" i="2"/>
  <c r="N69" i="2" s="1"/>
  <c r="F12" i="2"/>
  <c r="E12" i="2"/>
  <c r="N68" i="2" s="1"/>
  <c r="F11" i="2"/>
  <c r="E11" i="2"/>
  <c r="N67" i="2" s="1"/>
  <c r="F10" i="2"/>
  <c r="E10" i="2"/>
  <c r="N66" i="2" s="1"/>
  <c r="F9" i="2"/>
  <c r="E9" i="2"/>
  <c r="N65" i="2" s="1"/>
  <c r="F8" i="2"/>
  <c r="E8" i="2"/>
  <c r="N64" i="2" s="1"/>
  <c r="F7" i="2"/>
  <c r="E7" i="2"/>
  <c r="N63" i="2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7" i="1"/>
  <c r="D4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/>
  <c r="AP33" i="1"/>
  <c r="AP27" i="1"/>
  <c r="AP28" i="1"/>
  <c r="AP29" i="1"/>
  <c r="AP30" i="1"/>
  <c r="AP31" i="1"/>
  <c r="AP32" i="1"/>
  <c r="AP26" i="1"/>
  <c r="AU27" i="1"/>
  <c r="AU28" i="1"/>
  <c r="AU29" i="1"/>
  <c r="AU30" i="1"/>
  <c r="AU31" i="1"/>
  <c r="AU32" i="1"/>
  <c r="AU33" i="1"/>
  <c r="AU26" i="1"/>
  <c r="AV27" i="1"/>
  <c r="AV28" i="1"/>
  <c r="AV29" i="1"/>
  <c r="AV30" i="1"/>
  <c r="AV31" i="1"/>
  <c r="AV32" i="1"/>
  <c r="AV33" i="1"/>
  <c r="AV26" i="1"/>
  <c r="AH42" i="1"/>
  <c r="AH43" i="1"/>
  <c r="AH44" i="1"/>
  <c r="AH45" i="1"/>
  <c r="AH46" i="1"/>
  <c r="AH47" i="1"/>
  <c r="AH48" i="1"/>
  <c r="AH49" i="1"/>
  <c r="AG43" i="1"/>
  <c r="AG44" i="1"/>
  <c r="AG45" i="1"/>
  <c r="AG46" i="1"/>
  <c r="AG47" i="1"/>
  <c r="AG48" i="1"/>
  <c r="AG49" i="1"/>
  <c r="AG4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G36" i="1"/>
  <c r="AH36" i="1"/>
  <c r="AI36" i="1"/>
  <c r="AJ36" i="1"/>
  <c r="AK36" i="1"/>
  <c r="AG37" i="1"/>
  <c r="AH37" i="1"/>
  <c r="AI37" i="1"/>
  <c r="AJ37" i="1"/>
  <c r="AK37" i="1"/>
  <c r="AG38" i="1"/>
  <c r="AH38" i="1"/>
  <c r="AI38" i="1"/>
  <c r="AJ38" i="1"/>
  <c r="AK38" i="1"/>
  <c r="AG39" i="1"/>
  <c r="AH39" i="1"/>
  <c r="AI39" i="1"/>
  <c r="AJ39" i="1"/>
  <c r="AK39" i="1"/>
  <c r="AH32" i="1"/>
  <c r="AI32" i="1"/>
  <c r="AJ32" i="1"/>
  <c r="AK32" i="1"/>
  <c r="AG32" i="1"/>
  <c r="V26" i="1"/>
  <c r="U26" i="1"/>
  <c r="Y24" i="1"/>
  <c r="V24" i="1"/>
  <c r="U24" i="1"/>
  <c r="O16" i="1" l="1"/>
  <c r="AG40" i="3"/>
  <c r="AE34" i="3"/>
  <c r="AK34" i="3"/>
  <c r="A63" i="3"/>
  <c r="D63" i="3" s="1"/>
  <c r="J65" i="3"/>
  <c r="AC40" i="3"/>
  <c r="A95" i="3"/>
  <c r="A96" i="3" s="1"/>
  <c r="Q35" i="3"/>
  <c r="S35" i="3"/>
  <c r="AE35" i="3"/>
  <c r="R35" i="3"/>
  <c r="F7" i="1"/>
  <c r="F11" i="1"/>
  <c r="O12" i="1"/>
  <c r="O20" i="1"/>
  <c r="O8" i="1"/>
  <c r="O19" i="1"/>
  <c r="O18" i="1"/>
  <c r="F12" i="1"/>
  <c r="O15" i="1"/>
  <c r="O7" i="1"/>
  <c r="O11" i="1"/>
  <c r="O14" i="1"/>
  <c r="O22" i="1"/>
  <c r="O10" i="1"/>
  <c r="O13" i="1"/>
  <c r="V25" i="1"/>
  <c r="F10" i="1"/>
  <c r="F20" i="1"/>
  <c r="F8" i="1"/>
  <c r="F22" i="1"/>
  <c r="F21" i="1"/>
  <c r="F9" i="1"/>
  <c r="F19" i="1"/>
  <c r="F13" i="1"/>
  <c r="F18" i="1"/>
  <c r="C63" i="3"/>
  <c r="C65" i="3" s="1"/>
  <c r="G35" i="3"/>
  <c r="H35" i="3" s="1"/>
  <c r="B93" i="3"/>
  <c r="B95" i="3" s="1"/>
  <c r="B97" i="3" s="1"/>
  <c r="C95" i="3"/>
  <c r="C96" i="3" s="1"/>
  <c r="D93" i="3"/>
  <c r="D95" i="3" s="1"/>
  <c r="D97" i="3" s="1"/>
  <c r="H52" i="3"/>
  <c r="K52" i="3" s="1"/>
  <c r="A65" i="3"/>
  <c r="D65" i="3"/>
  <c r="B63" i="3"/>
  <c r="E63" i="3" s="1"/>
  <c r="E65" i="3" s="1"/>
  <c r="P24" i="3"/>
  <c r="P27" i="3"/>
  <c r="P33" i="3"/>
  <c r="A51" i="3"/>
  <c r="A52" i="3" s="1"/>
  <c r="F47" i="3"/>
  <c r="D51" i="3"/>
  <c r="D52" i="3" s="1"/>
  <c r="E51" i="3"/>
  <c r="E52" i="3" s="1"/>
  <c r="J56" i="3" s="1"/>
  <c r="F46" i="3"/>
  <c r="B51" i="3"/>
  <c r="B52" i="3" s="1"/>
  <c r="F45" i="3"/>
  <c r="C51" i="3"/>
  <c r="C52" i="3" s="1"/>
  <c r="F44" i="3"/>
  <c r="F43" i="3"/>
  <c r="F18" i="3"/>
  <c r="F21" i="3"/>
  <c r="F24" i="3"/>
  <c r="F27" i="3"/>
  <c r="F33" i="3"/>
  <c r="F42" i="3"/>
  <c r="P18" i="3"/>
  <c r="P21" i="3"/>
  <c r="P19" i="3"/>
  <c r="P22" i="3"/>
  <c r="P25" i="3"/>
  <c r="P28" i="3"/>
  <c r="F32" i="3"/>
  <c r="P31" i="3"/>
  <c r="P32" i="3"/>
  <c r="F20" i="3"/>
  <c r="F23" i="3"/>
  <c r="F26" i="3"/>
  <c r="F29" i="3"/>
  <c r="P20" i="3"/>
  <c r="P23" i="3"/>
  <c r="P26" i="3"/>
  <c r="P29" i="3"/>
  <c r="F30" i="3"/>
  <c r="P30" i="3"/>
  <c r="F19" i="3"/>
  <c r="F22" i="3"/>
  <c r="F25" i="3"/>
  <c r="F28" i="3"/>
  <c r="F31" i="3"/>
  <c r="N76" i="2"/>
  <c r="N77" i="2"/>
  <c r="N78" i="2"/>
  <c r="U31" i="2"/>
  <c r="AL42" i="1"/>
  <c r="F17" i="1"/>
  <c r="F16" i="1"/>
  <c r="U28" i="1"/>
  <c r="U29" i="1" s="1"/>
  <c r="D24" i="2"/>
  <c r="G21" i="2"/>
  <c r="Y19" i="2"/>
  <c r="Y18" i="2"/>
  <c r="G13" i="2"/>
  <c r="G17" i="2"/>
  <c r="G14" i="2"/>
  <c r="Y15" i="2"/>
  <c r="Y22" i="2"/>
  <c r="Y20" i="2"/>
  <c r="Y21" i="2"/>
  <c r="G18" i="2"/>
  <c r="G9" i="2"/>
  <c r="G16" i="2"/>
  <c r="G8" i="2"/>
  <c r="G15" i="2"/>
  <c r="G10" i="2"/>
  <c r="G22" i="2"/>
  <c r="G11" i="2"/>
  <c r="G12" i="2"/>
  <c r="G7" i="2"/>
  <c r="O26" i="2" s="1"/>
  <c r="G19" i="2"/>
  <c r="G20" i="2"/>
  <c r="F14" i="1"/>
  <c r="F15" i="1"/>
  <c r="AL38" i="1"/>
  <c r="AL46" i="1"/>
  <c r="AL44" i="1"/>
  <c r="AL43" i="1"/>
  <c r="AV35" i="1"/>
  <c r="AL33" i="1"/>
  <c r="AL39" i="1"/>
  <c r="AL49" i="1"/>
  <c r="AL32" i="1"/>
  <c r="AL48" i="1"/>
  <c r="AL47" i="1"/>
  <c r="AL37" i="1"/>
  <c r="AL36" i="1"/>
  <c r="AL34" i="1"/>
  <c r="AL45" i="1"/>
  <c r="AL35" i="1"/>
  <c r="B24" i="1"/>
  <c r="A97" i="3" l="1"/>
  <c r="A98" i="3" s="1"/>
  <c r="B96" i="3"/>
  <c r="E93" i="3"/>
  <c r="E95" i="3" s="1"/>
  <c r="E96" i="3" s="1"/>
  <c r="D96" i="3"/>
  <c r="D98" i="3" s="1"/>
  <c r="C97" i="3"/>
  <c r="C98" i="3" s="1"/>
  <c r="H56" i="3"/>
  <c r="O24" i="1"/>
  <c r="F23" i="1"/>
  <c r="AN33" i="1"/>
  <c r="AN32" i="1"/>
  <c r="AK52" i="1" s="1"/>
  <c r="AL52" i="1" s="1"/>
  <c r="AM52" i="1" s="1"/>
  <c r="F24" i="1"/>
  <c r="E97" i="3"/>
  <c r="B98" i="3"/>
  <c r="I56" i="3"/>
  <c r="E67" i="3"/>
  <c r="E66" i="3"/>
  <c r="B65" i="3"/>
  <c r="A66" i="3"/>
  <c r="A67" i="3"/>
  <c r="D67" i="3"/>
  <c r="D66" i="3"/>
  <c r="C66" i="3"/>
  <c r="C67" i="3"/>
  <c r="F48" i="3"/>
  <c r="F49" i="3"/>
  <c r="B23" i="2"/>
  <c r="B24" i="2" s="1"/>
  <c r="S23" i="2"/>
  <c r="U23" i="2"/>
  <c r="V23" i="2"/>
  <c r="W23" i="2"/>
  <c r="X23" i="2"/>
  <c r="Y23" i="2"/>
  <c r="A23" i="2"/>
  <c r="R23" i="2"/>
  <c r="C23" i="2"/>
  <c r="C24" i="2" s="1"/>
  <c r="D23" i="2"/>
  <c r="E23" i="2"/>
  <c r="F23" i="2"/>
  <c r="G23" i="2"/>
  <c r="J23" i="2"/>
  <c r="K23" i="2"/>
  <c r="K24" i="2" s="1"/>
  <c r="L23" i="2"/>
  <c r="N23" i="2"/>
  <c r="Q23" i="2"/>
  <c r="AN39" i="1"/>
  <c r="AN38" i="1"/>
  <c r="AN34" i="1"/>
  <c r="AN36" i="1"/>
  <c r="AN37" i="1"/>
  <c r="AN35" i="1"/>
  <c r="J24" i="1"/>
  <c r="C24" i="1"/>
  <c r="AK56" i="1" l="1"/>
  <c r="AL56" i="1" s="1"/>
  <c r="AM56" i="1" s="1"/>
  <c r="E98" i="3"/>
  <c r="AK53" i="1"/>
  <c r="AL53" i="1" s="1"/>
  <c r="AK55" i="1"/>
  <c r="AL55" i="1" s="1"/>
  <c r="AM55" i="1" s="1"/>
  <c r="AK57" i="1"/>
  <c r="AL57" i="1" s="1"/>
  <c r="AM57" i="1" s="1"/>
  <c r="F51" i="3"/>
  <c r="F52" i="3" s="1"/>
  <c r="L52" i="3" s="1"/>
  <c r="E68" i="3"/>
  <c r="D68" i="3"/>
  <c r="C68" i="3"/>
  <c r="A68" i="3"/>
  <c r="B66" i="3"/>
  <c r="B67" i="3"/>
  <c r="AK54" i="1"/>
  <c r="AL54" i="1" s="1"/>
  <c r="AM54" i="1" s="1"/>
  <c r="L24" i="1"/>
  <c r="K24" i="1"/>
  <c r="AK59" i="1" l="1"/>
  <c r="B68" i="3"/>
  <c r="AM53" i="1"/>
  <c r="AM59" i="1" s="1"/>
  <c r="AL59" i="1"/>
  <c r="O24" i="2"/>
</calcChain>
</file>

<file path=xl/sharedStrings.xml><?xml version="1.0" encoding="utf-8"?>
<sst xmlns="http://schemas.openxmlformats.org/spreadsheetml/2006/main" count="201" uniqueCount="69">
  <si>
    <t>Week commencing</t>
  </si>
  <si>
    <t>Data</t>
  </si>
  <si>
    <t>Average</t>
  </si>
  <si>
    <t>Table 1:  Weekly outputs (tonnes)</t>
  </si>
  <si>
    <t>Upper</t>
  </si>
  <si>
    <t>Blue</t>
  </si>
  <si>
    <t>White</t>
  </si>
  <si>
    <t>Red</t>
  </si>
  <si>
    <t>Lower</t>
  </si>
  <si>
    <t>Table 2:  Milk Input (litres)</t>
  </si>
  <si>
    <t>Table 3:  Milk Quality</t>
  </si>
  <si>
    <t xml:space="preserve"> (% Butterfat)</t>
  </si>
  <si>
    <t>Table 4:  Allocated Product Costs (£ per kg)</t>
  </si>
  <si>
    <t>牛奶价格</t>
  </si>
  <si>
    <t>-</t>
  </si>
  <si>
    <t>总成本</t>
  </si>
  <si>
    <t>除去牛奶</t>
  </si>
  <si>
    <t>奶牛成本</t>
  </si>
  <si>
    <t>其他成本占比</t>
  </si>
  <si>
    <t>产率</t>
  </si>
  <si>
    <t>牛奶butterfat</t>
  </si>
  <si>
    <t>output</t>
  </si>
  <si>
    <t>理论</t>
  </si>
  <si>
    <t>实际</t>
  </si>
  <si>
    <t>其他成本</t>
  </si>
  <si>
    <t>产出</t>
  </si>
  <si>
    <t>成本</t>
  </si>
  <si>
    <t>input-&gt;实际产量</t>
  </si>
  <si>
    <t>blue牛奶成本</t>
  </si>
  <si>
    <t>总的牛奶成本</t>
  </si>
  <si>
    <t>white牛奶成本</t>
  </si>
  <si>
    <t>Selling price (£ per kg)</t>
  </si>
  <si>
    <t>Annual sales (tonnes)</t>
  </si>
  <si>
    <t>李锐</t>
  </si>
  <si>
    <t>总收益</t>
  </si>
  <si>
    <t>Average selling price (£ per kg)</t>
  </si>
  <si>
    <t xml:space="preserve"> </t>
  </si>
  <si>
    <t>bue成本upper</t>
  </si>
  <si>
    <t>white成本upper</t>
  </si>
  <si>
    <t>bue成本lower</t>
  </si>
  <si>
    <t>white成本lower</t>
  </si>
  <si>
    <t>red成本lower</t>
  </si>
  <si>
    <t>blue总收入</t>
  </si>
  <si>
    <t>white总收入</t>
  </si>
  <si>
    <t>red总收入</t>
  </si>
  <si>
    <t>总收入</t>
  </si>
  <si>
    <t>总利润</t>
  </si>
  <si>
    <t>y = 4413.2e-0.213x</t>
  </si>
  <si>
    <t>售价</t>
  </si>
  <si>
    <t>销量</t>
  </si>
  <si>
    <t>red利润</t>
  </si>
  <si>
    <t>white利润</t>
  </si>
  <si>
    <t>blue利润</t>
  </si>
  <si>
    <t>input</t>
  </si>
  <si>
    <t>blue-upper</t>
  </si>
  <si>
    <t>white-upper</t>
  </si>
  <si>
    <t>blue-lower</t>
  </si>
  <si>
    <t>white-lower</t>
  </si>
  <si>
    <t>red-lower</t>
  </si>
  <si>
    <t>butterfat</t>
  </si>
  <si>
    <t>收入</t>
  </si>
  <si>
    <t>利润</t>
  </si>
  <si>
    <t>upper</t>
  </si>
  <si>
    <t>lower</t>
  </si>
  <si>
    <t>blue占比</t>
  </si>
  <si>
    <t>white占比</t>
  </si>
  <si>
    <t>red占比</t>
  </si>
  <si>
    <t>蓝色上</t>
  </si>
  <si>
    <t>蓝色下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</si>
</sst>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#,##0.0000"/>
    <numFmt numFmtId="167" formatCode="#,##0.00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>
      <alignment vertical="top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15" fontId="1" fillId="0" borderId="0" xfId="0" applyNumberFormat="1" applyFont="1" applyFill="1" applyBorder="1" applyAlignment="1" applyProtection="1">
      <alignment horizontal="center" vertical="top"/>
    </xf>
    <xf numFmtId="2" fontId="1" fillId="0" borderId="0" xfId="0" applyNumberFormat="1" applyFont="1" applyFill="1" applyBorder="1" applyAlignment="1" applyProtection="1">
      <alignment vertical="top"/>
    </xf>
    <xf numFmtId="164" fontId="1" fillId="0" borderId="0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2" fontId="1" fillId="0" borderId="0" xfId="0" applyNumberFormat="1" applyFont="1" applyFill="1" applyBorder="1" applyAlignment="1" applyProtection="1">
      <alignment horizontal="center" vertical="top"/>
    </xf>
    <xf numFmtId="3" fontId="1" fillId="0" borderId="0" xfId="0" applyNumberFormat="1" applyFont="1" applyFill="1" applyBorder="1" applyAlignment="1" applyProtection="1">
      <alignment vertical="top"/>
    </xf>
    <xf numFmtId="3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164" fontId="1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/>
    <xf numFmtId="0" fontId="4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vertical="top"/>
    </xf>
    <xf numFmtId="165" fontId="1" fillId="0" borderId="0" xfId="1" applyNumberFormat="1" applyFont="1" applyFill="1" applyBorder="1" applyAlignment="1" applyProtection="1">
      <alignment vertical="top"/>
    </xf>
    <xf numFmtId="0" fontId="6" fillId="2" borderId="1" xfId="0" applyNumberFormat="1" applyFont="1" applyFill="1" applyBorder="1" applyAlignment="1" applyProtection="1">
      <alignment horizontal="justify" vertical="center" wrapText="1"/>
    </xf>
    <xf numFmtId="0" fontId="7" fillId="2" borderId="2" xfId="0" applyNumberFormat="1" applyFont="1" applyFill="1" applyBorder="1" applyAlignment="1" applyProtection="1">
      <alignment horizontal="justify" vertical="center" wrapText="1"/>
    </xf>
    <xf numFmtId="0" fontId="7" fillId="3" borderId="3" xfId="0" applyNumberFormat="1" applyFont="1" applyFill="1" applyBorder="1" applyAlignment="1" applyProtection="1">
      <alignment horizontal="justify" vertical="center" wrapText="1"/>
    </xf>
    <xf numFmtId="9" fontId="6" fillId="0" borderId="4" xfId="0" applyNumberFormat="1" applyFont="1" applyFill="1" applyBorder="1" applyAlignment="1" applyProtection="1">
      <alignment horizontal="justify" vertical="center" wrapText="1"/>
    </xf>
    <xf numFmtId="0" fontId="6" fillId="0" borderId="4" xfId="0" applyNumberFormat="1" applyFont="1" applyFill="1" applyBorder="1" applyAlignment="1" applyProtection="1">
      <alignment horizontal="justify" vertical="center" wrapText="1"/>
    </xf>
    <xf numFmtId="43" fontId="1" fillId="0" borderId="0" xfId="1" applyFont="1" applyFill="1" applyBorder="1" applyAlignment="1" applyProtection="1">
      <alignment horizontal="center" vertical="center"/>
    </xf>
    <xf numFmtId="43" fontId="1" fillId="0" borderId="0" xfId="0" applyNumberFormat="1" applyFont="1" applyFill="1" applyBorder="1" applyAlignment="1" applyProtection="1">
      <alignment vertical="top"/>
    </xf>
    <xf numFmtId="9" fontId="1" fillId="0" borderId="0" xfId="2" applyFont="1" applyFill="1" applyBorder="1" applyAlignment="1" applyProtection="1">
      <alignment vertical="top"/>
    </xf>
    <xf numFmtId="9" fontId="1" fillId="0" borderId="0" xfId="2" applyFont="1" applyFill="1" applyBorder="1" applyAlignment="1" applyProtection="1">
      <alignment horizontal="center" vertical="top"/>
    </xf>
    <xf numFmtId="166" fontId="1" fillId="0" borderId="0" xfId="0" applyNumberFormat="1" applyFont="1" applyFill="1" applyBorder="1" applyAlignment="1" applyProtection="1">
      <alignment vertical="top"/>
    </xf>
    <xf numFmtId="0" fontId="1" fillId="4" borderId="0" xfId="0" applyNumberFormat="1" applyFont="1" applyFill="1" applyBorder="1" applyAlignment="1" applyProtection="1">
      <alignment horizontal="center" vertical="top"/>
    </xf>
    <xf numFmtId="164" fontId="1" fillId="4" borderId="0" xfId="0" applyNumberFormat="1" applyFont="1" applyFill="1" applyBorder="1" applyAlignment="1" applyProtection="1">
      <alignment horizontal="center" vertical="top"/>
    </xf>
    <xf numFmtId="166" fontId="1" fillId="4" borderId="0" xfId="0" applyNumberFormat="1" applyFont="1" applyFill="1" applyBorder="1" applyAlignment="1" applyProtection="1">
      <alignment vertical="top"/>
    </xf>
    <xf numFmtId="2" fontId="1" fillId="4" borderId="0" xfId="0" applyNumberFormat="1" applyFont="1" applyFill="1" applyBorder="1" applyAlignment="1" applyProtection="1">
      <alignment horizontal="center" vertical="top"/>
    </xf>
    <xf numFmtId="2" fontId="1" fillId="5" borderId="0" xfId="0" applyNumberFormat="1" applyFont="1" applyFill="1" applyBorder="1" applyAlignment="1" applyProtection="1">
      <alignment horizontal="center" vertical="top"/>
    </xf>
    <xf numFmtId="43" fontId="1" fillId="0" borderId="0" xfId="1" applyFont="1" applyFill="1" applyBorder="1" applyAlignment="1" applyProtection="1">
      <alignment vertical="top"/>
    </xf>
    <xf numFmtId="164" fontId="4" fillId="0" borderId="0" xfId="0" applyNumberFormat="1" applyFont="1" applyFill="1" applyBorder="1" applyAlignment="1" applyProtection="1">
      <alignment horizontal="center" vertical="top"/>
    </xf>
    <xf numFmtId="9" fontId="4" fillId="0" borderId="0" xfId="2" applyFont="1" applyFill="1" applyBorder="1" applyAlignment="1" applyProtection="1">
      <alignment horizontal="center" vertical="top"/>
    </xf>
    <xf numFmtId="164" fontId="4" fillId="0" borderId="0" xfId="0" applyNumberFormat="1" applyFont="1" applyFill="1" applyBorder="1" applyAlignment="1" applyProtection="1">
      <alignment vertical="top"/>
    </xf>
    <xf numFmtId="2" fontId="4" fillId="0" borderId="0" xfId="0" applyNumberFormat="1" applyFont="1" applyFill="1" applyBorder="1" applyAlignment="1" applyProtection="1">
      <alignment horizontal="center" vertical="top"/>
    </xf>
    <xf numFmtId="0" fontId="7" fillId="2" borderId="1" xfId="0" applyNumberFormat="1" applyFont="1" applyFill="1" applyBorder="1" applyAlignment="1" applyProtection="1">
      <alignment horizontal="justify" vertical="center" wrapText="1"/>
    </xf>
    <xf numFmtId="0" fontId="6" fillId="0" borderId="3" xfId="0" applyNumberFormat="1" applyFont="1" applyFill="1" applyBorder="1" applyAlignment="1" applyProtection="1">
      <alignment horizontal="justify" vertical="center" wrapText="1"/>
    </xf>
    <xf numFmtId="0" fontId="6" fillId="0" borderId="0" xfId="0" applyNumberFormat="1" applyFont="1" applyFill="1" applyBorder="1" applyAlignment="1" applyProtection="1">
      <alignment horizontal="justify" vertical="center" wrapText="1"/>
    </xf>
    <xf numFmtId="0" fontId="6" fillId="4" borderId="4" xfId="0" applyNumberFormat="1" applyFont="1" applyFill="1" applyBorder="1" applyAlignment="1" applyProtection="1">
      <alignment horizontal="justify" vertical="center" wrapText="1"/>
    </xf>
    <xf numFmtId="9" fontId="6" fillId="0" borderId="4" xfId="2" applyFont="1" applyFill="1" applyBorder="1" applyAlignment="1" applyProtection="1">
      <alignment horizontal="justify" vertical="center" wrapText="1"/>
    </xf>
    <xf numFmtId="0" fontId="7" fillId="3" borderId="1" xfId="0" applyNumberFormat="1" applyFont="1" applyFill="1" applyBorder="1" applyAlignment="1" applyProtection="1">
      <alignment horizontal="justify" vertical="center" wrapText="1"/>
    </xf>
    <xf numFmtId="0" fontId="6" fillId="0" borderId="2" xfId="0" applyNumberFormat="1" applyFont="1" applyFill="1" applyBorder="1" applyAlignment="1" applyProtection="1">
      <alignment horizontal="justify" vertical="center" wrapText="1"/>
    </xf>
    <xf numFmtId="0" fontId="4" fillId="4" borderId="0" xfId="0" applyNumberFormat="1" applyFont="1" applyFill="1" applyBorder="1" applyAlignment="1" applyProtection="1">
      <alignment horizontal="center" vertical="top"/>
    </xf>
    <xf numFmtId="2" fontId="4" fillId="0" borderId="0" xfId="0" applyNumberFormat="1" applyFont="1" applyFill="1" applyBorder="1" applyAlignment="1" applyProtection="1">
      <alignment vertical="top"/>
    </xf>
    <xf numFmtId="9" fontId="1" fillId="0" borderId="0" xfId="0" applyNumberFormat="1" applyFont="1" applyFill="1" applyBorder="1" applyAlignment="1" applyProtection="1">
      <alignment vertical="top"/>
    </xf>
    <xf numFmtId="167" fontId="1" fillId="0" borderId="0" xfId="0" applyNumberFormat="1" applyFont="1" applyFill="1" applyBorder="1" applyAlignment="1" applyProtection="1">
      <alignment vertical="top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黄油含量</a:t>
            </a:r>
            <a:r>
              <a:rPr lang="en-US" altLang="zh-CN"/>
              <a:t>-</a:t>
            </a:r>
            <a:r>
              <a:rPr lang="zh-CN" altLang="en-US"/>
              <a:t>产率</a:t>
            </a:r>
            <a:endParaRPr lang="en-US"/>
          </a:p>
        </c:rich>
      </c:tx>
      <c:layout>
        <c:manualLayout>
          <c:xMode val="edge"/>
          <c:yMode val="edge"/>
          <c:x val="0.35762047157250909"/>
          <c:y val="3.2407419221135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426224846894139"/>
                  <c:y val="9.08829104695246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(2)'!$I$48:$I$63</c:f>
              <c:numCache>
                <c:formatCode>General</c:formatCode>
                <c:ptCount val="16"/>
                <c:pt idx="0">
                  <c:v>4.5</c:v>
                </c:pt>
                <c:pt idx="1">
                  <c:v>4.3</c:v>
                </c:pt>
                <c:pt idx="2">
                  <c:v>3.7</c:v>
                </c:pt>
                <c:pt idx="3">
                  <c:v>4.2</c:v>
                </c:pt>
                <c:pt idx="4">
                  <c:v>3.8</c:v>
                </c:pt>
                <c:pt idx="5">
                  <c:v>4.4000000000000004</c:v>
                </c:pt>
                <c:pt idx="6">
                  <c:v>4.3</c:v>
                </c:pt>
                <c:pt idx="7">
                  <c:v>3.9</c:v>
                </c:pt>
                <c:pt idx="8">
                  <c:v>3.7</c:v>
                </c:pt>
                <c:pt idx="9">
                  <c:v>3.8</c:v>
                </c:pt>
                <c:pt idx="10">
                  <c:v>4.0999999999999996</c:v>
                </c:pt>
                <c:pt idx="11">
                  <c:v>3.6</c:v>
                </c:pt>
                <c:pt idx="12">
                  <c:v>3.9</c:v>
                </c:pt>
                <c:pt idx="13">
                  <c:v>4</c:v>
                </c:pt>
                <c:pt idx="14">
                  <c:v>4.2</c:v>
                </c:pt>
                <c:pt idx="15">
                  <c:v>3.7</c:v>
                </c:pt>
              </c:numCache>
            </c:numRef>
          </c:xVal>
          <c:yVal>
            <c:numRef>
              <c:f>'Data (2)'!$J$48:$J$63</c:f>
              <c:numCache>
                <c:formatCode>0%</c:formatCode>
                <c:ptCount val="16"/>
                <c:pt idx="0">
                  <c:v>0.8887362637362638</c:v>
                </c:pt>
                <c:pt idx="1">
                  <c:v>0.93002028397565928</c:v>
                </c:pt>
                <c:pt idx="2">
                  <c:v>1.0805555555555555</c:v>
                </c:pt>
                <c:pt idx="3">
                  <c:v>0.95192307692307687</c:v>
                </c:pt>
                <c:pt idx="4">
                  <c:v>1.0528169014084505</c:v>
                </c:pt>
                <c:pt idx="5">
                  <c:v>0.90874159462055726</c:v>
                </c:pt>
                <c:pt idx="6">
                  <c:v>0.92987804878048785</c:v>
                </c:pt>
                <c:pt idx="7">
                  <c:v>1.0255362614913177</c:v>
                </c:pt>
                <c:pt idx="8">
                  <c:v>1.0819672131147542</c:v>
                </c:pt>
                <c:pt idx="9">
                  <c:v>1.0527131782945736</c:v>
                </c:pt>
                <c:pt idx="10">
                  <c:v>0.97563176895306847</c:v>
                </c:pt>
                <c:pt idx="11">
                  <c:v>1.1102803738317757</c:v>
                </c:pt>
                <c:pt idx="12">
                  <c:v>1.0258064516129033</c:v>
                </c:pt>
                <c:pt idx="13">
                  <c:v>1</c:v>
                </c:pt>
                <c:pt idx="14">
                  <c:v>0.95202020202020199</c:v>
                </c:pt>
                <c:pt idx="15">
                  <c:v>1.0808219178082192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2-40A3-A14A-F9E713D7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56623"/>
        <c:axId val="1458448127"/>
      </c:scatterChart>
      <c:valAx>
        <c:axId val="11965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48127"/>
        <c:crosses val="autoZero"/>
        <c:crossBetween val="midCat"/>
      </c:valAx>
      <c:valAx>
        <c:axId val="14584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5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Sheet1!$AC$41:$AC$48</c:f>
              <c:numCache>
                <c:formatCode>0.0</c:formatCode>
                <c:ptCount val="8"/>
                <c:pt idx="0">
                  <c:v>16486.486486486487</c:v>
                </c:pt>
                <c:pt idx="1">
                  <c:v>16973.684210526317</c:v>
                </c:pt>
                <c:pt idx="2">
                  <c:v>27024.390243902442</c:v>
                </c:pt>
                <c:pt idx="3">
                  <c:v>14861.111111111111</c:v>
                </c:pt>
                <c:pt idx="4">
                  <c:v>15897.435897435898</c:v>
                </c:pt>
                <c:pt idx="5">
                  <c:v>25850</c:v>
                </c:pt>
                <c:pt idx="6">
                  <c:v>28285.714285714286</c:v>
                </c:pt>
                <c:pt idx="7">
                  <c:v>19729.72972972973</c:v>
                </c:pt>
              </c:numCache>
            </c:numRef>
          </c:xVal>
          <c:yVal>
            <c:numRef>
              <c:f>Sheet1!$AD$41:$AD$48</c:f>
              <c:numCache>
                <c:formatCode>General</c:formatCode>
                <c:ptCount val="8"/>
                <c:pt idx="0">
                  <c:v>64.608400000000003</c:v>
                </c:pt>
                <c:pt idx="1">
                  <c:v>58.910200000000003</c:v>
                </c:pt>
                <c:pt idx="2">
                  <c:v>74.665899999999993</c:v>
                </c:pt>
                <c:pt idx="3">
                  <c:v>58.397999999999996</c:v>
                </c:pt>
                <c:pt idx="4">
                  <c:v>61.293700000000001</c:v>
                </c:pt>
                <c:pt idx="5">
                  <c:v>68.084199999999996</c:v>
                </c:pt>
                <c:pt idx="6">
                  <c:v>76.349000000000004</c:v>
                </c:pt>
                <c:pt idx="7">
                  <c:v>58.958399999999997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C-4705-8663-6A931A2F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02800"/>
        <c:axId val="1857604048"/>
      </c:scatterChart>
      <c:valAx>
        <c:axId val="18576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04048"/>
        <c:crosses val="autoZero"/>
        <c:crossBetween val="midCat"/>
      </c:valAx>
      <c:valAx>
        <c:axId val="18576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Sheet1!$AG$41:$AG$48</c:f>
              <c:numCache>
                <c:formatCode>0.0</c:formatCode>
                <c:ptCount val="8"/>
                <c:pt idx="0">
                  <c:v>34162.16216216216</c:v>
                </c:pt>
                <c:pt idx="1">
                  <c:v>37342.105263157893</c:v>
                </c:pt>
                <c:pt idx="2">
                  <c:v>47512.195121951227</c:v>
                </c:pt>
                <c:pt idx="3">
                  <c:v>40444.444444444445</c:v>
                </c:pt>
                <c:pt idx="4">
                  <c:v>41076.923076923078</c:v>
                </c:pt>
                <c:pt idx="5">
                  <c:v>43125</c:v>
                </c:pt>
                <c:pt idx="6">
                  <c:v>41547.619047619046</c:v>
                </c:pt>
                <c:pt idx="7">
                  <c:v>37108.108108108107</c:v>
                </c:pt>
              </c:numCache>
            </c:numRef>
          </c:xVal>
          <c:yVal>
            <c:numRef>
              <c:f>Sheet1!$AH$41:$AH$48</c:f>
              <c:numCache>
                <c:formatCode>General</c:formatCode>
                <c:ptCount val="8"/>
                <c:pt idx="0">
                  <c:v>103.1078</c:v>
                </c:pt>
                <c:pt idx="1">
                  <c:v>119.0204</c:v>
                </c:pt>
                <c:pt idx="2">
                  <c:v>119.6463</c:v>
                </c:pt>
                <c:pt idx="3">
                  <c:v>115.63730000000001</c:v>
                </c:pt>
                <c:pt idx="4">
                  <c:v>129.10480000000001</c:v>
                </c:pt>
                <c:pt idx="5">
                  <c:v>114.38159999999999</c:v>
                </c:pt>
                <c:pt idx="6">
                  <c:v>130.61759999999998</c:v>
                </c:pt>
                <c:pt idx="7">
                  <c:v>119.01009999999999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1-4D9C-ACB6-3BB0BF4B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49360"/>
        <c:axId val="1876450192"/>
      </c:scatterChart>
      <c:valAx>
        <c:axId val="18764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50192"/>
        <c:crosses val="autoZero"/>
        <c:crossBetween val="midCat"/>
      </c:valAx>
      <c:valAx>
        <c:axId val="18764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Sheet1!$AJ$41:$AJ$48</c:f>
              <c:numCache>
                <c:formatCode>#,##0.000</c:formatCode>
                <c:ptCount val="8"/>
                <c:pt idx="0">
                  <c:v>0.9621621621621621</c:v>
                </c:pt>
                <c:pt idx="1">
                  <c:v>0.97105263157894739</c:v>
                </c:pt>
                <c:pt idx="2">
                  <c:v>1.3951219512195123</c:v>
                </c:pt>
                <c:pt idx="3">
                  <c:v>0.98333333333333328</c:v>
                </c:pt>
                <c:pt idx="4">
                  <c:v>0.87948717948717958</c:v>
                </c:pt>
                <c:pt idx="5">
                  <c:v>1.3674999999999999</c:v>
                </c:pt>
                <c:pt idx="6">
                  <c:v>1.4547619047619047</c:v>
                </c:pt>
                <c:pt idx="7">
                  <c:v>1.1297297297297295</c:v>
                </c:pt>
              </c:numCache>
            </c:numRef>
          </c:xVal>
          <c:yVal>
            <c:numRef>
              <c:f>Sheet1!$AK$41:$AK$48</c:f>
              <c:numCache>
                <c:formatCode>0.00</c:formatCode>
                <c:ptCount val="8"/>
                <c:pt idx="0">
                  <c:v>10.89</c:v>
                </c:pt>
                <c:pt idx="1">
                  <c:v>9.58</c:v>
                </c:pt>
                <c:pt idx="2">
                  <c:v>7.83</c:v>
                </c:pt>
                <c:pt idx="3">
                  <c:v>9.9</c:v>
                </c:pt>
                <c:pt idx="4">
                  <c:v>10.72</c:v>
                </c:pt>
                <c:pt idx="5">
                  <c:v>7.47</c:v>
                </c:pt>
                <c:pt idx="6">
                  <c:v>7.5</c:v>
                </c:pt>
                <c:pt idx="7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4-44AB-A405-D69C4AD8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20576"/>
        <c:axId val="1887618080"/>
      </c:scatterChart>
      <c:valAx>
        <c:axId val="18876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18080"/>
        <c:crosses val="autoZero"/>
        <c:crossBetween val="midCat"/>
      </c:valAx>
      <c:valAx>
        <c:axId val="18876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Sheet1!$AM$41:$AM$48</c:f>
              <c:numCache>
                <c:formatCode>0.00</c:formatCode>
                <c:ptCount val="8"/>
                <c:pt idx="0">
                  <c:v>2.72</c:v>
                </c:pt>
                <c:pt idx="1">
                  <c:v>4.24</c:v>
                </c:pt>
                <c:pt idx="2">
                  <c:v>4.5999999999999996</c:v>
                </c:pt>
                <c:pt idx="3">
                  <c:v>4.5599999999999996</c:v>
                </c:pt>
                <c:pt idx="4">
                  <c:v>4.75</c:v>
                </c:pt>
                <c:pt idx="5">
                  <c:v>4.92</c:v>
                </c:pt>
                <c:pt idx="6">
                  <c:v>4.92</c:v>
                </c:pt>
                <c:pt idx="7">
                  <c:v>4.55</c:v>
                </c:pt>
              </c:numCache>
            </c:numRef>
          </c:xVal>
          <c:yVal>
            <c:numRef>
              <c:f>Sheet1!$AN$41:$AN$48</c:f>
              <c:numCache>
                <c:formatCode>0.00</c:formatCode>
                <c:ptCount val="8"/>
                <c:pt idx="0">
                  <c:v>11.37</c:v>
                </c:pt>
                <c:pt idx="1">
                  <c:v>8.42</c:v>
                </c:pt>
                <c:pt idx="2">
                  <c:v>7.8</c:v>
                </c:pt>
                <c:pt idx="3">
                  <c:v>7.61</c:v>
                </c:pt>
                <c:pt idx="4">
                  <c:v>8.16</c:v>
                </c:pt>
                <c:pt idx="5">
                  <c:v>6.97</c:v>
                </c:pt>
                <c:pt idx="6">
                  <c:v>7.96</c:v>
                </c:pt>
                <c:pt idx="7">
                  <c:v>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D-4C59-B303-97C4706B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34144"/>
        <c:axId val="1856534976"/>
      </c:scatterChart>
      <c:valAx>
        <c:axId val="18565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34976"/>
        <c:crosses val="autoZero"/>
        <c:crossBetween val="midCat"/>
      </c:valAx>
      <c:valAx>
        <c:axId val="18565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Data!$AS$25</c:f>
              <c:strCache>
                <c:ptCount val="1"/>
                <c:pt idx="0">
                  <c:v>总成本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Data!$AR$26:$AR$33</c:f>
              <c:numCache>
                <c:formatCode>d\-mmm\-yy</c:formatCode>
                <c:ptCount val="8"/>
                <c:pt idx="0">
                  <c:v>44081</c:v>
                </c:pt>
                <c:pt idx="1">
                  <c:v>44088</c:v>
                </c:pt>
                <c:pt idx="2">
                  <c:v>44095</c:v>
                </c:pt>
                <c:pt idx="3">
                  <c:v>44102</c:v>
                </c:pt>
                <c:pt idx="4">
                  <c:v>44109</c:v>
                </c:pt>
                <c:pt idx="5">
                  <c:v>44116</c:v>
                </c:pt>
                <c:pt idx="6">
                  <c:v>44123</c:v>
                </c:pt>
                <c:pt idx="7">
                  <c:v>44130</c:v>
                </c:pt>
              </c:numCache>
            </c:numRef>
          </c:cat>
          <c:val>
            <c:numRef>
              <c:f>Data!$AS$26:$AS$33</c:f>
              <c:numCache>
                <c:formatCode>General</c:formatCode>
                <c:ptCount val="8"/>
                <c:pt idx="0">
                  <c:v>167716.20000000001</c:v>
                </c:pt>
                <c:pt idx="1">
                  <c:v>177930.60000000003</c:v>
                </c:pt>
                <c:pt idx="2">
                  <c:v>194312.19999999998</c:v>
                </c:pt>
                <c:pt idx="3">
                  <c:v>174035.30000000002</c:v>
                </c:pt>
                <c:pt idx="4">
                  <c:v>190398.5</c:v>
                </c:pt>
                <c:pt idx="5">
                  <c:v>182465.8</c:v>
                </c:pt>
                <c:pt idx="6">
                  <c:v>206966.60000000003</c:v>
                </c:pt>
                <c:pt idx="7">
                  <c:v>177968.5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E-496E-9A63-96A7367310A0}"/>
            </c:ext>
          </c:extLst>
        </c:ser>
        <c:ser>
          <c:idx val="1"/>
          <c:order val="1"/>
          <c:tx>
            <c:strRef>
              <c:f>Data!$AT$25</c:f>
              <c:strCache>
                <c:ptCount val="1"/>
                <c:pt idx="0">
                  <c:v>奶牛成本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Data!$AR$26:$AR$33</c:f>
              <c:numCache>
                <c:formatCode>d\-mmm\-yy</c:formatCode>
                <c:ptCount val="8"/>
                <c:pt idx="0">
                  <c:v>44081</c:v>
                </c:pt>
                <c:pt idx="1">
                  <c:v>44088</c:v>
                </c:pt>
                <c:pt idx="2">
                  <c:v>44095</c:v>
                </c:pt>
                <c:pt idx="3">
                  <c:v>44102</c:v>
                </c:pt>
                <c:pt idx="4">
                  <c:v>44109</c:v>
                </c:pt>
                <c:pt idx="5">
                  <c:v>44116</c:v>
                </c:pt>
                <c:pt idx="6">
                  <c:v>44123</c:v>
                </c:pt>
                <c:pt idx="7">
                  <c:v>44130</c:v>
                </c:pt>
              </c:numCache>
            </c:numRef>
          </c:cat>
          <c:val>
            <c:numRef>
              <c:f>Data!$AT$26:$AT$33</c:f>
              <c:numCache>
                <c:formatCode>General</c:formatCode>
                <c:ptCount val="8"/>
                <c:pt idx="0">
                  <c:v>44976</c:v>
                </c:pt>
                <c:pt idx="1">
                  <c:v>49536</c:v>
                </c:pt>
                <c:pt idx="2">
                  <c:v>73344</c:v>
                </c:pt>
                <c:pt idx="3">
                  <c:v>47784</c:v>
                </c:pt>
                <c:pt idx="4">
                  <c:v>53328</c:v>
                </c:pt>
                <c:pt idx="5">
                  <c:v>66216</c:v>
                </c:pt>
                <c:pt idx="6">
                  <c:v>70392</c:v>
                </c:pt>
                <c:pt idx="7">
                  <c:v>50472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E-496E-9A63-96A73673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573311"/>
        <c:axId val="367572479"/>
      </c:lineChart>
      <c:dateAx>
        <c:axId val="36757331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2479"/>
        <c:crosses val="autoZero"/>
        <c:auto val="1"/>
        <c:lblOffset val="100"/>
        <c:baseTimeUnit val="days"/>
      </c:dateAx>
      <c:valAx>
        <c:axId val="3675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426224846894139"/>
                  <c:y val="9.08829104695246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Data!$S$48:$S$63</c:f>
              <c:numCache>
                <c:formatCode>General</c:formatCode>
                <c:ptCount val="16"/>
                <c:pt idx="0">
                  <c:v>4.5</c:v>
                </c:pt>
                <c:pt idx="1">
                  <c:v>4.3</c:v>
                </c:pt>
                <c:pt idx="2">
                  <c:v>3.7</c:v>
                </c:pt>
                <c:pt idx="3">
                  <c:v>4.2</c:v>
                </c:pt>
                <c:pt idx="4">
                  <c:v>3.8</c:v>
                </c:pt>
                <c:pt idx="5">
                  <c:v>4.4000000000000004</c:v>
                </c:pt>
                <c:pt idx="6">
                  <c:v>4.3</c:v>
                </c:pt>
                <c:pt idx="7">
                  <c:v>3.9</c:v>
                </c:pt>
                <c:pt idx="8">
                  <c:v>3.7</c:v>
                </c:pt>
                <c:pt idx="9">
                  <c:v>3.8</c:v>
                </c:pt>
                <c:pt idx="10">
                  <c:v>4.0999999999999996</c:v>
                </c:pt>
                <c:pt idx="11">
                  <c:v>3.6</c:v>
                </c:pt>
                <c:pt idx="12">
                  <c:v>3.9</c:v>
                </c:pt>
                <c:pt idx="13">
                  <c:v>4</c:v>
                </c:pt>
                <c:pt idx="14">
                  <c:v>4.2</c:v>
                </c:pt>
                <c:pt idx="15">
                  <c:v>3.7</c:v>
                </c:pt>
              </c:numCache>
            </c:numRef>
          </c:xVal>
          <c:yVal>
            <c:numRef>
              <c:f>Data!$T$48:$T$63</c:f>
              <c:numCache>
                <c:formatCode>0%</c:formatCode>
                <c:ptCount val="16"/>
                <c:pt idx="0">
                  <c:v>0.8887362637362638</c:v>
                </c:pt>
                <c:pt idx="1">
                  <c:v>0.93002028397565928</c:v>
                </c:pt>
                <c:pt idx="2">
                  <c:v>1.0805555555555555</c:v>
                </c:pt>
                <c:pt idx="3">
                  <c:v>0.95192307692307687</c:v>
                </c:pt>
                <c:pt idx="4">
                  <c:v>1.0528169014084505</c:v>
                </c:pt>
                <c:pt idx="5">
                  <c:v>0.90874159462055726</c:v>
                </c:pt>
                <c:pt idx="6">
                  <c:v>0.92987804878048785</c:v>
                </c:pt>
                <c:pt idx="7">
                  <c:v>1.0255362614913177</c:v>
                </c:pt>
                <c:pt idx="8">
                  <c:v>1.0819672131147542</c:v>
                </c:pt>
                <c:pt idx="9">
                  <c:v>1.0527131782945736</c:v>
                </c:pt>
                <c:pt idx="10">
                  <c:v>0.97563176895306847</c:v>
                </c:pt>
                <c:pt idx="11">
                  <c:v>1.1102803738317757</c:v>
                </c:pt>
                <c:pt idx="12">
                  <c:v>1.0258064516129033</c:v>
                </c:pt>
                <c:pt idx="13">
                  <c:v>1</c:v>
                </c:pt>
                <c:pt idx="14">
                  <c:v>0.95202020202020199</c:v>
                </c:pt>
                <c:pt idx="15">
                  <c:v>1.0808219178082192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8-4CE4-95B6-3DBA5B4F8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56623"/>
        <c:axId val="1458448127"/>
      </c:scatterChart>
      <c:valAx>
        <c:axId val="11965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48127"/>
        <c:crosses val="autoZero"/>
        <c:crossBetween val="midCat"/>
      </c:valAx>
      <c:valAx>
        <c:axId val="14584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5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(2)'!$AA$15:$AA$22</c:f>
              <c:numCache>
                <c:formatCode>General</c:formatCode>
                <c:ptCount val="8"/>
                <c:pt idx="0">
                  <c:v>6.6</c:v>
                </c:pt>
                <c:pt idx="1">
                  <c:v>6.79</c:v>
                </c:pt>
                <c:pt idx="2">
                  <c:v>10.809999999999999</c:v>
                </c:pt>
                <c:pt idx="3">
                  <c:v>5.9399999999999995</c:v>
                </c:pt>
                <c:pt idx="4">
                  <c:v>6.36</c:v>
                </c:pt>
                <c:pt idx="5">
                  <c:v>10.34</c:v>
                </c:pt>
                <c:pt idx="6">
                  <c:v>11.31</c:v>
                </c:pt>
                <c:pt idx="7">
                  <c:v>7.89</c:v>
                </c:pt>
              </c:numCache>
            </c:numRef>
          </c:xVal>
          <c:yVal>
            <c:numRef>
              <c:f>'Data (2)'!$AB$15:$AB$22</c:f>
              <c:numCache>
                <c:formatCode>General</c:formatCode>
                <c:ptCount val="8"/>
                <c:pt idx="0">
                  <c:v>49968.4</c:v>
                </c:pt>
                <c:pt idx="1">
                  <c:v>43430.200000000004</c:v>
                </c:pt>
                <c:pt idx="2">
                  <c:v>48073.899999999994</c:v>
                </c:pt>
                <c:pt idx="3">
                  <c:v>45557.999999999993</c:v>
                </c:pt>
                <c:pt idx="4">
                  <c:v>46413.700000000004</c:v>
                </c:pt>
                <c:pt idx="5">
                  <c:v>43268.2</c:v>
                </c:pt>
                <c:pt idx="6">
                  <c:v>47837</c:v>
                </c:pt>
                <c:pt idx="7">
                  <c:v>41438.399999999994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9-498C-9E2E-208FF35D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587967"/>
        <c:axId val="1534588383"/>
      </c:scatterChart>
      <c:valAx>
        <c:axId val="15345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88383"/>
        <c:crosses val="autoZero"/>
        <c:crossBetween val="midCat"/>
      </c:valAx>
      <c:valAx>
        <c:axId val="15345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7801312335958006"/>
                  <c:y val="-2.67796733741615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(2)'!$U$31:$U$38</c:f>
              <c:numCache>
                <c:formatCode>0.00</c:formatCode>
                <c:ptCount val="8"/>
                <c:pt idx="0">
                  <c:v>8695</c:v>
                </c:pt>
                <c:pt idx="1">
                  <c:v>8749.5000000000018</c:v>
                </c:pt>
                <c:pt idx="2">
                  <c:v>5319.7500000000009</c:v>
                </c:pt>
                <c:pt idx="3">
                  <c:v>9054</c:v>
                </c:pt>
                <c:pt idx="4">
                  <c:v>9399</c:v>
                </c:pt>
                <c:pt idx="5">
                  <c:v>5660</c:v>
                </c:pt>
                <c:pt idx="6">
                  <c:v>4924.5</c:v>
                </c:pt>
                <c:pt idx="7">
                  <c:v>7501.7499999999991</c:v>
                </c:pt>
              </c:numCache>
            </c:numRef>
          </c:xVal>
          <c:yVal>
            <c:numRef>
              <c:f>'Data (2)'!$W$31:$W$38</c:f>
              <c:numCache>
                <c:formatCode>General</c:formatCode>
                <c:ptCount val="8"/>
                <c:pt idx="0">
                  <c:v>0.24128400000000003</c:v>
                </c:pt>
                <c:pt idx="1">
                  <c:v>0.19870200000000005</c:v>
                </c:pt>
                <c:pt idx="2">
                  <c:v>0.18195599999999998</c:v>
                </c:pt>
                <c:pt idx="3">
                  <c:v>0.22206000000000001</c:v>
                </c:pt>
                <c:pt idx="4">
                  <c:v>0.21889600000000006</c:v>
                </c:pt>
                <c:pt idx="5">
                  <c:v>0.16044899999999995</c:v>
                </c:pt>
                <c:pt idx="6">
                  <c:v>0.17313000000000001</c:v>
                </c:pt>
                <c:pt idx="7">
                  <c:v>0.17842800000000003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4-4BDD-9335-A0434BF10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75456"/>
        <c:axId val="1125074624"/>
      </c:scatterChart>
      <c:valAx>
        <c:axId val="11250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74624"/>
        <c:crosses val="autoZero"/>
        <c:crossBetween val="midCat"/>
      </c:valAx>
      <c:valAx>
        <c:axId val="11250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(2)'!$M$63:$M$78</c:f>
              <c:numCache>
                <c:formatCode>0.0</c:formatCode>
                <c:ptCount val="16"/>
                <c:pt idx="0">
                  <c:v>4.5</c:v>
                </c:pt>
                <c:pt idx="1">
                  <c:v>4.3</c:v>
                </c:pt>
                <c:pt idx="2">
                  <c:v>3.7</c:v>
                </c:pt>
                <c:pt idx="3">
                  <c:v>4.2</c:v>
                </c:pt>
                <c:pt idx="4">
                  <c:v>3.8</c:v>
                </c:pt>
                <c:pt idx="5">
                  <c:v>4.4000000000000004</c:v>
                </c:pt>
                <c:pt idx="6">
                  <c:v>4.3</c:v>
                </c:pt>
                <c:pt idx="7">
                  <c:v>3.9</c:v>
                </c:pt>
                <c:pt idx="8">
                  <c:v>3.7</c:v>
                </c:pt>
                <c:pt idx="9">
                  <c:v>3.8</c:v>
                </c:pt>
                <c:pt idx="10">
                  <c:v>4.0999999999999996</c:v>
                </c:pt>
                <c:pt idx="11">
                  <c:v>3.6</c:v>
                </c:pt>
                <c:pt idx="12">
                  <c:v>3.9</c:v>
                </c:pt>
                <c:pt idx="13">
                  <c:v>4</c:v>
                </c:pt>
                <c:pt idx="14">
                  <c:v>4.2</c:v>
                </c:pt>
                <c:pt idx="15">
                  <c:v>3.7</c:v>
                </c:pt>
              </c:numCache>
            </c:numRef>
          </c:xVal>
          <c:yVal>
            <c:numRef>
              <c:f>'Data (2)'!$N$63:$N$78</c:f>
              <c:numCache>
                <c:formatCode>General</c:formatCode>
                <c:ptCount val="16"/>
                <c:pt idx="0">
                  <c:v>11251.93199381762</c:v>
                </c:pt>
                <c:pt idx="1">
                  <c:v>10752.453653217011</c:v>
                </c:pt>
                <c:pt idx="2">
                  <c:v>9254.4987146529566</c:v>
                </c:pt>
                <c:pt idx="3">
                  <c:v>10505.050505050505</c:v>
                </c:pt>
                <c:pt idx="4">
                  <c:v>9498.3277591973256</c:v>
                </c:pt>
                <c:pt idx="5">
                  <c:v>11004.228329809725</c:v>
                </c:pt>
                <c:pt idx="6">
                  <c:v>10754.098360655737</c:v>
                </c:pt>
                <c:pt idx="7">
                  <c:v>9750.9960159362563</c:v>
                </c:pt>
                <c:pt idx="8">
                  <c:v>9242.424242424242</c:v>
                </c:pt>
                <c:pt idx="9">
                  <c:v>9499.2636229749623</c:v>
                </c:pt>
                <c:pt idx="10">
                  <c:v>10249.768732654951</c:v>
                </c:pt>
                <c:pt idx="11">
                  <c:v>9006.7340067340083</c:v>
                </c:pt>
                <c:pt idx="12">
                  <c:v>9748.4276729559751</c:v>
                </c:pt>
                <c:pt idx="13">
                  <c:v>10000</c:v>
                </c:pt>
                <c:pt idx="14">
                  <c:v>10503.978779840849</c:v>
                </c:pt>
                <c:pt idx="15">
                  <c:v>9252.2179974651463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3-401B-90F9-A361C0C7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240032"/>
        <c:axId val="926905856"/>
      </c:scatterChart>
      <c:valAx>
        <c:axId val="10082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05856"/>
        <c:crosses val="autoZero"/>
        <c:crossBetween val="midCat"/>
      </c:valAx>
      <c:valAx>
        <c:axId val="9269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黄油</a:t>
            </a:r>
            <a:r>
              <a:rPr lang="en-US" altLang="zh-CN"/>
              <a:t>-</a:t>
            </a:r>
            <a:r>
              <a:rPr lang="zh-CN" altLang="en-US"/>
              <a:t>总体成本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5966754155730533E-2"/>
                  <c:y val="0.307287109944590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18207x - 31457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(2)'!$U$46:$U$53</c:f>
              <c:numCache>
                <c:formatCode>0.0</c:formatCode>
                <c:ptCount val="8"/>
                <c:pt idx="0">
                  <c:v>3.7</c:v>
                </c:pt>
                <c:pt idx="1">
                  <c:v>3.8</c:v>
                </c:pt>
                <c:pt idx="2">
                  <c:v>4.0999999999999996</c:v>
                </c:pt>
                <c:pt idx="3">
                  <c:v>3.6</c:v>
                </c:pt>
                <c:pt idx="4">
                  <c:v>3.9</c:v>
                </c:pt>
                <c:pt idx="5">
                  <c:v>4</c:v>
                </c:pt>
                <c:pt idx="6">
                  <c:v>4.2</c:v>
                </c:pt>
                <c:pt idx="7">
                  <c:v>3.7</c:v>
                </c:pt>
              </c:numCache>
            </c:numRef>
          </c:xVal>
          <c:yVal>
            <c:numRef>
              <c:f>'Data (2)'!$V$46:$V$53</c:f>
              <c:numCache>
                <c:formatCode>General</c:formatCode>
                <c:ptCount val="8"/>
                <c:pt idx="0">
                  <c:v>38768.400000000001</c:v>
                </c:pt>
                <c:pt idx="1">
                  <c:v>35350.200000000004</c:v>
                </c:pt>
                <c:pt idx="2">
                  <c:v>44787.6</c:v>
                </c:pt>
                <c:pt idx="3">
                  <c:v>35046</c:v>
                </c:pt>
                <c:pt idx="4">
                  <c:v>36769.600000000006</c:v>
                </c:pt>
                <c:pt idx="5">
                  <c:v>40860.899999999994</c:v>
                </c:pt>
                <c:pt idx="6">
                  <c:v>45825</c:v>
                </c:pt>
                <c:pt idx="7">
                  <c:v>35362.800000000003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1-45C2-984F-5006F8D7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43967"/>
        <c:axId val="1088250207"/>
      </c:scatterChart>
      <c:valAx>
        <c:axId val="10882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50207"/>
        <c:crosses val="autoZero"/>
        <c:crossBetween val="midCat"/>
      </c:valAx>
      <c:valAx>
        <c:axId val="10882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4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(2)'!$AA$66:$AA$73</c:f>
              <c:numCache>
                <c:formatCode>General</c:formatCode>
                <c:ptCount val="8"/>
                <c:pt idx="0">
                  <c:v>7.9712309660000003</c:v>
                </c:pt>
                <c:pt idx="1">
                  <c:v>7.9066212839999999</c:v>
                </c:pt>
                <c:pt idx="2">
                  <c:v>5.7341933230000004</c:v>
                </c:pt>
                <c:pt idx="3">
                  <c:v>9.5411632639999997</c:v>
                </c:pt>
                <c:pt idx="4">
                  <c:v>8.3032181470000008</c:v>
                </c:pt>
                <c:pt idx="5">
                  <c:v>5.846539173</c:v>
                </c:pt>
                <c:pt idx="6">
                  <c:v>5.7098314820000002</c:v>
                </c:pt>
                <c:pt idx="7">
                  <c:v>6.8772023600000001</c:v>
                </c:pt>
              </c:numCache>
            </c:numRef>
          </c:xVal>
          <c:yVal>
            <c:numRef>
              <c:f>'Data (2)'!$AB$66:$AB$73</c:f>
              <c:numCache>
                <c:formatCode>General</c:formatCode>
                <c:ptCount val="8"/>
                <c:pt idx="0">
                  <c:v>10.081599819999999</c:v>
                </c:pt>
                <c:pt idx="1">
                  <c:v>9.901681688</c:v>
                </c:pt>
                <c:pt idx="2">
                  <c:v>7.6278570800000001</c:v>
                </c:pt>
                <c:pt idx="3">
                  <c:v>10.051926699999999</c:v>
                </c:pt>
                <c:pt idx="4">
                  <c:v>10.51055365</c:v>
                </c:pt>
                <c:pt idx="5">
                  <c:v>7.7603662780000002</c:v>
                </c:pt>
                <c:pt idx="6">
                  <c:v>7.4143253720000004</c:v>
                </c:pt>
                <c:pt idx="7">
                  <c:v>9.0016894149999995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4-4875-913E-A44EA326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25231"/>
        <c:axId val="980225647"/>
      </c:scatterChart>
      <c:valAx>
        <c:axId val="9802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25647"/>
        <c:crosses val="autoZero"/>
        <c:crossBetween val="midCat"/>
      </c:valAx>
      <c:valAx>
        <c:axId val="9802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2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(2)'!$O$100:$O$107</c:f>
              <c:numCache>
                <c:formatCode>0.00</c:formatCode>
                <c:ptCount val="8"/>
                <c:pt idx="0">
                  <c:v>10.89</c:v>
                </c:pt>
                <c:pt idx="1">
                  <c:v>9.58</c:v>
                </c:pt>
                <c:pt idx="2">
                  <c:v>7.83</c:v>
                </c:pt>
                <c:pt idx="3">
                  <c:v>9.9</c:v>
                </c:pt>
                <c:pt idx="4">
                  <c:v>10.72</c:v>
                </c:pt>
                <c:pt idx="5">
                  <c:v>7.47</c:v>
                </c:pt>
                <c:pt idx="6">
                  <c:v>7.5</c:v>
                </c:pt>
                <c:pt idx="7">
                  <c:v>8.4600000000000009</c:v>
                </c:pt>
              </c:numCache>
            </c:numRef>
          </c:xVal>
          <c:yVal>
            <c:numRef>
              <c:f>'Data (2)'!$P$100:$P$107</c:f>
              <c:numCache>
                <c:formatCode>0.00</c:formatCode>
                <c:ptCount val="8"/>
                <c:pt idx="0">
                  <c:v>3.56</c:v>
                </c:pt>
                <c:pt idx="1">
                  <c:v>3.69</c:v>
                </c:pt>
                <c:pt idx="2">
                  <c:v>5.72</c:v>
                </c:pt>
                <c:pt idx="3">
                  <c:v>3.54</c:v>
                </c:pt>
                <c:pt idx="4">
                  <c:v>3.43</c:v>
                </c:pt>
                <c:pt idx="5">
                  <c:v>5.47</c:v>
                </c:pt>
                <c:pt idx="6">
                  <c:v>6.11</c:v>
                </c:pt>
                <c:pt idx="7">
                  <c:v>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2-4C01-BD85-995238FA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02719"/>
        <c:axId val="1813473551"/>
      </c:scatterChart>
      <c:valAx>
        <c:axId val="181530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73551"/>
        <c:crosses val="autoZero"/>
        <c:crossBetween val="midCat"/>
      </c:valAx>
      <c:valAx>
        <c:axId val="18134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0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(2)'!$R$100:$R$107</c:f>
              <c:numCache>
                <c:formatCode>0.00</c:formatCode>
                <c:ptCount val="8"/>
                <c:pt idx="0">
                  <c:v>8.5</c:v>
                </c:pt>
                <c:pt idx="1">
                  <c:v>7.6</c:v>
                </c:pt>
                <c:pt idx="2">
                  <c:v>5.87</c:v>
                </c:pt>
                <c:pt idx="3">
                  <c:v>9.73</c:v>
                </c:pt>
                <c:pt idx="4">
                  <c:v>8.3699999999999992</c:v>
                </c:pt>
                <c:pt idx="5">
                  <c:v>5.59</c:v>
                </c:pt>
                <c:pt idx="6">
                  <c:v>5.87</c:v>
                </c:pt>
                <c:pt idx="7">
                  <c:v>6.36</c:v>
                </c:pt>
              </c:numCache>
            </c:numRef>
          </c:xVal>
          <c:yVal>
            <c:numRef>
              <c:f>'Data (2)'!$S$100:$S$107</c:f>
              <c:numCache>
                <c:formatCode>0.00</c:formatCode>
                <c:ptCount val="8"/>
                <c:pt idx="0">
                  <c:v>3.04</c:v>
                </c:pt>
                <c:pt idx="1">
                  <c:v>3.1</c:v>
                </c:pt>
                <c:pt idx="2">
                  <c:v>5.09</c:v>
                </c:pt>
                <c:pt idx="3">
                  <c:v>2.4</c:v>
                </c:pt>
                <c:pt idx="4">
                  <c:v>2.93</c:v>
                </c:pt>
                <c:pt idx="5">
                  <c:v>4.87</c:v>
                </c:pt>
                <c:pt idx="6">
                  <c:v>5.2</c:v>
                </c:pt>
                <c:pt idx="7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B-452E-BF5B-E675807A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38623"/>
        <c:axId val="1667039039"/>
      </c:scatterChart>
      <c:valAx>
        <c:axId val="16670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9039"/>
        <c:crosses val="autoZero"/>
        <c:crossBetween val="midCat"/>
      </c:valAx>
      <c:valAx>
        <c:axId val="16670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7687860892388449"/>
                  <c:y val="-4.5061971420239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840925536811567"/>
                  <c:y val="-0.23442782151845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(2)'!$O$89:$O$92</c:f>
              <c:numCache>
                <c:formatCode>General</c:formatCode>
                <c:ptCount val="4"/>
                <c:pt idx="0">
                  <c:v>12</c:v>
                </c:pt>
                <c:pt idx="1">
                  <c:v>10.5</c:v>
                </c:pt>
                <c:pt idx="2">
                  <c:v>9</c:v>
                </c:pt>
                <c:pt idx="3">
                  <c:v>7.5</c:v>
                </c:pt>
              </c:numCache>
            </c:numRef>
          </c:xVal>
          <c:yVal>
            <c:numRef>
              <c:f>'Data (2)'!$P$89:$P$92</c:f>
              <c:numCache>
                <c:formatCode>General</c:formatCode>
                <c:ptCount val="4"/>
                <c:pt idx="0">
                  <c:v>350</c:v>
                </c:pt>
                <c:pt idx="1">
                  <c:v>450</c:v>
                </c:pt>
                <c:pt idx="2">
                  <c:v>650</c:v>
                </c:pt>
                <c:pt idx="3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C-4AFF-948A-4D05B176C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70447"/>
        <c:axId val="1836709599"/>
      </c:scatterChart>
      <c:valAx>
        <c:axId val="122887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09599"/>
        <c:crosses val="autoZero"/>
        <c:crossBetween val="midCat"/>
      </c:valAx>
      <c:valAx>
        <c:axId val="18367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7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480391</xdr:colOff>
      <xdr:row>47</xdr:row>
      <xdr:rowOff>36444</xdr:rowOff>
    </xdr:from>
    <xdr:to>
      <xdr:col>8</xdr:col>
      <xdr:colOff>0</xdr:colOff>
      <xdr:row>63</xdr:row>
      <xdr:rowOff>129209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C88EF-0E3C-4850-ABC5-160B432B6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447261</xdr:colOff>
      <xdr:row>6</xdr:row>
      <xdr:rowOff>36444</xdr:rowOff>
    </xdr:from>
    <xdr:to>
      <xdr:col>36</xdr:col>
      <xdr:colOff>314739</xdr:colOff>
      <xdr:row>22</xdr:row>
      <xdr:rowOff>120926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A4BF5-9F48-D233-A1A8-AB8713311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704850</xdr:colOff>
      <xdr:row>35</xdr:row>
      <xdr:rowOff>57150</xdr:rowOff>
    </xdr:from>
    <xdr:to>
      <xdr:col>17</xdr:col>
      <xdr:colOff>495300</xdr:colOff>
      <xdr:row>52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5C34F0-B464-A573-4820-0C1BB5FFF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152400</xdr:colOff>
      <xdr:row>56</xdr:row>
      <xdr:rowOff>152400</xdr:rowOff>
    </xdr:from>
    <xdr:to>
      <xdr:col>23</xdr:col>
      <xdr:colOff>333375</xdr:colOff>
      <xdr:row>73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340EED-6431-79A5-E823-81CF758B5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70400</xdr:colOff>
      <xdr:row>39</xdr:row>
      <xdr:rowOff>11596</xdr:rowOff>
    </xdr:from>
    <xdr:to>
      <xdr:col>31</xdr:col>
      <xdr:colOff>426552</xdr:colOff>
      <xdr:row>55</xdr:row>
      <xdr:rowOff>104361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2E76-7955-ACAA-B89D-9CE678790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459684</xdr:colOff>
      <xdr:row>74</xdr:row>
      <xdr:rowOff>152401</xdr:rowOff>
    </xdr:from>
    <xdr:to>
      <xdr:col>29</xdr:col>
      <xdr:colOff>501097</xdr:colOff>
      <xdr:row>91</xdr:row>
      <xdr:rowOff>79514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BE3F7B-1C65-0DBC-2B5F-C76903B25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85724</xdr:colOff>
      <xdr:row>91</xdr:row>
      <xdr:rowOff>47625</xdr:rowOff>
    </xdr:from>
    <xdr:to>
      <xdr:col>12</xdr:col>
      <xdr:colOff>428624</xdr:colOff>
      <xdr:row>113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D683B3-D230-6EA1-1494-1336130F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128586</xdr:colOff>
      <xdr:row>114</xdr:row>
      <xdr:rowOff>9524</xdr:rowOff>
    </xdr:from>
    <xdr:to>
      <xdr:col>12</xdr:col>
      <xdr:colOff>314324</xdr:colOff>
      <xdr:row>135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95B476-59FD-AB92-F91D-99BE1624F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124240</xdr:colOff>
      <xdr:row>75</xdr:row>
      <xdr:rowOff>127552</xdr:rowOff>
    </xdr:from>
    <xdr:to>
      <xdr:col>11</xdr:col>
      <xdr:colOff>207066</xdr:colOff>
      <xdr:row>89</xdr:row>
      <xdr:rowOff>96078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C8DEF70-A8F7-D8A4-4072-D530C5774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310599</xdr:colOff>
      <xdr:row>50</xdr:row>
      <xdr:rowOff>36443</xdr:rowOff>
    </xdr:from>
    <xdr:to>
      <xdr:col>29</xdr:col>
      <xdr:colOff>592207</xdr:colOff>
      <xdr:row>66</xdr:row>
      <xdr:rowOff>21534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8565FB-F511-8388-3173-33E3BDA17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182217</xdr:colOff>
      <xdr:row>50</xdr:row>
      <xdr:rowOff>36443</xdr:rowOff>
    </xdr:from>
    <xdr:to>
      <xdr:col>39</xdr:col>
      <xdr:colOff>463826</xdr:colOff>
      <xdr:row>66</xdr:row>
      <xdr:rowOff>21534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3DD7A6-49BE-38EB-01E0-D97229B85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585141</xdr:colOff>
      <xdr:row>50</xdr:row>
      <xdr:rowOff>30111</xdr:rowOff>
    </xdr:from>
    <xdr:to>
      <xdr:col>47</xdr:col>
      <xdr:colOff>253837</xdr:colOff>
      <xdr:row>65</xdr:row>
      <xdr:rowOff>125312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3E9D41-4B16-9F50-9420-149B84F51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604837</xdr:colOff>
      <xdr:row>66</xdr:row>
      <xdr:rowOff>19050</xdr:rowOff>
    </xdr:from>
    <xdr:to>
      <xdr:col>47</xdr:col>
      <xdr:colOff>300037</xdr:colOff>
      <xdr:row>83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626D3-3FDC-D0F0-8E45-FE85A14C9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180975</xdr:colOff>
      <xdr:row>38</xdr:row>
      <xdr:rowOff>19050</xdr:rowOff>
    </xdr:from>
    <xdr:to>
      <xdr:col>50</xdr:col>
      <xdr:colOff>28575</xdr:colOff>
      <xdr:row>55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FEB9A-DAD1-5BA6-8BAC-5B1EAE71C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480391</xdr:colOff>
      <xdr:row>47</xdr:row>
      <xdr:rowOff>36444</xdr:rowOff>
    </xdr:from>
    <xdr:to>
      <xdr:col>11</xdr:col>
      <xdr:colOff>33130</xdr:colOff>
      <xdr:row>63</xdr:row>
      <xdr:rowOff>129209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2CB10F-32FA-9D9D-EB19-1E23A4C27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5E8C-072B-44B1-AC71-7EEA82C9CB7D}">
  <dimension ref="A1:AB107"/>
  <sheetViews>
    <sheetView topLeftCell="D61" zoomScaleNormal="100" workbookViewId="0">
      <selection activeCell="G44" sqref="G44"/>
    </sheetView>
  </sheetViews>
  <sheetFormatPr defaultColWidth="8.85546875" defaultRowHeight="12.75" x14ac:dyDescent="0.2"/>
  <cols>
    <col min="1" max="1" width="12.140625" style="1" customWidth="1"/>
    <col min="2" max="2" width="9.140625" style="5" customWidth="1"/>
    <col min="3" max="4" width="12.42578125" style="1" customWidth="1"/>
    <col min="5" max="9" width="8.85546875" style="1"/>
    <col min="10" max="10" width="12.140625" style="1" customWidth="1"/>
    <col min="11" max="11" width="11" customWidth="1"/>
    <col min="12" max="12" width="18.7109375" customWidth="1"/>
    <col min="13" max="13" width="11" customWidth="1"/>
    <col min="14" max="14" width="12.140625" style="1" customWidth="1"/>
    <col min="17" max="17" width="12.140625" style="1" customWidth="1"/>
    <col min="21" max="23" width="12" customWidth="1"/>
    <col min="24" max="25" width="10.28515625" bestFit="1" customWidth="1"/>
  </cols>
  <sheetData>
    <row r="1" spans="1:28" ht="18" x14ac:dyDescent="0.2">
      <c r="A1" s="6" t="s">
        <v>1</v>
      </c>
      <c r="J1" s="6"/>
      <c r="N1" s="6"/>
      <c r="Q1" s="6"/>
    </row>
    <row r="3" spans="1:28" ht="12.75" customHeight="1" x14ac:dyDescent="0.2">
      <c r="A3" s="16" t="s">
        <v>3</v>
      </c>
      <c r="B3" s="1"/>
      <c r="J3" s="16" t="s">
        <v>9</v>
      </c>
      <c r="K3" s="4"/>
      <c r="L3" s="4"/>
      <c r="M3" s="4"/>
      <c r="N3" s="16" t="s">
        <v>10</v>
      </c>
      <c r="O3" s="15"/>
      <c r="P3" s="15"/>
      <c r="Q3" s="16" t="s">
        <v>12</v>
      </c>
      <c r="R3" s="1"/>
      <c r="S3" s="1"/>
      <c r="T3" s="1"/>
    </row>
    <row r="4" spans="1:28" ht="12.75" customHeight="1" x14ac:dyDescent="0.2">
      <c r="A4" s="16"/>
      <c r="B4" s="1"/>
      <c r="J4" s="16"/>
      <c r="K4" s="4"/>
      <c r="L4" s="4"/>
      <c r="M4" s="4"/>
      <c r="N4" s="16" t="s">
        <v>11</v>
      </c>
      <c r="O4" s="15"/>
      <c r="P4" s="15"/>
      <c r="Q4" s="16"/>
      <c r="R4" s="1"/>
      <c r="S4" s="1"/>
      <c r="T4" s="1"/>
    </row>
    <row r="5" spans="1:28" x14ac:dyDescent="0.2">
      <c r="A5"/>
      <c r="B5" s="1" t="s">
        <v>4</v>
      </c>
      <c r="J5"/>
      <c r="K5" s="7" t="s">
        <v>4</v>
      </c>
      <c r="L5" s="7"/>
      <c r="M5" s="16"/>
      <c r="N5"/>
      <c r="O5" s="5"/>
      <c r="Q5"/>
      <c r="R5" s="1" t="s">
        <v>4</v>
      </c>
      <c r="S5" s="1"/>
      <c r="T5" s="1"/>
    </row>
    <row r="6" spans="1:28" ht="14.25" customHeight="1" x14ac:dyDescent="0.2">
      <c r="A6" s="10" t="s">
        <v>0</v>
      </c>
      <c r="B6" s="1" t="s">
        <v>5</v>
      </c>
      <c r="C6" s="1" t="s">
        <v>6</v>
      </c>
      <c r="E6" s="1" t="s">
        <v>23</v>
      </c>
      <c r="F6" s="1" t="s">
        <v>22</v>
      </c>
      <c r="G6" s="1" t="s">
        <v>19</v>
      </c>
      <c r="J6" s="10" t="s">
        <v>0</v>
      </c>
      <c r="K6" s="7"/>
      <c r="L6" s="7" t="s">
        <v>27</v>
      </c>
      <c r="M6" s="7"/>
      <c r="N6" s="10" t="s">
        <v>0</v>
      </c>
      <c r="O6" s="11"/>
      <c r="Q6" s="10" t="s">
        <v>0</v>
      </c>
      <c r="R6" s="12" t="s">
        <v>5</v>
      </c>
      <c r="S6" s="12" t="s">
        <v>6</v>
      </c>
      <c r="T6" s="12"/>
    </row>
    <row r="7" spans="1:28" x14ac:dyDescent="0.2">
      <c r="A7" s="3">
        <v>43955</v>
      </c>
      <c r="B7" s="7">
        <v>3.43</v>
      </c>
      <c r="C7" s="7">
        <v>3.04</v>
      </c>
      <c r="D7" s="7">
        <f t="shared" ref="D7:D14" si="0">B7/(SUM(B7:C7))</f>
        <v>0.5301391035548686</v>
      </c>
      <c r="E7" s="32">
        <f>SUM(B7:C7)</f>
        <v>6.4700000000000006</v>
      </c>
      <c r="F7" s="31">
        <f>K7/10000</f>
        <v>7.28</v>
      </c>
      <c r="G7" s="35">
        <f>E7/F7</f>
        <v>0.8887362637362638</v>
      </c>
      <c r="H7" s="5"/>
      <c r="J7" s="3">
        <v>43955</v>
      </c>
      <c r="K7" s="8">
        <v>72800</v>
      </c>
      <c r="L7" s="27">
        <f t="shared" ref="L7:L22" si="1">(-0.2476*O7+1.995)*K7/10000</f>
        <v>6.4122240000000019</v>
      </c>
      <c r="M7" s="8"/>
      <c r="N7" s="3">
        <v>43955</v>
      </c>
      <c r="O7" s="34">
        <v>4.5</v>
      </c>
      <c r="Q7" s="10"/>
      <c r="R7" s="12"/>
      <c r="S7" s="12"/>
      <c r="T7" s="12"/>
    </row>
    <row r="8" spans="1:28" x14ac:dyDescent="0.2">
      <c r="A8" s="3">
        <v>43962</v>
      </c>
      <c r="B8" s="7">
        <v>4.96</v>
      </c>
      <c r="C8" s="7">
        <v>4.21</v>
      </c>
      <c r="D8" s="7">
        <f t="shared" si="0"/>
        <v>0.54089422028353329</v>
      </c>
      <c r="E8" s="32">
        <f t="shared" ref="E8:E22" si="2">SUM(B8:C8)</f>
        <v>9.17</v>
      </c>
      <c r="F8" s="31">
        <f t="shared" ref="F8:F22" si="3">K8/10000</f>
        <v>9.86</v>
      </c>
      <c r="G8" s="35">
        <f t="shared" ref="G8:G22" si="4">E8/F8</f>
        <v>0.93002028397565928</v>
      </c>
      <c r="H8" s="5"/>
      <c r="J8" s="3">
        <v>43962</v>
      </c>
      <c r="K8" s="8">
        <v>98600</v>
      </c>
      <c r="L8" s="27">
        <f t="shared" si="1"/>
        <v>9.1729552000000023</v>
      </c>
      <c r="M8" s="8"/>
      <c r="N8" s="3">
        <v>43962</v>
      </c>
      <c r="O8" s="34">
        <v>4.3</v>
      </c>
      <c r="Q8" s="10"/>
      <c r="R8" s="12"/>
      <c r="S8" s="12"/>
      <c r="T8" s="12"/>
    </row>
    <row r="9" spans="1:28" x14ac:dyDescent="0.2">
      <c r="A9" s="3">
        <v>43969</v>
      </c>
      <c r="B9" s="7">
        <v>4.09</v>
      </c>
      <c r="C9" s="7">
        <v>3.69</v>
      </c>
      <c r="D9" s="7">
        <f t="shared" si="0"/>
        <v>0.52570694087403602</v>
      </c>
      <c r="E9" s="32">
        <f t="shared" si="2"/>
        <v>7.7799999999999994</v>
      </c>
      <c r="F9" s="31">
        <f t="shared" si="3"/>
        <v>7.2</v>
      </c>
      <c r="G9" s="35">
        <f t="shared" si="4"/>
        <v>1.0805555555555555</v>
      </c>
      <c r="H9" s="5"/>
      <c r="J9" s="3">
        <v>43969</v>
      </c>
      <c r="K9" s="8">
        <v>72000</v>
      </c>
      <c r="L9" s="27">
        <f t="shared" si="1"/>
        <v>7.7679359999999997</v>
      </c>
      <c r="M9" s="8"/>
      <c r="N9" s="3">
        <v>43969</v>
      </c>
      <c r="O9" s="34">
        <v>3.7</v>
      </c>
      <c r="Q9" s="10"/>
      <c r="R9" s="12"/>
      <c r="S9" s="12"/>
      <c r="T9" s="12"/>
    </row>
    <row r="10" spans="1:28" x14ac:dyDescent="0.2">
      <c r="A10" s="3">
        <v>43976</v>
      </c>
      <c r="B10" s="7">
        <v>4.87</v>
      </c>
      <c r="C10" s="7">
        <v>5.03</v>
      </c>
      <c r="D10" s="7">
        <f t="shared" si="0"/>
        <v>0.49191919191919192</v>
      </c>
      <c r="E10" s="32">
        <f t="shared" si="2"/>
        <v>9.9</v>
      </c>
      <c r="F10" s="31">
        <f t="shared" si="3"/>
        <v>10.4</v>
      </c>
      <c r="G10" s="35">
        <f t="shared" si="4"/>
        <v>0.95192307692307687</v>
      </c>
      <c r="H10" s="5"/>
      <c r="J10" s="3">
        <v>43976</v>
      </c>
      <c r="K10" s="8">
        <v>104000</v>
      </c>
      <c r="L10" s="27">
        <f t="shared" si="1"/>
        <v>9.932832000000003</v>
      </c>
      <c r="M10" s="8"/>
      <c r="N10" s="3">
        <v>43976</v>
      </c>
      <c r="O10" s="34">
        <v>4.2</v>
      </c>
      <c r="Q10" s="10"/>
      <c r="R10" s="12"/>
      <c r="S10" s="12"/>
      <c r="T10" s="12"/>
    </row>
    <row r="11" spans="1:28" x14ac:dyDescent="0.2">
      <c r="A11" s="3">
        <v>43983</v>
      </c>
      <c r="B11" s="7">
        <v>4.71</v>
      </c>
      <c r="C11" s="7">
        <v>4.26</v>
      </c>
      <c r="D11" s="7">
        <f t="shared" si="0"/>
        <v>0.52508361204013387</v>
      </c>
      <c r="E11" s="32">
        <f t="shared" si="2"/>
        <v>8.9699999999999989</v>
      </c>
      <c r="F11" s="31">
        <f t="shared" si="3"/>
        <v>8.52</v>
      </c>
      <c r="G11" s="35">
        <f t="shared" si="4"/>
        <v>1.0528169014084505</v>
      </c>
      <c r="H11" s="5"/>
      <c r="J11" s="3">
        <v>43983</v>
      </c>
      <c r="K11" s="8">
        <v>85200</v>
      </c>
      <c r="L11" s="27">
        <f t="shared" si="1"/>
        <v>8.9811024000000028</v>
      </c>
      <c r="M11" s="8"/>
      <c r="N11" s="3">
        <v>43983</v>
      </c>
      <c r="O11" s="34">
        <v>3.8</v>
      </c>
      <c r="Q11" s="10"/>
      <c r="R11" s="12"/>
      <c r="S11" s="12"/>
      <c r="T11" s="12"/>
    </row>
    <row r="12" spans="1:28" x14ac:dyDescent="0.2">
      <c r="A12" s="3">
        <v>43990</v>
      </c>
      <c r="B12" s="7">
        <v>5.09</v>
      </c>
      <c r="C12" s="7">
        <v>4.37</v>
      </c>
      <c r="D12" s="7">
        <f t="shared" si="0"/>
        <v>0.53805496828752641</v>
      </c>
      <c r="E12" s="32">
        <f t="shared" si="2"/>
        <v>9.4600000000000009</v>
      </c>
      <c r="F12" s="31">
        <f t="shared" si="3"/>
        <v>10.41</v>
      </c>
      <c r="G12" s="35">
        <f t="shared" si="4"/>
        <v>0.90874159462055726</v>
      </c>
      <c r="H12" s="5"/>
      <c r="J12" s="3">
        <v>43990</v>
      </c>
      <c r="K12" s="8">
        <v>104100</v>
      </c>
      <c r="L12" s="27">
        <f t="shared" si="1"/>
        <v>9.4268796000000012</v>
      </c>
      <c r="M12" s="8"/>
      <c r="N12" s="3">
        <v>43990</v>
      </c>
      <c r="O12" s="34">
        <v>4.4000000000000004</v>
      </c>
      <c r="Q12" s="10"/>
      <c r="R12" s="12"/>
      <c r="S12" s="12"/>
      <c r="T12" s="12"/>
    </row>
    <row r="13" spans="1:28" ht="13.5" customHeight="1" x14ac:dyDescent="0.2">
      <c r="A13" s="3">
        <v>43997</v>
      </c>
      <c r="B13" s="7">
        <v>4.83</v>
      </c>
      <c r="C13" s="7">
        <v>4.32</v>
      </c>
      <c r="D13" s="7">
        <f t="shared" si="0"/>
        <v>0.52786885245901638</v>
      </c>
      <c r="E13" s="32">
        <f t="shared" si="2"/>
        <v>9.15</v>
      </c>
      <c r="F13" s="31">
        <f t="shared" si="3"/>
        <v>9.84</v>
      </c>
      <c r="G13" s="35">
        <f t="shared" si="4"/>
        <v>0.92987804878048785</v>
      </c>
      <c r="H13" s="5"/>
      <c r="J13" s="3">
        <v>43997</v>
      </c>
      <c r="K13" s="8">
        <v>98400</v>
      </c>
      <c r="L13" s="27">
        <f t="shared" si="1"/>
        <v>9.1543488000000028</v>
      </c>
      <c r="M13" s="8"/>
      <c r="N13" s="3">
        <v>43997</v>
      </c>
      <c r="O13" s="34">
        <v>4.3</v>
      </c>
      <c r="Q13" s="10"/>
      <c r="R13" s="12"/>
      <c r="S13" s="12"/>
      <c r="T13" s="12"/>
    </row>
    <row r="14" spans="1:28" x14ac:dyDescent="0.2">
      <c r="A14" s="3">
        <v>44004</v>
      </c>
      <c r="B14" s="7">
        <v>5.34</v>
      </c>
      <c r="C14" s="7">
        <v>4.7</v>
      </c>
      <c r="D14" s="7">
        <f t="shared" si="0"/>
        <v>0.53187250996015945</v>
      </c>
      <c r="E14" s="32">
        <f t="shared" si="2"/>
        <v>10.039999999999999</v>
      </c>
      <c r="F14" s="31">
        <f t="shared" si="3"/>
        <v>9.7899999999999991</v>
      </c>
      <c r="G14" s="35">
        <f t="shared" si="4"/>
        <v>1.0255362614913177</v>
      </c>
      <c r="H14" s="5"/>
      <c r="J14" s="3">
        <v>44004</v>
      </c>
      <c r="K14" s="8">
        <v>97900</v>
      </c>
      <c r="L14" s="27">
        <f t="shared" si="1"/>
        <v>10.077434400000001</v>
      </c>
      <c r="M14" s="8"/>
      <c r="N14" s="3">
        <v>44004</v>
      </c>
      <c r="O14" s="34">
        <v>3.9</v>
      </c>
      <c r="Q14" s="10"/>
      <c r="R14" s="12"/>
      <c r="S14" s="12"/>
      <c r="T14" s="12"/>
      <c r="U14" t="s">
        <v>15</v>
      </c>
      <c r="V14" t="s">
        <v>30</v>
      </c>
      <c r="W14" t="s">
        <v>28</v>
      </c>
      <c r="X14" t="s">
        <v>29</v>
      </c>
      <c r="Y14" t="s">
        <v>24</v>
      </c>
      <c r="AA14" t="s">
        <v>25</v>
      </c>
      <c r="AB14" t="s">
        <v>26</v>
      </c>
    </row>
    <row r="15" spans="1:28" x14ac:dyDescent="0.2">
      <c r="A15" s="3">
        <v>44081</v>
      </c>
      <c r="B15" s="7">
        <v>3.56</v>
      </c>
      <c r="C15" s="7">
        <v>3.04</v>
      </c>
      <c r="D15" s="7">
        <f>B15/(SUM(B15:C15))</f>
        <v>0.53939393939393943</v>
      </c>
      <c r="E15" s="32">
        <f t="shared" si="2"/>
        <v>6.6</v>
      </c>
      <c r="F15" s="31">
        <f t="shared" si="3"/>
        <v>6.1</v>
      </c>
      <c r="G15" s="35">
        <f t="shared" si="4"/>
        <v>1.0819672131147542</v>
      </c>
      <c r="H15" s="5"/>
      <c r="J15" s="3">
        <v>44081</v>
      </c>
      <c r="K15" s="8">
        <v>61000</v>
      </c>
      <c r="L15" s="27">
        <f t="shared" si="1"/>
        <v>6.5811680000000008</v>
      </c>
      <c r="M15" s="8"/>
      <c r="N15" s="3">
        <v>44081</v>
      </c>
      <c r="O15" s="34">
        <v>3.7</v>
      </c>
      <c r="Q15" s="3">
        <v>44081</v>
      </c>
      <c r="R15" s="13">
        <v>10.89</v>
      </c>
      <c r="S15" s="13">
        <v>8.5</v>
      </c>
      <c r="T15" s="13"/>
      <c r="U15" s="33">
        <f>(R15*B15)*1000</f>
        <v>38768.400000000001</v>
      </c>
      <c r="V15" s="33">
        <f>X15-W15</f>
        <v>6743.272727272727</v>
      </c>
      <c r="W15" s="33">
        <f>D15*K15*0.24</f>
        <v>7896.727272727273</v>
      </c>
      <c r="X15" s="33">
        <f>K15*0.24</f>
        <v>14640</v>
      </c>
      <c r="Y15" s="24">
        <f>U15-X15</f>
        <v>24128.400000000001</v>
      </c>
      <c r="AA15">
        <v>6.6</v>
      </c>
      <c r="AB15">
        <v>49968.4</v>
      </c>
    </row>
    <row r="16" spans="1:28" x14ac:dyDescent="0.2">
      <c r="A16" s="3">
        <v>44088</v>
      </c>
      <c r="B16" s="7">
        <v>3.69</v>
      </c>
      <c r="C16" s="7">
        <v>3.1</v>
      </c>
      <c r="D16" s="7">
        <f t="shared" ref="D16:D22" si="5">B16/(SUM(B16:C16))</f>
        <v>0.54344624447717227</v>
      </c>
      <c r="E16" s="32">
        <f t="shared" si="2"/>
        <v>6.79</v>
      </c>
      <c r="F16" s="31">
        <f t="shared" si="3"/>
        <v>6.45</v>
      </c>
      <c r="G16" s="35">
        <f t="shared" si="4"/>
        <v>1.0527131782945736</v>
      </c>
      <c r="H16" s="5"/>
      <c r="J16" s="3">
        <v>44088</v>
      </c>
      <c r="K16" s="8">
        <v>64500</v>
      </c>
      <c r="L16" s="27">
        <f t="shared" si="1"/>
        <v>6.799074000000001</v>
      </c>
      <c r="M16" s="8"/>
      <c r="N16" s="3">
        <v>44088</v>
      </c>
      <c r="O16" s="34">
        <v>3.8</v>
      </c>
      <c r="Q16" s="3">
        <v>44088</v>
      </c>
      <c r="R16" s="13">
        <v>9.58</v>
      </c>
      <c r="S16" s="13">
        <v>7.6</v>
      </c>
      <c r="T16" s="13"/>
      <c r="U16" s="33">
        <f t="shared" ref="U16:U22" si="6">(R16*B16)*1000</f>
        <v>35350.200000000004</v>
      </c>
      <c r="V16" s="33">
        <f t="shared" ref="V16:V22" si="7">X16-W16</f>
        <v>7067.452135493375</v>
      </c>
      <c r="W16" s="33">
        <f t="shared" ref="W16:W22" si="8">D16*K16*0.24</f>
        <v>8412.547864506625</v>
      </c>
      <c r="X16" s="33">
        <f t="shared" ref="X16:X22" si="9">K16*0.24</f>
        <v>15480</v>
      </c>
      <c r="Y16" s="24">
        <f t="shared" ref="Y16:Y22" si="10">U16-X16</f>
        <v>19870.200000000004</v>
      </c>
      <c r="AA16">
        <v>6.79</v>
      </c>
      <c r="AB16">
        <v>43430.200000000004</v>
      </c>
    </row>
    <row r="17" spans="1:28" x14ac:dyDescent="0.2">
      <c r="A17" s="3">
        <v>44095</v>
      </c>
      <c r="B17" s="7">
        <v>5.72</v>
      </c>
      <c r="C17" s="7">
        <v>5.09</v>
      </c>
      <c r="D17" s="7">
        <f t="shared" si="5"/>
        <v>0.52913968547641077</v>
      </c>
      <c r="E17" s="32">
        <f t="shared" si="2"/>
        <v>10.809999999999999</v>
      </c>
      <c r="F17" s="31">
        <f t="shared" si="3"/>
        <v>11.08</v>
      </c>
      <c r="G17" s="35">
        <f t="shared" si="4"/>
        <v>0.97563176895306847</v>
      </c>
      <c r="H17" s="5"/>
      <c r="J17" s="3">
        <v>44095</v>
      </c>
      <c r="K17" s="8">
        <v>110800</v>
      </c>
      <c r="L17" s="27">
        <f t="shared" si="1"/>
        <v>10.856627200000002</v>
      </c>
      <c r="M17" s="8"/>
      <c r="N17" s="3">
        <v>44095</v>
      </c>
      <c r="O17" s="34">
        <v>4.0999999999999996</v>
      </c>
      <c r="Q17" s="3">
        <v>44095</v>
      </c>
      <c r="R17" s="13">
        <v>7.83</v>
      </c>
      <c r="S17" s="13">
        <v>5.87</v>
      </c>
      <c r="T17" s="13"/>
      <c r="U17" s="33">
        <f t="shared" si="6"/>
        <v>44787.6</v>
      </c>
      <c r="V17" s="33">
        <f t="shared" si="7"/>
        <v>12521.117483811284</v>
      </c>
      <c r="W17" s="33">
        <f t="shared" si="8"/>
        <v>14070.882516188716</v>
      </c>
      <c r="X17" s="33">
        <f t="shared" si="9"/>
        <v>26592</v>
      </c>
      <c r="Y17" s="24">
        <f t="shared" si="10"/>
        <v>18195.599999999999</v>
      </c>
      <c r="AA17">
        <v>10.809999999999999</v>
      </c>
      <c r="AB17">
        <v>48073.899999999994</v>
      </c>
    </row>
    <row r="18" spans="1:28" x14ac:dyDescent="0.2">
      <c r="A18" s="3">
        <v>44102</v>
      </c>
      <c r="B18" s="7">
        <v>3.54</v>
      </c>
      <c r="C18" s="7">
        <v>2.4</v>
      </c>
      <c r="D18" s="7">
        <f t="shared" si="5"/>
        <v>0.59595959595959602</v>
      </c>
      <c r="E18" s="32">
        <f t="shared" si="2"/>
        <v>5.9399999999999995</v>
      </c>
      <c r="F18" s="31">
        <f t="shared" si="3"/>
        <v>5.35</v>
      </c>
      <c r="G18" s="35">
        <f t="shared" si="4"/>
        <v>1.1102803738317757</v>
      </c>
      <c r="H18" s="5"/>
      <c r="J18" s="3">
        <v>44102</v>
      </c>
      <c r="K18" s="8">
        <v>53500</v>
      </c>
      <c r="L18" s="27">
        <f t="shared" si="1"/>
        <v>5.9044740000000013</v>
      </c>
      <c r="M18" s="8"/>
      <c r="N18" s="3">
        <v>44102</v>
      </c>
      <c r="O18" s="34">
        <v>3.6</v>
      </c>
      <c r="Q18" s="3">
        <v>44102</v>
      </c>
      <c r="R18" s="13">
        <v>9.9</v>
      </c>
      <c r="S18" s="13">
        <v>9.73</v>
      </c>
      <c r="T18" s="13"/>
      <c r="U18" s="33">
        <f t="shared" si="6"/>
        <v>35046</v>
      </c>
      <c r="V18" s="33">
        <f t="shared" si="7"/>
        <v>5187.8787878787871</v>
      </c>
      <c r="W18" s="33">
        <f t="shared" si="8"/>
        <v>7652.1212121212129</v>
      </c>
      <c r="X18" s="33">
        <f t="shared" si="9"/>
        <v>12840</v>
      </c>
      <c r="Y18" s="24">
        <f t="shared" si="10"/>
        <v>22206</v>
      </c>
      <c r="AA18">
        <v>5.9399999999999995</v>
      </c>
      <c r="AB18">
        <v>45557.999999999993</v>
      </c>
    </row>
    <row r="19" spans="1:28" x14ac:dyDescent="0.2">
      <c r="A19" s="3">
        <v>44109</v>
      </c>
      <c r="B19" s="7">
        <v>3.43</v>
      </c>
      <c r="C19" s="7">
        <v>2.93</v>
      </c>
      <c r="D19" s="7">
        <f t="shared" si="5"/>
        <v>0.53930817610062898</v>
      </c>
      <c r="E19" s="32">
        <f t="shared" si="2"/>
        <v>6.36</v>
      </c>
      <c r="F19" s="31">
        <f t="shared" si="3"/>
        <v>6.2</v>
      </c>
      <c r="G19" s="35">
        <f t="shared" si="4"/>
        <v>1.0258064516129033</v>
      </c>
      <c r="H19" s="5"/>
      <c r="J19" s="3">
        <v>44109</v>
      </c>
      <c r="K19" s="8">
        <v>62000</v>
      </c>
      <c r="L19" s="27">
        <f t="shared" si="1"/>
        <v>6.3820319999999997</v>
      </c>
      <c r="M19" s="8"/>
      <c r="N19" s="3">
        <v>44109</v>
      </c>
      <c r="O19" s="34">
        <v>3.9</v>
      </c>
      <c r="Q19" s="3">
        <v>44109</v>
      </c>
      <c r="R19" s="13">
        <v>10.72</v>
      </c>
      <c r="S19" s="13">
        <v>8.3699999999999992</v>
      </c>
      <c r="T19" s="13"/>
      <c r="U19" s="33">
        <f t="shared" si="6"/>
        <v>36769.600000000006</v>
      </c>
      <c r="V19" s="33">
        <f t="shared" si="7"/>
        <v>6855.0943396226403</v>
      </c>
      <c r="W19" s="33">
        <f t="shared" si="8"/>
        <v>8024.9056603773597</v>
      </c>
      <c r="X19" s="33">
        <f t="shared" si="9"/>
        <v>14880</v>
      </c>
      <c r="Y19" s="24">
        <f t="shared" si="10"/>
        <v>21889.600000000006</v>
      </c>
      <c r="AA19">
        <v>6.36</v>
      </c>
      <c r="AB19">
        <v>46413.700000000004</v>
      </c>
    </row>
    <row r="20" spans="1:28" x14ac:dyDescent="0.2">
      <c r="A20" s="3">
        <v>44116</v>
      </c>
      <c r="B20" s="7">
        <v>5.47</v>
      </c>
      <c r="C20" s="7">
        <v>4.87</v>
      </c>
      <c r="D20" s="7">
        <f t="shared" si="5"/>
        <v>0.52901353965183751</v>
      </c>
      <c r="E20" s="32">
        <f t="shared" si="2"/>
        <v>10.34</v>
      </c>
      <c r="F20" s="31">
        <f t="shared" si="3"/>
        <v>10.34</v>
      </c>
      <c r="G20" s="35">
        <f t="shared" si="4"/>
        <v>1</v>
      </c>
      <c r="H20" s="5"/>
      <c r="J20" s="3">
        <v>44116</v>
      </c>
      <c r="K20" s="8">
        <v>103400</v>
      </c>
      <c r="L20" s="27">
        <f t="shared" si="1"/>
        <v>10.387564000000001</v>
      </c>
      <c r="M20" s="8"/>
      <c r="N20" s="3">
        <v>44116</v>
      </c>
      <c r="O20" s="34">
        <v>4</v>
      </c>
      <c r="Q20" s="3">
        <v>44116</v>
      </c>
      <c r="R20" s="13">
        <v>7.47</v>
      </c>
      <c r="S20" s="13">
        <v>5.59</v>
      </c>
      <c r="T20" s="13"/>
      <c r="U20" s="33">
        <f t="shared" si="6"/>
        <v>40860.899999999994</v>
      </c>
      <c r="V20" s="33">
        <f t="shared" si="7"/>
        <v>11688</v>
      </c>
      <c r="W20" s="33">
        <f t="shared" si="8"/>
        <v>13128</v>
      </c>
      <c r="X20" s="33">
        <f t="shared" si="9"/>
        <v>24816</v>
      </c>
      <c r="Y20" s="24">
        <f t="shared" si="10"/>
        <v>16044.899999999994</v>
      </c>
      <c r="AA20">
        <v>10.34</v>
      </c>
      <c r="AB20">
        <v>43268.2</v>
      </c>
    </row>
    <row r="21" spans="1:28" x14ac:dyDescent="0.2">
      <c r="A21" s="3">
        <v>44123</v>
      </c>
      <c r="B21" s="7">
        <v>6.11</v>
      </c>
      <c r="C21" s="7">
        <v>5.2</v>
      </c>
      <c r="D21" s="7">
        <f t="shared" si="5"/>
        <v>0.54022988505747127</v>
      </c>
      <c r="E21" s="32">
        <f t="shared" si="2"/>
        <v>11.31</v>
      </c>
      <c r="F21" s="31">
        <f t="shared" si="3"/>
        <v>11.88</v>
      </c>
      <c r="G21" s="35">
        <f t="shared" si="4"/>
        <v>0.95202020202020199</v>
      </c>
      <c r="H21" s="5"/>
      <c r="J21" s="3">
        <v>44123</v>
      </c>
      <c r="K21" s="8">
        <v>118800</v>
      </c>
      <c r="L21" s="27">
        <f t="shared" si="1"/>
        <v>11.346350400000002</v>
      </c>
      <c r="M21" s="8"/>
      <c r="N21" s="3">
        <v>44123</v>
      </c>
      <c r="O21" s="34">
        <v>4.2</v>
      </c>
      <c r="Q21" s="3">
        <v>44123</v>
      </c>
      <c r="R21" s="13">
        <v>7.5</v>
      </c>
      <c r="S21" s="13">
        <v>5.87</v>
      </c>
      <c r="T21" s="13"/>
      <c r="U21" s="33">
        <f t="shared" si="6"/>
        <v>45825</v>
      </c>
      <c r="V21" s="33">
        <f t="shared" si="7"/>
        <v>13108.96551724138</v>
      </c>
      <c r="W21" s="33">
        <f t="shared" si="8"/>
        <v>15403.03448275862</v>
      </c>
      <c r="X21" s="33">
        <f t="shared" si="9"/>
        <v>28512</v>
      </c>
      <c r="Y21" s="24">
        <f t="shared" si="10"/>
        <v>17313</v>
      </c>
      <c r="AA21">
        <v>11.31</v>
      </c>
      <c r="AB21">
        <v>47837</v>
      </c>
    </row>
    <row r="22" spans="1:28" x14ac:dyDescent="0.2">
      <c r="A22" s="3">
        <v>44130</v>
      </c>
      <c r="B22" s="7">
        <v>4.18</v>
      </c>
      <c r="C22" s="7">
        <v>3.71</v>
      </c>
      <c r="D22" s="7">
        <f t="shared" si="5"/>
        <v>0.52978453738910014</v>
      </c>
      <c r="E22" s="32">
        <f t="shared" si="2"/>
        <v>7.89</v>
      </c>
      <c r="F22" s="31">
        <f t="shared" si="3"/>
        <v>7.3</v>
      </c>
      <c r="G22" s="35">
        <f t="shared" si="4"/>
        <v>1.0808219178082192</v>
      </c>
      <c r="H22" s="5"/>
      <c r="J22" s="3">
        <v>44130</v>
      </c>
      <c r="K22" s="8">
        <v>73000</v>
      </c>
      <c r="L22" s="27">
        <f t="shared" si="1"/>
        <v>7.8758240000000006</v>
      </c>
      <c r="M22" s="8"/>
      <c r="N22" s="3">
        <v>44130</v>
      </c>
      <c r="O22" s="34">
        <v>3.7</v>
      </c>
      <c r="Q22" s="3">
        <v>44130</v>
      </c>
      <c r="R22" s="13">
        <v>8.4600000000000009</v>
      </c>
      <c r="S22" s="13">
        <v>6.36</v>
      </c>
      <c r="T22" s="13"/>
      <c r="U22" s="33">
        <f t="shared" si="6"/>
        <v>35362.800000000003</v>
      </c>
      <c r="V22" s="33">
        <f t="shared" si="7"/>
        <v>8238.1749049429654</v>
      </c>
      <c r="W22" s="33">
        <f t="shared" si="8"/>
        <v>9281.8250950570346</v>
      </c>
      <c r="X22" s="33">
        <f t="shared" si="9"/>
        <v>17520</v>
      </c>
      <c r="Y22" s="24">
        <f t="shared" si="10"/>
        <v>17842.800000000003</v>
      </c>
      <c r="AA22">
        <v>7.89</v>
      </c>
      <c r="AB22">
        <v>41438.399999999994</v>
      </c>
    </row>
    <row r="23" spans="1:28" ht="15" customHeight="1" x14ac:dyDescent="0.2">
      <c r="A23">
        <f t="shared" ref="A23:G23" si="11">CORREL($Y$15:$Y$22,A15:A22)</f>
        <v>-0.65827615606320455</v>
      </c>
      <c r="B23">
        <f t="shared" si="11"/>
        <v>-0.80398462838872586</v>
      </c>
      <c r="C23">
        <f t="shared" si="11"/>
        <v>-0.82246883847560637</v>
      </c>
      <c r="D23">
        <f t="shared" si="11"/>
        <v>0.48781317765238907</v>
      </c>
      <c r="E23">
        <f t="shared" si="11"/>
        <v>-0.81771744593547135</v>
      </c>
      <c r="F23">
        <f t="shared" si="11"/>
        <v>-0.79347583503929509</v>
      </c>
      <c r="G23">
        <f t="shared" si="11"/>
        <v>0.64230843943994642</v>
      </c>
      <c r="H23"/>
      <c r="I23"/>
      <c r="J23">
        <f>CORREL($Y$15:$Y$22,J15:J22)</f>
        <v>-0.65827615606320455</v>
      </c>
      <c r="K23">
        <f>CORREL($Y$15:$Y$22,K15:K22)</f>
        <v>-0.79347583503929497</v>
      </c>
      <c r="L23">
        <f>CORREL($Y$15:$Y$22,L15:L22)</f>
        <v>-0.8180613205174776</v>
      </c>
      <c r="N23">
        <f>CORREL($Y$15:$Y$22,N15:N22)</f>
        <v>-0.65827615606320455</v>
      </c>
      <c r="O23">
        <f>CORREL(V15:V22,O15:O22)</f>
        <v>0.9130349632996464</v>
      </c>
      <c r="Q23">
        <f>CORREL($Y$15:$Y$22,Q15:Q22)</f>
        <v>-0.65827615606320455</v>
      </c>
      <c r="R23">
        <f>CORREL($Y$15:$Y$22,R15:R22)</f>
        <v>0.9513003570700479</v>
      </c>
      <c r="S23">
        <f>CORREL($Y$15:$Y$22,S15:S22)</f>
        <v>0.90549447250672066</v>
      </c>
      <c r="U23">
        <f>CORREL($Y$15:$Y$22,U15:U22)</f>
        <v>-0.48707025836473333</v>
      </c>
      <c r="V23">
        <f>CORREL($Y$15:$Y$22,V15:V22)</f>
        <v>-0.80085906643510008</v>
      </c>
      <c r="W23">
        <f>CORREL($Y$15:$Y$22,W15:W22)</f>
        <v>-0.78096260166359288</v>
      </c>
      <c r="X23">
        <f>CORREL($Y$15:$Y$22,X15:X22)</f>
        <v>-0.79347583503929497</v>
      </c>
      <c r="Y23">
        <f>CORREL($Y$15:$Y$22,Y15:Y22)</f>
        <v>1.0000000000000002</v>
      </c>
      <c r="AA23">
        <f>CORREL(AA15:AA22,AB15:AB22)</f>
        <v>9.6814754279837434E-2</v>
      </c>
      <c r="AB23" s="16"/>
    </row>
    <row r="24" spans="1:28" x14ac:dyDescent="0.2">
      <c r="A24" s="2" t="s">
        <v>2</v>
      </c>
      <c r="B24" s="7">
        <f>AVERAGE(B7:B23)</f>
        <v>4.2480009042124278</v>
      </c>
      <c r="C24" s="7">
        <f>AVERAGE(C7:C23)</f>
        <v>3.7139724212661402</v>
      </c>
      <c r="D24" s="7">
        <f>AVERAGE(D7:D22)</f>
        <v>0.53486343768028888</v>
      </c>
      <c r="G24" s="7"/>
      <c r="H24" s="7"/>
      <c r="J24" s="2" t="s">
        <v>2</v>
      </c>
      <c r="K24" s="8">
        <f>AVERAGE(K7:K23)</f>
        <v>81176.423913186169</v>
      </c>
      <c r="L24" s="8"/>
      <c r="M24" s="8"/>
      <c r="N24" s="2" t="s">
        <v>2</v>
      </c>
      <c r="O24" s="7">
        <f ca="1">AVERAGE(O7:O26)</f>
        <v>3.7118527968354496</v>
      </c>
      <c r="Q24" s="3" t="s">
        <v>2</v>
      </c>
      <c r="R24" s="13">
        <v>9.0437499999999993</v>
      </c>
      <c r="S24" s="13">
        <v>7.2362499999999992</v>
      </c>
      <c r="T24" s="13"/>
    </row>
    <row r="25" spans="1:28" x14ac:dyDescent="0.2">
      <c r="B25" s="7"/>
      <c r="C25" s="7"/>
      <c r="D25" s="7"/>
      <c r="E25" s="7"/>
      <c r="F25" s="7"/>
      <c r="G25" s="7"/>
      <c r="H25" s="7"/>
      <c r="Q25" s="3"/>
    </row>
    <row r="26" spans="1:28" x14ac:dyDescent="0.2">
      <c r="K26" s="8">
        <f>SUM(K7:K22)</f>
        <v>1380000</v>
      </c>
      <c r="L26" s="8"/>
      <c r="M26" s="8"/>
      <c r="O26">
        <f>CORREL(O7:O22,G7:G22)</f>
        <v>-0.99850245379736735</v>
      </c>
      <c r="Q26" s="3"/>
    </row>
    <row r="27" spans="1:28" x14ac:dyDescent="0.2">
      <c r="Q27" s="3"/>
    </row>
    <row r="28" spans="1:28" x14ac:dyDescent="0.2">
      <c r="K28" s="8">
        <f>SUM(K26:K26)</f>
        <v>1380000</v>
      </c>
      <c r="L28" s="8"/>
      <c r="M28" s="8"/>
      <c r="Q28" s="3"/>
      <c r="X28" s="13">
        <v>10.89</v>
      </c>
      <c r="Y28" s="13">
        <v>8.5</v>
      </c>
      <c r="Z28">
        <v>7.9712309660000003</v>
      </c>
      <c r="AA28">
        <v>10.081599819999999</v>
      </c>
    </row>
    <row r="29" spans="1:28" ht="13.5" thickBot="1" x14ac:dyDescent="0.25">
      <c r="K29" s="17">
        <f>K28*24</f>
        <v>33120000</v>
      </c>
      <c r="L29" s="17"/>
      <c r="M29" s="17"/>
      <c r="Q29" s="3"/>
      <c r="X29" s="13">
        <v>9.58</v>
      </c>
      <c r="Y29" s="13">
        <v>7.6</v>
      </c>
      <c r="Z29">
        <v>7.9066212839999999</v>
      </c>
      <c r="AA29">
        <v>9.901681688</v>
      </c>
    </row>
    <row r="30" spans="1:28" ht="15.75" thickBot="1" x14ac:dyDescent="0.25">
      <c r="K30" t="s">
        <v>13</v>
      </c>
      <c r="N30" s="18"/>
      <c r="O30" s="19" t="s">
        <v>5</v>
      </c>
      <c r="P30" s="19" t="s">
        <v>6</v>
      </c>
      <c r="Q30" s="19" t="s">
        <v>7</v>
      </c>
      <c r="X30" s="13">
        <v>7.83</v>
      </c>
      <c r="Y30" s="13">
        <v>5.87</v>
      </c>
      <c r="Z30">
        <v>5.7341933230000004</v>
      </c>
      <c r="AA30">
        <v>7.6278570800000001</v>
      </c>
    </row>
    <row r="31" spans="1:28" ht="15.75" thickBot="1" x14ac:dyDescent="0.25">
      <c r="N31" s="20" t="s">
        <v>4</v>
      </c>
      <c r="O31" s="21">
        <v>0.6</v>
      </c>
      <c r="P31" s="21">
        <v>0.4</v>
      </c>
      <c r="Q31" s="22" t="s">
        <v>14</v>
      </c>
      <c r="U31" s="7">
        <f>O15*(4-E15/4)*1000</f>
        <v>8695</v>
      </c>
      <c r="V31">
        <v>24128.400000000001</v>
      </c>
      <c r="W31">
        <f>V31/100000</f>
        <v>0.24128400000000003</v>
      </c>
      <c r="X31" s="13">
        <v>9.9</v>
      </c>
      <c r="Y31" s="13">
        <v>9.73</v>
      </c>
      <c r="Z31">
        <v>9.5411632639999997</v>
      </c>
      <c r="AA31">
        <v>10.051926699999999</v>
      </c>
    </row>
    <row r="32" spans="1:28" ht="15.75" thickBot="1" x14ac:dyDescent="0.25">
      <c r="N32" s="20" t="s">
        <v>8</v>
      </c>
      <c r="O32" s="21">
        <v>0.3</v>
      </c>
      <c r="P32" s="21">
        <v>0.25</v>
      </c>
      <c r="Q32" s="21">
        <v>0.45</v>
      </c>
      <c r="U32" s="7">
        <f t="shared" ref="U32:U38" si="12">O16*(4-E16/4)*1000</f>
        <v>8749.5000000000018</v>
      </c>
      <c r="V32">
        <v>19870.200000000004</v>
      </c>
      <c r="W32">
        <f t="shared" ref="W32:W38" si="13">V32/100000</f>
        <v>0.19870200000000005</v>
      </c>
      <c r="X32" s="13">
        <v>10.72</v>
      </c>
      <c r="Y32" s="13">
        <v>8.3699999999999992</v>
      </c>
      <c r="Z32">
        <v>8.3032181470000008</v>
      </c>
      <c r="AA32">
        <v>10.51055365</v>
      </c>
    </row>
    <row r="33" spans="1:27" x14ac:dyDescent="0.2">
      <c r="Q33" s="2"/>
      <c r="U33" s="7">
        <f t="shared" si="12"/>
        <v>5319.7500000000009</v>
      </c>
      <c r="V33">
        <v>18195.599999999999</v>
      </c>
      <c r="W33">
        <f t="shared" si="13"/>
        <v>0.18195599999999998</v>
      </c>
      <c r="X33" s="13">
        <v>7.47</v>
      </c>
      <c r="Y33" s="13">
        <v>5.59</v>
      </c>
      <c r="Z33">
        <v>5.846539173</v>
      </c>
      <c r="AA33">
        <v>7.7603662780000002</v>
      </c>
    </row>
    <row r="34" spans="1:27" x14ac:dyDescent="0.2">
      <c r="U34" s="7">
        <f t="shared" si="12"/>
        <v>9054</v>
      </c>
      <c r="V34">
        <v>22206</v>
      </c>
      <c r="W34">
        <f t="shared" si="13"/>
        <v>0.22206000000000001</v>
      </c>
      <c r="X34" s="13">
        <v>7.5</v>
      </c>
      <c r="Y34" s="13">
        <v>5.87</v>
      </c>
      <c r="Z34">
        <v>5.7098314820000002</v>
      </c>
      <c r="AA34">
        <v>7.4143253720000004</v>
      </c>
    </row>
    <row r="35" spans="1:27" x14ac:dyDescent="0.2">
      <c r="U35" s="7">
        <f t="shared" si="12"/>
        <v>9399</v>
      </c>
      <c r="V35">
        <v>21889.600000000006</v>
      </c>
      <c r="W35">
        <f t="shared" si="13"/>
        <v>0.21889600000000006</v>
      </c>
      <c r="X35" s="13">
        <v>8.4600000000000009</v>
      </c>
      <c r="Y35" s="13">
        <v>6.36</v>
      </c>
      <c r="Z35">
        <v>6.8772023600000001</v>
      </c>
      <c r="AA35">
        <v>9.0016894149999995</v>
      </c>
    </row>
    <row r="36" spans="1:27" x14ac:dyDescent="0.2">
      <c r="U36" s="7">
        <f t="shared" si="12"/>
        <v>5660</v>
      </c>
      <c r="V36">
        <v>16044.899999999994</v>
      </c>
      <c r="W36">
        <f t="shared" si="13"/>
        <v>0.16044899999999995</v>
      </c>
    </row>
    <row r="37" spans="1:27" x14ac:dyDescent="0.2">
      <c r="U37" s="7">
        <f t="shared" si="12"/>
        <v>4924.5</v>
      </c>
      <c r="V37">
        <v>17313</v>
      </c>
      <c r="W37">
        <f t="shared" si="13"/>
        <v>0.17313000000000001</v>
      </c>
    </row>
    <row r="38" spans="1:27" x14ac:dyDescent="0.2">
      <c r="U38" s="7">
        <f t="shared" si="12"/>
        <v>7501.7499999999991</v>
      </c>
      <c r="V38">
        <v>17842.800000000003</v>
      </c>
      <c r="W38">
        <f t="shared" si="13"/>
        <v>0.17842800000000003</v>
      </c>
    </row>
    <row r="43" spans="1:27" x14ac:dyDescent="0.2">
      <c r="C43" s="1">
        <v>4.5</v>
      </c>
    </row>
    <row r="44" spans="1:27" x14ac:dyDescent="0.2">
      <c r="C44" s="1">
        <v>3.7</v>
      </c>
      <c r="E44" s="1">
        <f>0.0594*C44^2-0.7269*C44+2.9578</f>
        <v>1.0814560000000002</v>
      </c>
      <c r="G44" s="1">
        <v>70000</v>
      </c>
      <c r="H44" s="1">
        <f>G44/10000*E46</f>
        <v>8.7654000000000014</v>
      </c>
    </row>
    <row r="45" spans="1:27" x14ac:dyDescent="0.2">
      <c r="C45" s="28" t="s">
        <v>20</v>
      </c>
      <c r="D45" s="28"/>
      <c r="E45" s="28" t="s">
        <v>21</v>
      </c>
    </row>
    <row r="46" spans="1:27" x14ac:dyDescent="0.2">
      <c r="A46" s="3"/>
      <c r="B46" s="8"/>
      <c r="C46" s="28">
        <v>3</v>
      </c>
      <c r="D46" s="29"/>
      <c r="E46" s="30">
        <f>-0.2476*C46+1.995</f>
        <v>1.2522000000000002</v>
      </c>
      <c r="F46" s="8"/>
      <c r="G46" s="8"/>
      <c r="H46" s="8"/>
      <c r="N46" s="3"/>
      <c r="U46" s="34">
        <v>3.7</v>
      </c>
      <c r="V46">
        <v>38768.400000000001</v>
      </c>
    </row>
    <row r="47" spans="1:27" x14ac:dyDescent="0.2">
      <c r="B47" s="7"/>
      <c r="C47" s="7"/>
      <c r="D47" s="7"/>
      <c r="E47" s="7"/>
      <c r="F47" s="7"/>
      <c r="G47" s="7"/>
      <c r="H47" s="7"/>
      <c r="U47" s="34">
        <v>3.8</v>
      </c>
      <c r="V47">
        <v>35350.200000000004</v>
      </c>
    </row>
    <row r="48" spans="1:27" ht="12.75" customHeight="1" x14ac:dyDescent="0.2">
      <c r="I48" s="1">
        <v>4.5</v>
      </c>
      <c r="J48" s="26">
        <v>0.8887362637362638</v>
      </c>
      <c r="U48" s="34">
        <v>4.0999999999999996</v>
      </c>
      <c r="V48">
        <v>44787.6</v>
      </c>
    </row>
    <row r="49" spans="9:22" x14ac:dyDescent="0.2">
      <c r="I49" s="1">
        <v>4.3</v>
      </c>
      <c r="J49" s="26">
        <v>0.93002028397565928</v>
      </c>
      <c r="U49" s="34">
        <v>3.6</v>
      </c>
      <c r="V49">
        <v>35046</v>
      </c>
    </row>
    <row r="50" spans="9:22" x14ac:dyDescent="0.2">
      <c r="I50" s="1">
        <v>3.7</v>
      </c>
      <c r="J50" s="26">
        <v>1.0805555555555555</v>
      </c>
      <c r="U50" s="34">
        <v>3.9</v>
      </c>
      <c r="V50">
        <v>36769.600000000006</v>
      </c>
    </row>
    <row r="51" spans="9:22" x14ac:dyDescent="0.2">
      <c r="I51" s="1">
        <v>4.2</v>
      </c>
      <c r="J51" s="26">
        <v>0.95192307692307687</v>
      </c>
      <c r="U51" s="34">
        <v>4</v>
      </c>
      <c r="V51">
        <v>40860.899999999994</v>
      </c>
    </row>
    <row r="52" spans="9:22" x14ac:dyDescent="0.2">
      <c r="I52" s="1">
        <v>3.8</v>
      </c>
      <c r="J52" s="26">
        <v>1.0528169014084505</v>
      </c>
      <c r="U52" s="34">
        <v>4.2</v>
      </c>
      <c r="V52">
        <v>45825</v>
      </c>
    </row>
    <row r="53" spans="9:22" x14ac:dyDescent="0.2">
      <c r="I53" s="1">
        <v>4.4000000000000004</v>
      </c>
      <c r="J53" s="26">
        <v>0.90874159462055726</v>
      </c>
      <c r="U53" s="34">
        <v>3.7</v>
      </c>
      <c r="V53">
        <v>35362.800000000003</v>
      </c>
    </row>
    <row r="54" spans="9:22" x14ac:dyDescent="0.2">
      <c r="I54" s="1">
        <v>4.3</v>
      </c>
      <c r="J54" s="26">
        <v>0.92987804878048785</v>
      </c>
    </row>
    <row r="55" spans="9:22" x14ac:dyDescent="0.2">
      <c r="I55" s="1">
        <v>3.9</v>
      </c>
      <c r="J55" s="26">
        <v>1.0255362614913177</v>
      </c>
      <c r="Q55" s="3"/>
    </row>
    <row r="56" spans="9:22" x14ac:dyDescent="0.2">
      <c r="I56" s="1">
        <v>3.7</v>
      </c>
      <c r="J56" s="26">
        <v>1.0819672131147542</v>
      </c>
    </row>
    <row r="57" spans="9:22" x14ac:dyDescent="0.2">
      <c r="I57" s="1">
        <v>3.8</v>
      </c>
      <c r="J57" s="26">
        <v>1.0527131782945736</v>
      </c>
    </row>
    <row r="58" spans="9:22" x14ac:dyDescent="0.2">
      <c r="I58" s="1">
        <v>4.0999999999999996</v>
      </c>
      <c r="J58" s="26">
        <v>0.97563176895306847</v>
      </c>
    </row>
    <row r="59" spans="9:22" x14ac:dyDescent="0.2">
      <c r="I59" s="1">
        <v>3.6</v>
      </c>
      <c r="J59" s="26">
        <v>1.1102803738317757</v>
      </c>
    </row>
    <row r="60" spans="9:22" x14ac:dyDescent="0.2">
      <c r="I60" s="1">
        <v>3.9</v>
      </c>
      <c r="J60" s="26">
        <v>1.0258064516129033</v>
      </c>
    </row>
    <row r="61" spans="9:22" x14ac:dyDescent="0.2">
      <c r="I61" s="1">
        <v>4</v>
      </c>
      <c r="J61" s="26">
        <v>1</v>
      </c>
    </row>
    <row r="62" spans="9:22" x14ac:dyDescent="0.2">
      <c r="I62" s="1">
        <v>4.2</v>
      </c>
      <c r="J62" s="26">
        <v>0.95202020202020199</v>
      </c>
    </row>
    <row r="63" spans="9:22" x14ac:dyDescent="0.2">
      <c r="I63" s="1">
        <v>3.7</v>
      </c>
      <c r="J63" s="26">
        <v>1.0808219178082192</v>
      </c>
      <c r="M63" s="36">
        <v>4.5</v>
      </c>
      <c r="N63">
        <f>K7/E7</f>
        <v>11251.93199381762</v>
      </c>
    </row>
    <row r="64" spans="9:22" x14ac:dyDescent="0.2">
      <c r="M64" s="36">
        <v>4.3</v>
      </c>
      <c r="N64">
        <f t="shared" ref="N64:N78" si="14">K8/E8</f>
        <v>10752.453653217011</v>
      </c>
    </row>
    <row r="65" spans="1:28" x14ac:dyDescent="0.2">
      <c r="M65" s="36">
        <v>3.7</v>
      </c>
      <c r="N65">
        <f t="shared" si="14"/>
        <v>9254.4987146529566</v>
      </c>
    </row>
    <row r="66" spans="1:28" x14ac:dyDescent="0.2">
      <c r="M66" s="36">
        <v>4.2</v>
      </c>
      <c r="N66">
        <f t="shared" si="14"/>
        <v>10505.050505050505</v>
      </c>
      <c r="AA66">
        <v>7.9712309660000003</v>
      </c>
      <c r="AB66">
        <v>10.081599819999999</v>
      </c>
    </row>
    <row r="67" spans="1:28" x14ac:dyDescent="0.2">
      <c r="M67" s="36">
        <v>3.8</v>
      </c>
      <c r="N67">
        <f t="shared" si="14"/>
        <v>9498.3277591973256</v>
      </c>
      <c r="AA67">
        <v>7.9066212839999999</v>
      </c>
      <c r="AB67">
        <v>9.901681688</v>
      </c>
    </row>
    <row r="68" spans="1:28" x14ac:dyDescent="0.2">
      <c r="A68" s="3"/>
      <c r="C68"/>
      <c r="D68"/>
      <c r="E68"/>
      <c r="F68"/>
      <c r="G68"/>
      <c r="H68"/>
      <c r="J68" s="3"/>
      <c r="M68" s="36">
        <v>4.4000000000000004</v>
      </c>
      <c r="N68">
        <f t="shared" si="14"/>
        <v>11004.228329809725</v>
      </c>
      <c r="AA68">
        <v>5.7341933230000004</v>
      </c>
      <c r="AB68">
        <v>7.6278570800000001</v>
      </c>
    </row>
    <row r="69" spans="1:28" x14ac:dyDescent="0.2">
      <c r="M69" s="36">
        <v>4.3</v>
      </c>
      <c r="N69">
        <f t="shared" si="14"/>
        <v>10754.098360655737</v>
      </c>
      <c r="AA69">
        <v>9.5411632639999997</v>
      </c>
      <c r="AB69">
        <v>10.051926699999999</v>
      </c>
    </row>
    <row r="70" spans="1:28" x14ac:dyDescent="0.2">
      <c r="J70" s="15"/>
      <c r="M70" s="36">
        <v>3.9</v>
      </c>
      <c r="N70">
        <f t="shared" si="14"/>
        <v>9750.9960159362563</v>
      </c>
      <c r="AA70">
        <v>8.3032181470000008</v>
      </c>
      <c r="AB70">
        <v>10.51055365</v>
      </c>
    </row>
    <row r="71" spans="1:28" x14ac:dyDescent="0.2">
      <c r="M71" s="36">
        <v>3.7</v>
      </c>
      <c r="N71">
        <f t="shared" si="14"/>
        <v>9242.424242424242</v>
      </c>
      <c r="AA71">
        <v>5.846539173</v>
      </c>
      <c r="AB71">
        <v>7.7603662780000002</v>
      </c>
    </row>
    <row r="72" spans="1:28" x14ac:dyDescent="0.2">
      <c r="J72" s="10"/>
      <c r="M72" s="36">
        <v>3.8</v>
      </c>
      <c r="N72">
        <f t="shared" si="14"/>
        <v>9499.2636229749623</v>
      </c>
      <c r="AA72">
        <v>5.7098314820000002</v>
      </c>
      <c r="AB72">
        <v>7.4143253720000004</v>
      </c>
    </row>
    <row r="73" spans="1:28" x14ac:dyDescent="0.2">
      <c r="J73" s="3"/>
      <c r="M73" s="36">
        <v>4.0999999999999996</v>
      </c>
      <c r="N73">
        <f t="shared" si="14"/>
        <v>10249.768732654951</v>
      </c>
      <c r="AA73">
        <v>6.8772023600000001</v>
      </c>
      <c r="AB73">
        <v>9.0016894149999995</v>
      </c>
    </row>
    <row r="74" spans="1:28" x14ac:dyDescent="0.2">
      <c r="J74" s="3"/>
      <c r="M74" s="36">
        <v>3.6</v>
      </c>
      <c r="N74">
        <f t="shared" si="14"/>
        <v>9006.7340067340083</v>
      </c>
    </row>
    <row r="75" spans="1:28" x14ac:dyDescent="0.2">
      <c r="J75" s="3"/>
      <c r="M75" s="36">
        <v>3.9</v>
      </c>
      <c r="N75">
        <f t="shared" si="14"/>
        <v>9748.4276729559751</v>
      </c>
    </row>
    <row r="76" spans="1:28" x14ac:dyDescent="0.2">
      <c r="J76" s="3"/>
      <c r="M76" s="36">
        <v>4</v>
      </c>
      <c r="N76">
        <f t="shared" si="14"/>
        <v>10000</v>
      </c>
    </row>
    <row r="77" spans="1:28" x14ac:dyDescent="0.2">
      <c r="J77" s="3"/>
      <c r="M77" s="36">
        <v>4.2</v>
      </c>
      <c r="N77">
        <f t="shared" si="14"/>
        <v>10503.978779840849</v>
      </c>
      <c r="Q77" s="3"/>
    </row>
    <row r="78" spans="1:28" x14ac:dyDescent="0.2">
      <c r="J78" s="3"/>
      <c r="M78" s="36">
        <v>3.7</v>
      </c>
      <c r="N78">
        <f t="shared" si="14"/>
        <v>9252.2179974651463</v>
      </c>
    </row>
    <row r="79" spans="1:28" x14ac:dyDescent="0.2">
      <c r="J79" s="3"/>
      <c r="N79" s="3"/>
      <c r="Q79" s="15"/>
    </row>
    <row r="80" spans="1:28" x14ac:dyDescent="0.2">
      <c r="J80" s="3"/>
      <c r="N80" s="3"/>
    </row>
    <row r="81" spans="1:18" x14ac:dyDescent="0.2">
      <c r="Q81" s="10"/>
    </row>
    <row r="82" spans="1:18" x14ac:dyDescent="0.2">
      <c r="Q82" s="3"/>
    </row>
    <row r="83" spans="1:18" x14ac:dyDescent="0.2">
      <c r="A83" s="14"/>
      <c r="B83" s="14"/>
      <c r="C83" s="14"/>
      <c r="D83" s="14"/>
      <c r="E83" s="14"/>
      <c r="F83" s="14"/>
      <c r="G83" s="14"/>
      <c r="H83" s="14"/>
      <c r="J83" s="14"/>
      <c r="N83" s="14"/>
      <c r="Q83" s="3"/>
    </row>
    <row r="84" spans="1:18" x14ac:dyDescent="0.2">
      <c r="A84" s="14"/>
      <c r="B84" s="14"/>
      <c r="C84" s="14"/>
      <c r="D84" s="14"/>
      <c r="E84" s="14"/>
      <c r="F84" s="14"/>
      <c r="G84" s="14"/>
      <c r="H84" s="14"/>
      <c r="J84" s="14"/>
      <c r="N84" s="14"/>
      <c r="Q84" s="3"/>
    </row>
    <row r="85" spans="1:18" x14ac:dyDescent="0.2">
      <c r="Q85" s="3"/>
    </row>
    <row r="86" spans="1:18" x14ac:dyDescent="0.2">
      <c r="Q86" s="3"/>
    </row>
    <row r="87" spans="1:18" ht="13.5" thickBot="1" x14ac:dyDescent="0.25">
      <c r="Q87" s="3"/>
    </row>
    <row r="88" spans="1:18" ht="45.75" thickBot="1" x14ac:dyDescent="0.25">
      <c r="O88" s="38" t="s">
        <v>31</v>
      </c>
      <c r="P88" s="19" t="s">
        <v>32</v>
      </c>
      <c r="Q88" s="3" t="s">
        <v>33</v>
      </c>
      <c r="R88" t="s">
        <v>34</v>
      </c>
    </row>
    <row r="89" spans="1:18" ht="15.75" thickBot="1" x14ac:dyDescent="0.25">
      <c r="N89" s="1">
        <v>2.9562500000000007</v>
      </c>
      <c r="O89" s="39">
        <v>12</v>
      </c>
      <c r="P89" s="22">
        <v>350</v>
      </c>
      <c r="Q89" s="7">
        <f>O89-$R$24</f>
        <v>2.9562500000000007</v>
      </c>
      <c r="R89">
        <f>Q89*P89</f>
        <v>1034.6875000000002</v>
      </c>
    </row>
    <row r="90" spans="1:18" ht="15.75" thickBot="1" x14ac:dyDescent="0.25">
      <c r="N90" s="1">
        <v>1.4562500000000007</v>
      </c>
      <c r="O90" s="39">
        <v>10.5</v>
      </c>
      <c r="P90" s="22">
        <v>450</v>
      </c>
      <c r="Q90" s="7">
        <f>O90-$R$24</f>
        <v>1.4562500000000007</v>
      </c>
      <c r="R90">
        <f t="shared" ref="R90:R92" si="15">Q90*P90</f>
        <v>655.31250000000034</v>
      </c>
    </row>
    <row r="91" spans="1:18" ht="15.75" thickBot="1" x14ac:dyDescent="0.25">
      <c r="N91" s="1">
        <v>-4.3749999999999289E-2</v>
      </c>
      <c r="O91" s="39">
        <v>9</v>
      </c>
      <c r="P91" s="22">
        <v>650</v>
      </c>
      <c r="Q91" s="7">
        <f>O91-$R$24</f>
        <v>-4.3749999999999289E-2</v>
      </c>
      <c r="R91">
        <f t="shared" si="15"/>
        <v>-28.437499999999538</v>
      </c>
    </row>
    <row r="92" spans="1:18" ht="15.75" thickBot="1" x14ac:dyDescent="0.25">
      <c r="N92" s="1">
        <v>-1.5437499999999993</v>
      </c>
      <c r="O92" s="39">
        <v>7.5</v>
      </c>
      <c r="P92" s="22">
        <v>900</v>
      </c>
      <c r="Q92" s="7">
        <f>O92-$R$24</f>
        <v>-1.5437499999999993</v>
      </c>
      <c r="R92">
        <f t="shared" si="15"/>
        <v>-1389.3749999999993</v>
      </c>
    </row>
    <row r="93" spans="1:18" x14ac:dyDescent="0.2">
      <c r="Q93" s="14"/>
    </row>
    <row r="100" spans="15:19" x14ac:dyDescent="0.2">
      <c r="O100" s="13">
        <v>10.89</v>
      </c>
      <c r="P100" s="7">
        <v>3.56</v>
      </c>
      <c r="R100" s="13">
        <v>8.5</v>
      </c>
      <c r="S100" s="7">
        <v>3.04</v>
      </c>
    </row>
    <row r="101" spans="15:19" x14ac:dyDescent="0.2">
      <c r="O101" s="13">
        <v>9.58</v>
      </c>
      <c r="P101" s="7">
        <v>3.69</v>
      </c>
      <c r="R101" s="13">
        <v>7.6</v>
      </c>
      <c r="S101" s="7">
        <v>3.1</v>
      </c>
    </row>
    <row r="102" spans="15:19" x14ac:dyDescent="0.2">
      <c r="O102" s="13">
        <v>7.83</v>
      </c>
      <c r="P102" s="7">
        <v>5.72</v>
      </c>
      <c r="R102" s="13">
        <v>5.87</v>
      </c>
      <c r="S102" s="7">
        <v>5.09</v>
      </c>
    </row>
    <row r="103" spans="15:19" x14ac:dyDescent="0.2">
      <c r="O103" s="13">
        <v>9.9</v>
      </c>
      <c r="P103" s="7">
        <v>3.54</v>
      </c>
      <c r="R103" s="13">
        <v>9.73</v>
      </c>
      <c r="S103" s="7">
        <v>2.4</v>
      </c>
    </row>
    <row r="104" spans="15:19" x14ac:dyDescent="0.2">
      <c r="O104" s="13">
        <v>10.72</v>
      </c>
      <c r="P104" s="7">
        <v>3.43</v>
      </c>
      <c r="R104" s="13">
        <v>8.3699999999999992</v>
      </c>
      <c r="S104" s="7">
        <v>2.93</v>
      </c>
    </row>
    <row r="105" spans="15:19" x14ac:dyDescent="0.2">
      <c r="O105" s="13">
        <v>7.47</v>
      </c>
      <c r="P105" s="7">
        <v>5.47</v>
      </c>
      <c r="R105" s="13">
        <v>5.59</v>
      </c>
      <c r="S105" s="7">
        <v>4.87</v>
      </c>
    </row>
    <row r="106" spans="15:19" x14ac:dyDescent="0.2">
      <c r="O106" s="13">
        <v>7.5</v>
      </c>
      <c r="P106" s="7">
        <v>6.11</v>
      </c>
      <c r="R106" s="13">
        <v>5.87</v>
      </c>
      <c r="S106" s="7">
        <v>5.2</v>
      </c>
    </row>
    <row r="107" spans="15:19" x14ac:dyDescent="0.2">
      <c r="O107" s="13">
        <v>8.4600000000000009</v>
      </c>
      <c r="P107" s="7">
        <v>4.18</v>
      </c>
      <c r="R107" s="13">
        <v>6.36</v>
      </c>
      <c r="S107" s="7">
        <v>3.71</v>
      </c>
    </row>
  </sheetData>
  <conditionalFormatting sqref="AB15:AB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{F58F8C7B-1D85-4975-96D3-349FFF8C52CD}</x14:id>
        </ext>
      </extLst>
    </cfRule>
  </conditionalFormatting>
  <pageMargins left="0.75" right="0.75" top="1" bottom="1" header="0.5" footer="0.5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8F8C7B-1D85-4975-96D3-349FFF8C52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AB15:AB22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2913-9AFB-4BD1-9C9C-B1ACC38ABE2E}">
  <dimension ref="A1:AN98"/>
  <sheetViews>
    <sheetView topLeftCell="A28" zoomScaleNormal="100" workbookViewId="0">
      <selection activeCell="P51" sqref="P51"/>
    </sheetView>
  </sheetViews>
  <sheetFormatPr defaultRowHeight="12.75" x14ac:dyDescent="0.2"/>
  <cols>
    <col min="1" max="1" width="9.5703125" bestFit="1" customWidth="1"/>
    <col min="2" max="2" width="15.140625" customWidth="1"/>
    <col min="3" max="3" width="15.5703125" customWidth="1"/>
    <col min="8" max="8" width="10.5703125" bestFit="1" customWidth="1"/>
    <col min="9" max="10" width="11.5703125" bestFit="1" customWidth="1"/>
    <col min="12" max="12" width="11.5703125" bestFit="1" customWidth="1"/>
  </cols>
  <sheetData>
    <row r="1" spans="1:36" ht="25.5" customHeight="1" thickBot="1" x14ac:dyDescent="0.25">
      <c r="A1" s="18"/>
      <c r="B1" s="19" t="s">
        <v>32</v>
      </c>
      <c r="C1" s="19" t="s">
        <v>35</v>
      </c>
    </row>
    <row r="2" spans="1:36" ht="15.75" thickBot="1" x14ac:dyDescent="0.25">
      <c r="A2" s="20" t="s">
        <v>5</v>
      </c>
      <c r="B2" s="41">
        <v>450</v>
      </c>
      <c r="C2" s="22">
        <v>10.5</v>
      </c>
    </row>
    <row r="3" spans="1:36" ht="15.75" thickBot="1" x14ac:dyDescent="0.25">
      <c r="A3" s="20" t="s">
        <v>6</v>
      </c>
      <c r="B3" s="41">
        <v>300</v>
      </c>
      <c r="C3" s="22">
        <v>7</v>
      </c>
    </row>
    <row r="4" spans="1:36" ht="15.75" thickBot="1" x14ac:dyDescent="0.25">
      <c r="A4" s="20" t="s">
        <v>7</v>
      </c>
      <c r="B4" s="41">
        <v>450</v>
      </c>
      <c r="C4" s="22">
        <v>7</v>
      </c>
    </row>
    <row r="6" spans="1:36" ht="13.5" thickBot="1" x14ac:dyDescent="0.25"/>
    <row r="7" spans="1:36" ht="30.75" thickBot="1" x14ac:dyDescent="0.25">
      <c r="A7" s="38" t="s">
        <v>36</v>
      </c>
      <c r="B7" s="19" t="s">
        <v>32</v>
      </c>
      <c r="C7" t="s">
        <v>47</v>
      </c>
    </row>
    <row r="8" spans="1:36" ht="15.75" thickBot="1" x14ac:dyDescent="0.25">
      <c r="A8" s="39">
        <v>12</v>
      </c>
      <c r="B8" s="22">
        <v>350</v>
      </c>
    </row>
    <row r="9" spans="1:36" ht="15.75" thickBot="1" x14ac:dyDescent="0.25">
      <c r="A9" s="39">
        <v>10.5</v>
      </c>
      <c r="B9" s="22">
        <v>450</v>
      </c>
    </row>
    <row r="10" spans="1:36" ht="15.75" thickBot="1" x14ac:dyDescent="0.25">
      <c r="A10" s="39">
        <v>9</v>
      </c>
      <c r="B10" s="22">
        <v>650</v>
      </c>
    </row>
    <row r="11" spans="1:36" ht="15.75" thickBot="1" x14ac:dyDescent="0.25">
      <c r="A11" s="39">
        <v>7.5</v>
      </c>
      <c r="B11" s="22">
        <v>900</v>
      </c>
    </row>
    <row r="12" spans="1:36" ht="15" x14ac:dyDescent="0.2">
      <c r="A12" s="40"/>
      <c r="B12" s="40"/>
    </row>
    <row r="14" spans="1:36" x14ac:dyDescent="0.2">
      <c r="A14" s="16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T14" s="1"/>
      <c r="U14" s="16" t="s">
        <v>9</v>
      </c>
      <c r="V14" s="4"/>
      <c r="W14" s="4"/>
      <c r="Y14" s="16" t="s">
        <v>10</v>
      </c>
      <c r="Z14" s="15"/>
      <c r="AA14" s="15"/>
      <c r="AB14" s="16" t="s">
        <v>12</v>
      </c>
      <c r="AC14" s="1"/>
      <c r="AD14" s="1"/>
      <c r="AE14" s="1"/>
      <c r="AF14" s="1"/>
      <c r="AG14" s="1"/>
      <c r="AH14" s="1"/>
      <c r="AI14" s="1"/>
      <c r="AJ14" s="1"/>
    </row>
    <row r="15" spans="1:36" x14ac:dyDescent="0.2">
      <c r="A15" s="1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T15" s="1"/>
      <c r="U15" s="16"/>
      <c r="V15" s="4"/>
      <c r="W15" s="4"/>
      <c r="Y15" s="16" t="s">
        <v>11</v>
      </c>
      <c r="Z15" s="15"/>
      <c r="AA15" s="15"/>
      <c r="AB15" s="16"/>
      <c r="AC15" s="1"/>
      <c r="AD15" s="1"/>
      <c r="AE15" s="1"/>
      <c r="AF15" s="1"/>
      <c r="AG15" s="1"/>
      <c r="AH15" s="1"/>
      <c r="AI15" s="1"/>
      <c r="AJ15" s="1"/>
    </row>
    <row r="16" spans="1:36" x14ac:dyDescent="0.2">
      <c r="B16" s="1" t="s">
        <v>4</v>
      </c>
      <c r="C16" s="1"/>
      <c r="D16" s="1"/>
      <c r="E16" s="1"/>
      <c r="F16" s="1"/>
      <c r="G16" s="1"/>
      <c r="H16" s="1"/>
      <c r="I16" s="1"/>
      <c r="J16" s="1"/>
      <c r="K16" s="1" t="s">
        <v>8</v>
      </c>
      <c r="L16" s="1"/>
      <c r="T16" s="1"/>
      <c r="V16" s="7" t="s">
        <v>4</v>
      </c>
      <c r="W16" s="7" t="s">
        <v>8</v>
      </c>
      <c r="Z16" s="5"/>
      <c r="AC16" s="1" t="s">
        <v>4</v>
      </c>
      <c r="AD16" s="1"/>
      <c r="AE16" s="1"/>
      <c r="AF16" s="1"/>
      <c r="AG16" s="1"/>
      <c r="AH16" s="1" t="s">
        <v>8</v>
      </c>
      <c r="AI16" s="1"/>
      <c r="AJ16" s="1"/>
    </row>
    <row r="17" spans="1:38" ht="38.25" x14ac:dyDescent="0.2">
      <c r="A17" s="10" t="s">
        <v>0</v>
      </c>
      <c r="B17" s="1" t="s">
        <v>5</v>
      </c>
      <c r="C17" s="1" t="s">
        <v>6</v>
      </c>
      <c r="D17" s="1" t="s">
        <v>23</v>
      </c>
      <c r="E17" s="1" t="s">
        <v>22</v>
      </c>
      <c r="F17" s="1" t="s">
        <v>19</v>
      </c>
      <c r="G17" s="1"/>
      <c r="H17" s="1"/>
      <c r="I17" s="1"/>
      <c r="J17" s="1"/>
      <c r="K17" s="1" t="s">
        <v>5</v>
      </c>
      <c r="L17" s="1" t="s">
        <v>6</v>
      </c>
      <c r="M17" s="1" t="s">
        <v>7</v>
      </c>
      <c r="N17" s="1" t="s">
        <v>23</v>
      </c>
      <c r="O17" s="1" t="s">
        <v>22</v>
      </c>
      <c r="P17" s="1" t="s">
        <v>19</v>
      </c>
      <c r="Q17" s="1"/>
      <c r="R17" s="1"/>
      <c r="S17" s="1"/>
      <c r="T17" s="1"/>
      <c r="U17" s="10" t="s">
        <v>0</v>
      </c>
      <c r="V17" s="7"/>
      <c r="W17" s="7"/>
      <c r="Y17" s="10" t="s">
        <v>0</v>
      </c>
      <c r="Z17" s="11"/>
      <c r="AB17" s="10" t="s">
        <v>0</v>
      </c>
      <c r="AC17" s="12" t="s">
        <v>5</v>
      </c>
      <c r="AD17" s="12" t="s">
        <v>6</v>
      </c>
      <c r="AE17" s="12"/>
      <c r="AF17" s="12"/>
      <c r="AG17" s="12"/>
      <c r="AH17" s="12" t="s">
        <v>5</v>
      </c>
      <c r="AI17" s="12" t="s">
        <v>6</v>
      </c>
      <c r="AJ17" s="12" t="s">
        <v>7</v>
      </c>
    </row>
    <row r="18" spans="1:38" x14ac:dyDescent="0.2">
      <c r="A18" s="3">
        <v>43955</v>
      </c>
      <c r="B18" s="7">
        <v>3.43</v>
      </c>
      <c r="C18" s="7">
        <v>3.04</v>
      </c>
      <c r="D18" s="32">
        <f>SUM(B18:C18)</f>
        <v>6.4700000000000006</v>
      </c>
      <c r="E18" s="31">
        <f>V18/10000</f>
        <v>7.28</v>
      </c>
      <c r="F18" s="35">
        <f>D18/E18</f>
        <v>0.8887362637362638</v>
      </c>
      <c r="G18" s="26">
        <f>B18/SUM($B18:$C18)</f>
        <v>0.5301391035548686</v>
      </c>
      <c r="H18" s="26">
        <f>C18/SUM($B18:$C18)</f>
        <v>0.46986089644513135</v>
      </c>
      <c r="I18" s="5">
        <f>B18/C18</f>
        <v>1.1282894736842106</v>
      </c>
      <c r="J18" s="5"/>
      <c r="K18" s="7">
        <v>4.55</v>
      </c>
      <c r="L18" s="7">
        <v>2.4700000000000002</v>
      </c>
      <c r="M18" s="7">
        <v>10.15</v>
      </c>
      <c r="N18" s="32">
        <f t="shared" ref="N18:N33" si="0">SUM(K18:M18)</f>
        <v>17.170000000000002</v>
      </c>
      <c r="O18" s="31">
        <f>W18/10000</f>
        <v>20.95</v>
      </c>
      <c r="P18" s="35">
        <f>N18/O18</f>
        <v>0.81957040572792372</v>
      </c>
      <c r="Q18" s="35">
        <f>K18/SUM($K18:$M18)</f>
        <v>0.26499708794408849</v>
      </c>
      <c r="R18" s="35">
        <f>L18/SUM($K18:$M18)</f>
        <v>0.14385556202679092</v>
      </c>
      <c r="S18" s="35">
        <f>M18/SUM($K18:$M18)</f>
        <v>0.59114735002912056</v>
      </c>
      <c r="T18" s="1"/>
      <c r="U18" s="3">
        <v>43955</v>
      </c>
      <c r="V18" s="8">
        <v>72800</v>
      </c>
      <c r="W18" s="8">
        <v>209500</v>
      </c>
      <c r="Y18" s="3">
        <v>43955</v>
      </c>
      <c r="Z18" s="5">
        <v>4.5</v>
      </c>
      <c r="AB18" s="10"/>
      <c r="AC18" s="12"/>
      <c r="AD18" s="12"/>
      <c r="AE18" s="12"/>
      <c r="AF18" s="12"/>
      <c r="AG18" s="12"/>
      <c r="AH18" s="12"/>
      <c r="AI18" s="12"/>
      <c r="AJ18" s="12"/>
    </row>
    <row r="19" spans="1:38" x14ac:dyDescent="0.2">
      <c r="A19" s="3">
        <v>43962</v>
      </c>
      <c r="B19" s="7">
        <v>4.96</v>
      </c>
      <c r="C19" s="7">
        <v>4.21</v>
      </c>
      <c r="D19" s="32">
        <f t="shared" ref="D19:D33" si="1">SUM(B19:C19)</f>
        <v>9.17</v>
      </c>
      <c r="E19" s="31">
        <f t="shared" ref="E19:E33" si="2">V19/10000</f>
        <v>9.86</v>
      </c>
      <c r="F19" s="35">
        <f t="shared" ref="F19:F33" si="3">D19/E19</f>
        <v>0.93002028397565928</v>
      </c>
      <c r="G19" s="26">
        <f t="shared" ref="G19:H33" si="4">B19/SUM($B19:$C19)</f>
        <v>0.54089422028353329</v>
      </c>
      <c r="H19" s="26">
        <f t="shared" si="4"/>
        <v>0.45910577971646677</v>
      </c>
      <c r="I19" s="5">
        <f t="shared" ref="I19:I33" si="5">B19/C19</f>
        <v>1.178147268408551</v>
      </c>
      <c r="J19" s="5"/>
      <c r="K19" s="7">
        <v>4.99</v>
      </c>
      <c r="L19" s="7">
        <v>2.1</v>
      </c>
      <c r="M19" s="7">
        <v>9.49</v>
      </c>
      <c r="N19" s="32">
        <f t="shared" si="0"/>
        <v>16.579999999999998</v>
      </c>
      <c r="O19" s="31">
        <f t="shared" ref="O19:O32" si="6">W19/10000</f>
        <v>18.149999999999999</v>
      </c>
      <c r="P19" s="35">
        <f t="shared" ref="P19:P33" si="7">N19/O19</f>
        <v>0.91349862258953163</v>
      </c>
      <c r="Q19" s="35">
        <f t="shared" ref="Q19:Q33" si="8">K19/SUM($K19:$M19)</f>
        <v>0.30096501809408932</v>
      </c>
      <c r="R19" s="35">
        <f t="shared" ref="R19:R33" si="9">L19/SUM($K19:$M19)</f>
        <v>0.12665862484921594</v>
      </c>
      <c r="S19" s="35">
        <f t="shared" ref="S19:S33" si="10">M19/SUM($K19:$M19)</f>
        <v>0.57237635705669487</v>
      </c>
      <c r="T19" s="1"/>
      <c r="U19" s="3">
        <v>43962</v>
      </c>
      <c r="V19" s="8">
        <v>98600</v>
      </c>
      <c r="W19" s="8">
        <v>181500</v>
      </c>
      <c r="Y19" s="3">
        <v>43962</v>
      </c>
      <c r="Z19" s="5">
        <v>4.3</v>
      </c>
      <c r="AB19" s="10"/>
      <c r="AC19" s="12"/>
      <c r="AD19" s="12"/>
      <c r="AE19" s="12"/>
      <c r="AF19" s="12"/>
      <c r="AG19" s="12"/>
      <c r="AH19" s="12"/>
      <c r="AI19" s="12"/>
      <c r="AJ19" s="12"/>
    </row>
    <row r="20" spans="1:38" x14ac:dyDescent="0.2">
      <c r="A20" s="3">
        <v>43969</v>
      </c>
      <c r="B20" s="7">
        <v>4.09</v>
      </c>
      <c r="C20" s="7">
        <v>3.69</v>
      </c>
      <c r="D20" s="32">
        <f t="shared" si="1"/>
        <v>7.7799999999999994</v>
      </c>
      <c r="E20" s="31">
        <f t="shared" si="2"/>
        <v>7.2</v>
      </c>
      <c r="F20" s="35">
        <f t="shared" si="3"/>
        <v>1.0805555555555555</v>
      </c>
      <c r="G20" s="26">
        <f t="shared" si="4"/>
        <v>0.52570694087403602</v>
      </c>
      <c r="H20" s="26">
        <f t="shared" si="4"/>
        <v>0.47429305912596403</v>
      </c>
      <c r="I20" s="5">
        <f t="shared" si="5"/>
        <v>1.10840108401084</v>
      </c>
      <c r="J20" s="5"/>
      <c r="K20" s="7">
        <v>3.23</v>
      </c>
      <c r="L20" s="7">
        <v>1.36</v>
      </c>
      <c r="M20" s="7">
        <v>8.16</v>
      </c>
      <c r="N20" s="32">
        <f t="shared" si="0"/>
        <v>12.75</v>
      </c>
      <c r="O20" s="31">
        <f t="shared" si="6"/>
        <v>11.79</v>
      </c>
      <c r="P20" s="35">
        <f t="shared" si="7"/>
        <v>1.0814249363867685</v>
      </c>
      <c r="Q20" s="35">
        <f t="shared" si="8"/>
        <v>0.25333333333333335</v>
      </c>
      <c r="R20" s="35">
        <f t="shared" si="9"/>
        <v>0.10666666666666667</v>
      </c>
      <c r="S20" s="35">
        <f t="shared" si="10"/>
        <v>0.64</v>
      </c>
      <c r="T20" s="1"/>
      <c r="U20" s="3">
        <v>43969</v>
      </c>
      <c r="V20" s="8">
        <v>72000</v>
      </c>
      <c r="W20" s="8">
        <v>117900</v>
      </c>
      <c r="Y20" s="3">
        <v>43969</v>
      </c>
      <c r="Z20" s="5">
        <v>3.7</v>
      </c>
      <c r="AB20" s="10"/>
      <c r="AC20" s="12"/>
      <c r="AD20" s="12"/>
      <c r="AE20" s="12"/>
      <c r="AF20" s="12"/>
      <c r="AG20" s="12"/>
      <c r="AH20" s="12"/>
      <c r="AI20" s="12"/>
      <c r="AJ20" s="12"/>
    </row>
    <row r="21" spans="1:38" x14ac:dyDescent="0.2">
      <c r="A21" s="3">
        <v>43976</v>
      </c>
      <c r="B21" s="7">
        <v>4.87</v>
      </c>
      <c r="C21" s="7">
        <v>5.03</v>
      </c>
      <c r="D21" s="32">
        <f t="shared" si="1"/>
        <v>9.9</v>
      </c>
      <c r="E21" s="31">
        <f t="shared" si="2"/>
        <v>10.4</v>
      </c>
      <c r="F21" s="35">
        <f t="shared" si="3"/>
        <v>0.95192307692307687</v>
      </c>
      <c r="G21" s="26">
        <f t="shared" si="4"/>
        <v>0.49191919191919192</v>
      </c>
      <c r="H21" s="26">
        <f t="shared" si="4"/>
        <v>0.50808080808080813</v>
      </c>
      <c r="I21" s="5">
        <f t="shared" si="5"/>
        <v>0.96819085487077527</v>
      </c>
      <c r="J21" s="5"/>
      <c r="K21" s="7">
        <v>4.46</v>
      </c>
      <c r="L21" s="7">
        <v>2.4500000000000002</v>
      </c>
      <c r="M21" s="7">
        <v>10.65</v>
      </c>
      <c r="N21" s="32">
        <f t="shared" si="0"/>
        <v>17.560000000000002</v>
      </c>
      <c r="O21" s="31">
        <f t="shared" si="6"/>
        <v>19.170000000000002</v>
      </c>
      <c r="P21" s="35">
        <f t="shared" si="7"/>
        <v>0.91601460615545127</v>
      </c>
      <c r="Q21" s="35">
        <f t="shared" si="8"/>
        <v>0.25398633257403186</v>
      </c>
      <c r="R21" s="35">
        <f t="shared" si="9"/>
        <v>0.13952164009111617</v>
      </c>
      <c r="S21" s="35">
        <f t="shared" si="10"/>
        <v>0.60649202733485186</v>
      </c>
      <c r="T21" s="1"/>
      <c r="U21" s="3">
        <v>43976</v>
      </c>
      <c r="V21" s="8">
        <v>104000</v>
      </c>
      <c r="W21" s="8">
        <v>191700</v>
      </c>
      <c r="Y21" s="3">
        <v>43976</v>
      </c>
      <c r="Z21" s="5">
        <v>4.2</v>
      </c>
      <c r="AB21" s="10"/>
      <c r="AC21" s="12"/>
      <c r="AD21" s="12"/>
      <c r="AE21" s="12"/>
      <c r="AF21" s="12"/>
      <c r="AG21" s="12"/>
      <c r="AH21" s="12"/>
      <c r="AI21" s="12"/>
      <c r="AJ21" s="12"/>
    </row>
    <row r="22" spans="1:38" x14ac:dyDescent="0.2">
      <c r="A22" s="3">
        <v>43983</v>
      </c>
      <c r="B22" s="7">
        <v>4.71</v>
      </c>
      <c r="C22" s="7">
        <v>4.26</v>
      </c>
      <c r="D22" s="32">
        <f t="shared" si="1"/>
        <v>8.9699999999999989</v>
      </c>
      <c r="E22" s="31">
        <f t="shared" si="2"/>
        <v>8.52</v>
      </c>
      <c r="F22" s="35">
        <f t="shared" si="3"/>
        <v>1.0528169014084505</v>
      </c>
      <c r="G22" s="26">
        <f t="shared" si="4"/>
        <v>0.52508361204013387</v>
      </c>
      <c r="H22" s="26">
        <f t="shared" si="4"/>
        <v>0.47491638795986624</v>
      </c>
      <c r="I22" s="5">
        <f t="shared" si="5"/>
        <v>1.1056338028169015</v>
      </c>
      <c r="J22" s="5"/>
      <c r="K22" s="7">
        <v>3.93</v>
      </c>
      <c r="L22" s="7">
        <v>2.57</v>
      </c>
      <c r="M22" s="7">
        <v>10.82</v>
      </c>
      <c r="N22" s="32">
        <f t="shared" si="0"/>
        <v>17.32</v>
      </c>
      <c r="O22" s="31">
        <f t="shared" si="6"/>
        <v>17.88</v>
      </c>
      <c r="P22" s="35">
        <f t="shared" si="7"/>
        <v>0.9686800894854587</v>
      </c>
      <c r="Q22" s="35">
        <f t="shared" si="8"/>
        <v>0.22690531177829099</v>
      </c>
      <c r="R22" s="35">
        <f t="shared" si="9"/>
        <v>0.14838337182448036</v>
      </c>
      <c r="S22" s="35">
        <f t="shared" si="10"/>
        <v>0.62471131639722866</v>
      </c>
      <c r="T22" s="1"/>
      <c r="U22" s="3">
        <v>43983</v>
      </c>
      <c r="V22" s="8">
        <v>85200</v>
      </c>
      <c r="W22" s="8">
        <v>178800</v>
      </c>
      <c r="Y22" s="3">
        <v>43983</v>
      </c>
      <c r="Z22" s="5">
        <v>3.8</v>
      </c>
      <c r="AB22" s="10"/>
      <c r="AC22" s="12"/>
      <c r="AD22" s="12"/>
      <c r="AE22" s="12"/>
      <c r="AF22" s="12"/>
      <c r="AG22" s="12"/>
      <c r="AH22" s="12"/>
      <c r="AI22" s="12"/>
      <c r="AJ22" s="12"/>
    </row>
    <row r="23" spans="1:38" x14ac:dyDescent="0.2">
      <c r="A23" s="3">
        <v>43990</v>
      </c>
      <c r="B23" s="7">
        <v>5.09</v>
      </c>
      <c r="C23" s="7">
        <v>4.37</v>
      </c>
      <c r="D23" s="32">
        <f t="shared" si="1"/>
        <v>9.4600000000000009</v>
      </c>
      <c r="E23" s="31">
        <f t="shared" si="2"/>
        <v>10.41</v>
      </c>
      <c r="F23" s="35">
        <f t="shared" si="3"/>
        <v>0.90874159462055726</v>
      </c>
      <c r="G23" s="26">
        <f t="shared" si="4"/>
        <v>0.53805496828752641</v>
      </c>
      <c r="H23" s="26">
        <f t="shared" si="4"/>
        <v>0.46194503171247353</v>
      </c>
      <c r="I23" s="5">
        <f t="shared" si="5"/>
        <v>1.1647597254004576</v>
      </c>
      <c r="J23" s="5"/>
      <c r="K23" s="7">
        <v>4.07</v>
      </c>
      <c r="L23" s="7">
        <v>1.66</v>
      </c>
      <c r="M23" s="7">
        <v>7.66</v>
      </c>
      <c r="N23" s="32">
        <f t="shared" si="0"/>
        <v>13.39</v>
      </c>
      <c r="O23" s="31">
        <f t="shared" si="6"/>
        <v>14.73</v>
      </c>
      <c r="P23" s="35">
        <f t="shared" si="7"/>
        <v>0.90902919212491518</v>
      </c>
      <c r="Q23" s="35">
        <f t="shared" si="8"/>
        <v>0.3039581777445855</v>
      </c>
      <c r="R23" s="35">
        <f t="shared" si="9"/>
        <v>0.12397311426437639</v>
      </c>
      <c r="S23" s="35">
        <f t="shared" si="10"/>
        <v>0.57206870799103804</v>
      </c>
      <c r="T23" s="1"/>
      <c r="U23" s="3">
        <v>43990</v>
      </c>
      <c r="V23" s="8">
        <v>104100</v>
      </c>
      <c r="W23" s="8">
        <v>147300</v>
      </c>
      <c r="Y23" s="3">
        <v>43990</v>
      </c>
      <c r="Z23" s="5">
        <v>4.4000000000000004</v>
      </c>
      <c r="AB23" s="10"/>
      <c r="AC23" s="12"/>
      <c r="AD23" s="12"/>
      <c r="AE23" s="12"/>
      <c r="AF23" s="12"/>
      <c r="AG23" s="12"/>
      <c r="AH23" s="12"/>
      <c r="AI23" s="12"/>
      <c r="AJ23" s="12"/>
    </row>
    <row r="24" spans="1:38" x14ac:dyDescent="0.2">
      <c r="A24" s="3">
        <v>43997</v>
      </c>
      <c r="B24" s="7">
        <v>4.83</v>
      </c>
      <c r="C24" s="7">
        <v>4.32</v>
      </c>
      <c r="D24" s="32">
        <f t="shared" si="1"/>
        <v>9.15</v>
      </c>
      <c r="E24" s="31">
        <f t="shared" si="2"/>
        <v>9.84</v>
      </c>
      <c r="F24" s="35">
        <f t="shared" si="3"/>
        <v>0.92987804878048785</v>
      </c>
      <c r="G24" s="26">
        <f t="shared" si="4"/>
        <v>0.52786885245901638</v>
      </c>
      <c r="H24" s="26">
        <f t="shared" si="4"/>
        <v>0.47213114754098362</v>
      </c>
      <c r="I24" s="5">
        <f t="shared" si="5"/>
        <v>1.1180555555555556</v>
      </c>
      <c r="J24" s="5"/>
      <c r="K24" s="7">
        <v>3.9</v>
      </c>
      <c r="L24" s="7">
        <v>1.81</v>
      </c>
      <c r="M24" s="7">
        <v>7.49</v>
      </c>
      <c r="N24" s="32">
        <f t="shared" si="0"/>
        <v>13.2</v>
      </c>
      <c r="O24" s="31">
        <f t="shared" si="6"/>
        <v>14.19</v>
      </c>
      <c r="P24" s="35">
        <f t="shared" si="7"/>
        <v>0.93023255813953487</v>
      </c>
      <c r="Q24" s="35">
        <f t="shared" si="8"/>
        <v>0.29545454545454547</v>
      </c>
      <c r="R24" s="35">
        <f t="shared" si="9"/>
        <v>0.13712121212121214</v>
      </c>
      <c r="S24" s="35">
        <f t="shared" si="10"/>
        <v>0.5674242424242425</v>
      </c>
      <c r="T24" s="1"/>
      <c r="U24" s="3">
        <v>43997</v>
      </c>
      <c r="V24" s="8">
        <v>98400</v>
      </c>
      <c r="W24" s="8">
        <v>141900</v>
      </c>
      <c r="Y24" s="3">
        <v>43997</v>
      </c>
      <c r="Z24" s="5">
        <v>4.3</v>
      </c>
      <c r="AB24" s="10"/>
      <c r="AC24" s="12"/>
      <c r="AD24" s="12"/>
      <c r="AE24" s="12"/>
      <c r="AG24" s="12"/>
      <c r="AH24" s="12"/>
      <c r="AI24" s="12"/>
      <c r="AJ24" s="12"/>
    </row>
    <row r="25" spans="1:38" x14ac:dyDescent="0.2">
      <c r="A25" s="3">
        <v>44004</v>
      </c>
      <c r="B25" s="7">
        <v>5.34</v>
      </c>
      <c r="C25" s="7">
        <v>4.7</v>
      </c>
      <c r="D25" s="32">
        <f t="shared" si="1"/>
        <v>10.039999999999999</v>
      </c>
      <c r="E25" s="31">
        <f t="shared" si="2"/>
        <v>9.7899999999999991</v>
      </c>
      <c r="F25" s="35">
        <f t="shared" si="3"/>
        <v>1.0255362614913177</v>
      </c>
      <c r="G25" s="26">
        <f t="shared" si="4"/>
        <v>0.53187250996015945</v>
      </c>
      <c r="H25" s="26">
        <f t="shared" si="4"/>
        <v>0.46812749003984072</v>
      </c>
      <c r="I25" s="5">
        <f t="shared" si="5"/>
        <v>1.1361702127659574</v>
      </c>
      <c r="J25" s="5"/>
      <c r="K25" s="7">
        <v>3.06</v>
      </c>
      <c r="L25" s="7">
        <v>1.28</v>
      </c>
      <c r="M25" s="7">
        <v>6.82</v>
      </c>
      <c r="N25" s="32">
        <f t="shared" si="0"/>
        <v>11.16</v>
      </c>
      <c r="O25" s="31">
        <f t="shared" si="6"/>
        <v>9.92</v>
      </c>
      <c r="P25" s="35">
        <f t="shared" si="7"/>
        <v>1.125</v>
      </c>
      <c r="Q25" s="35">
        <f t="shared" si="8"/>
        <v>0.27419354838709675</v>
      </c>
      <c r="R25" s="35">
        <f t="shared" si="9"/>
        <v>0.11469534050179211</v>
      </c>
      <c r="S25" s="35">
        <f t="shared" si="10"/>
        <v>0.61111111111111116</v>
      </c>
      <c r="T25" s="1"/>
      <c r="U25" s="3">
        <v>44004</v>
      </c>
      <c r="V25" s="8">
        <v>97900</v>
      </c>
      <c r="W25" s="8">
        <v>99200</v>
      </c>
      <c r="Y25" s="3">
        <v>44004</v>
      </c>
      <c r="Z25" s="5">
        <v>3.9</v>
      </c>
      <c r="AB25" s="10"/>
      <c r="AC25" s="12"/>
      <c r="AD25" s="12"/>
      <c r="AE25" s="4"/>
      <c r="AF25" s="12" t="s">
        <v>15</v>
      </c>
      <c r="AG25" s="12"/>
      <c r="AH25" s="12"/>
      <c r="AI25" s="12"/>
      <c r="AJ25" s="12"/>
      <c r="AL25" s="12" t="s">
        <v>15</v>
      </c>
    </row>
    <row r="26" spans="1:38" x14ac:dyDescent="0.2">
      <c r="A26" s="3">
        <v>44081</v>
      </c>
      <c r="B26" s="7">
        <v>3.56</v>
      </c>
      <c r="C26" s="7">
        <v>3.04</v>
      </c>
      <c r="D26" s="32">
        <f t="shared" si="1"/>
        <v>6.6</v>
      </c>
      <c r="E26" s="31">
        <f t="shared" si="2"/>
        <v>6.1</v>
      </c>
      <c r="F26" s="35">
        <f t="shared" si="3"/>
        <v>1.0819672131147542</v>
      </c>
      <c r="G26" s="26">
        <f t="shared" si="4"/>
        <v>0.53939393939393943</v>
      </c>
      <c r="H26" s="26">
        <f t="shared" si="4"/>
        <v>0.46060606060606063</v>
      </c>
      <c r="I26" s="5">
        <f t="shared" si="5"/>
        <v>1.1710526315789473</v>
      </c>
      <c r="J26" s="5"/>
      <c r="K26" s="7">
        <v>2.72</v>
      </c>
      <c r="L26" s="7">
        <v>2.2799999999999998</v>
      </c>
      <c r="M26" s="7">
        <v>8.66</v>
      </c>
      <c r="N26" s="32">
        <f t="shared" si="0"/>
        <v>13.66</v>
      </c>
      <c r="O26" s="31">
        <f t="shared" si="6"/>
        <v>12.64</v>
      </c>
      <c r="P26" s="35">
        <f t="shared" si="7"/>
        <v>1.0806962025316456</v>
      </c>
      <c r="Q26" s="35">
        <f t="shared" si="8"/>
        <v>0.19912152269399708</v>
      </c>
      <c r="R26" s="35">
        <f t="shared" si="9"/>
        <v>0.16691068814055635</v>
      </c>
      <c r="S26" s="35">
        <f t="shared" si="10"/>
        <v>0.6339677891654466</v>
      </c>
      <c r="T26" s="1"/>
      <c r="U26" s="3">
        <v>44081</v>
      </c>
      <c r="V26" s="8">
        <v>61000</v>
      </c>
      <c r="W26" s="8">
        <v>126400</v>
      </c>
      <c r="Y26" s="3">
        <v>44081</v>
      </c>
      <c r="Z26" s="5">
        <v>3.7</v>
      </c>
      <c r="AB26" s="3">
        <v>44081</v>
      </c>
      <c r="AC26" s="13">
        <v>10.89</v>
      </c>
      <c r="AD26" s="13">
        <v>8.5</v>
      </c>
      <c r="AE26" s="4">
        <f t="shared" ref="AE26:AE33" si="11">AC26+AD26</f>
        <v>19.39</v>
      </c>
      <c r="AF26" s="4">
        <f t="shared" ref="AF26:AF33" si="12">AC26*B26+AD26*C26</f>
        <v>64.608400000000003</v>
      </c>
      <c r="AG26" s="13"/>
      <c r="AH26" s="13">
        <v>11.37</v>
      </c>
      <c r="AI26" s="13">
        <v>6.78</v>
      </c>
      <c r="AJ26" s="13">
        <v>6.55</v>
      </c>
      <c r="AK26" s="4">
        <f>SUM(AH26:AJ26)</f>
        <v>24.7</v>
      </c>
      <c r="AL26" s="4">
        <f t="shared" ref="AL26:AL33" si="13">K26*AH26+L26*AI26+M26*AJ26</f>
        <v>103.1078</v>
      </c>
    </row>
    <row r="27" spans="1:38" x14ac:dyDescent="0.2">
      <c r="A27" s="3">
        <v>44088</v>
      </c>
      <c r="B27" s="7">
        <v>3.69</v>
      </c>
      <c r="C27" s="7">
        <v>3.1</v>
      </c>
      <c r="D27" s="32">
        <f t="shared" si="1"/>
        <v>6.79</v>
      </c>
      <c r="E27" s="31">
        <f t="shared" si="2"/>
        <v>6.45</v>
      </c>
      <c r="F27" s="35">
        <f t="shared" si="3"/>
        <v>1.0527131782945736</v>
      </c>
      <c r="G27" s="26">
        <f t="shared" si="4"/>
        <v>0.54344624447717227</v>
      </c>
      <c r="H27" s="26">
        <f t="shared" si="4"/>
        <v>0.45655375552282768</v>
      </c>
      <c r="I27" s="5">
        <f t="shared" si="5"/>
        <v>1.1903225806451612</v>
      </c>
      <c r="J27" s="5"/>
      <c r="K27" s="7">
        <v>4.24</v>
      </c>
      <c r="L27" s="7">
        <v>2.04</v>
      </c>
      <c r="M27" s="7">
        <v>8.66</v>
      </c>
      <c r="N27" s="32">
        <f t="shared" si="0"/>
        <v>14.940000000000001</v>
      </c>
      <c r="O27" s="31">
        <f t="shared" si="6"/>
        <v>14.19</v>
      </c>
      <c r="P27" s="35">
        <f t="shared" si="7"/>
        <v>1.0528541226215646</v>
      </c>
      <c r="Q27" s="35">
        <f t="shared" si="8"/>
        <v>0.28380187416331992</v>
      </c>
      <c r="R27" s="35">
        <f t="shared" si="9"/>
        <v>0.1365461847389558</v>
      </c>
      <c r="S27" s="35">
        <f t="shared" si="10"/>
        <v>0.57965194109772422</v>
      </c>
      <c r="T27" s="1"/>
      <c r="U27" s="3">
        <v>44088</v>
      </c>
      <c r="V27" s="8">
        <v>64500</v>
      </c>
      <c r="W27" s="8">
        <v>141900</v>
      </c>
      <c r="Y27" s="3">
        <v>44088</v>
      </c>
      <c r="Z27" s="5">
        <v>3.8</v>
      </c>
      <c r="AB27" s="3">
        <v>44088</v>
      </c>
      <c r="AC27" s="13">
        <v>9.58</v>
      </c>
      <c r="AD27" s="13">
        <v>7.6</v>
      </c>
      <c r="AE27" s="4">
        <f t="shared" si="11"/>
        <v>17.18</v>
      </c>
      <c r="AF27" s="4">
        <f t="shared" si="12"/>
        <v>58.910200000000003</v>
      </c>
      <c r="AG27" s="13"/>
      <c r="AH27" s="13">
        <v>8.42</v>
      </c>
      <c r="AI27" s="13">
        <v>8.75</v>
      </c>
      <c r="AJ27" s="13">
        <v>7.56</v>
      </c>
      <c r="AK27" s="4">
        <f t="shared" ref="AK27:AK33" si="14">SUM(AH27:AJ27)</f>
        <v>24.73</v>
      </c>
      <c r="AL27" s="4">
        <f t="shared" si="13"/>
        <v>119.0204</v>
      </c>
    </row>
    <row r="28" spans="1:38" x14ac:dyDescent="0.2">
      <c r="A28" s="3">
        <v>44095</v>
      </c>
      <c r="B28" s="7">
        <v>5.72</v>
      </c>
      <c r="C28" s="7">
        <v>5.09</v>
      </c>
      <c r="D28" s="32">
        <f t="shared" si="1"/>
        <v>10.809999999999999</v>
      </c>
      <c r="E28" s="31">
        <f t="shared" si="2"/>
        <v>11.08</v>
      </c>
      <c r="F28" s="35">
        <f t="shared" si="3"/>
        <v>0.97563176895306847</v>
      </c>
      <c r="G28" s="26">
        <f t="shared" si="4"/>
        <v>0.52913968547641077</v>
      </c>
      <c r="H28" s="26">
        <f t="shared" si="4"/>
        <v>0.47086031452358929</v>
      </c>
      <c r="I28" s="5">
        <f t="shared" si="5"/>
        <v>1.1237721021611002</v>
      </c>
      <c r="J28" s="5"/>
      <c r="K28" s="7">
        <v>4.5999999999999996</v>
      </c>
      <c r="L28" s="7">
        <v>2.42</v>
      </c>
      <c r="M28" s="7">
        <v>9.99</v>
      </c>
      <c r="N28" s="32">
        <f t="shared" si="0"/>
        <v>17.009999999999998</v>
      </c>
      <c r="O28" s="31">
        <f t="shared" si="6"/>
        <v>19.48</v>
      </c>
      <c r="P28" s="35">
        <f t="shared" si="7"/>
        <v>0.87320328542094439</v>
      </c>
      <c r="Q28" s="35">
        <f t="shared" si="8"/>
        <v>0.27042915931804823</v>
      </c>
      <c r="R28" s="35">
        <f t="shared" si="9"/>
        <v>0.1422692533803645</v>
      </c>
      <c r="S28" s="35">
        <f t="shared" si="10"/>
        <v>0.58730158730158744</v>
      </c>
      <c r="T28" s="1"/>
      <c r="U28" s="3">
        <v>44095</v>
      </c>
      <c r="V28" s="8">
        <v>110800</v>
      </c>
      <c r="W28" s="8">
        <v>194800</v>
      </c>
      <c r="Y28" s="3">
        <v>44095</v>
      </c>
      <c r="Z28" s="5">
        <v>4.0999999999999996</v>
      </c>
      <c r="AB28" s="3">
        <v>44095</v>
      </c>
      <c r="AC28" s="13">
        <v>7.83</v>
      </c>
      <c r="AD28" s="13">
        <v>5.87</v>
      </c>
      <c r="AE28" s="4">
        <f t="shared" si="11"/>
        <v>13.7</v>
      </c>
      <c r="AF28" s="4">
        <f t="shared" si="12"/>
        <v>74.665899999999993</v>
      </c>
      <c r="AG28" s="13"/>
      <c r="AH28" s="13">
        <v>7.8</v>
      </c>
      <c r="AI28" s="13">
        <v>7.41</v>
      </c>
      <c r="AJ28" s="13">
        <v>6.59</v>
      </c>
      <c r="AK28" s="4">
        <f t="shared" si="14"/>
        <v>21.8</v>
      </c>
      <c r="AL28" s="4">
        <f t="shared" si="13"/>
        <v>119.6463</v>
      </c>
    </row>
    <row r="29" spans="1:38" x14ac:dyDescent="0.2">
      <c r="A29" s="3">
        <v>44102</v>
      </c>
      <c r="B29" s="7">
        <v>3.54</v>
      </c>
      <c r="C29" s="7">
        <v>2.4</v>
      </c>
      <c r="D29" s="32">
        <f t="shared" si="1"/>
        <v>5.9399999999999995</v>
      </c>
      <c r="E29" s="31">
        <f t="shared" si="2"/>
        <v>5.35</v>
      </c>
      <c r="F29" s="35">
        <f t="shared" si="3"/>
        <v>1.1102803738317757</v>
      </c>
      <c r="G29" s="26">
        <f t="shared" si="4"/>
        <v>0.59595959595959602</v>
      </c>
      <c r="H29" s="26">
        <f t="shared" si="4"/>
        <v>0.40404040404040403</v>
      </c>
      <c r="I29" s="5">
        <f t="shared" si="5"/>
        <v>1.4750000000000001</v>
      </c>
      <c r="J29" s="5"/>
      <c r="K29" s="7">
        <v>4.5599999999999996</v>
      </c>
      <c r="L29" s="7">
        <v>2.93</v>
      </c>
      <c r="M29" s="7">
        <v>8.49</v>
      </c>
      <c r="N29" s="32">
        <f t="shared" si="0"/>
        <v>15.98</v>
      </c>
      <c r="O29" s="31">
        <f t="shared" si="6"/>
        <v>14.56</v>
      </c>
      <c r="P29" s="35">
        <f t="shared" si="7"/>
        <v>1.0975274725274726</v>
      </c>
      <c r="Q29" s="35">
        <f t="shared" si="8"/>
        <v>0.28535669586983725</v>
      </c>
      <c r="R29" s="35">
        <f t="shared" si="9"/>
        <v>0.18335419274092615</v>
      </c>
      <c r="S29" s="35">
        <f t="shared" si="10"/>
        <v>0.53128911138923651</v>
      </c>
      <c r="T29" s="1"/>
      <c r="U29" s="3">
        <v>44102</v>
      </c>
      <c r="V29" s="8">
        <v>53500</v>
      </c>
      <c r="W29" s="8">
        <v>145600</v>
      </c>
      <c r="Y29" s="3">
        <v>44102</v>
      </c>
      <c r="Z29" s="5">
        <v>3.6</v>
      </c>
      <c r="AB29" s="3">
        <v>44102</v>
      </c>
      <c r="AC29" s="13">
        <v>9.9</v>
      </c>
      <c r="AD29" s="13">
        <v>9.73</v>
      </c>
      <c r="AE29" s="4">
        <f t="shared" si="11"/>
        <v>19.630000000000003</v>
      </c>
      <c r="AF29" s="4">
        <f t="shared" si="12"/>
        <v>58.397999999999996</v>
      </c>
      <c r="AG29" s="13"/>
      <c r="AH29" s="13">
        <v>7.61</v>
      </c>
      <c r="AI29" s="13">
        <v>5.92</v>
      </c>
      <c r="AJ29" s="13">
        <v>7.49</v>
      </c>
      <c r="AK29" s="4">
        <f t="shared" si="14"/>
        <v>21.020000000000003</v>
      </c>
      <c r="AL29" s="4">
        <f t="shared" si="13"/>
        <v>115.63730000000001</v>
      </c>
    </row>
    <row r="30" spans="1:38" x14ac:dyDescent="0.2">
      <c r="A30" s="3">
        <v>44109</v>
      </c>
      <c r="B30" s="7">
        <v>3.43</v>
      </c>
      <c r="C30" s="7">
        <v>2.93</v>
      </c>
      <c r="D30" s="32">
        <f t="shared" si="1"/>
        <v>6.36</v>
      </c>
      <c r="E30" s="31">
        <f t="shared" si="2"/>
        <v>6.2</v>
      </c>
      <c r="F30" s="35">
        <f t="shared" si="3"/>
        <v>1.0258064516129033</v>
      </c>
      <c r="G30" s="26">
        <f t="shared" si="4"/>
        <v>0.53930817610062898</v>
      </c>
      <c r="H30" s="26">
        <f t="shared" si="4"/>
        <v>0.46069182389937108</v>
      </c>
      <c r="I30" s="5">
        <f t="shared" si="5"/>
        <v>1.1706484641638226</v>
      </c>
      <c r="J30" s="5"/>
      <c r="K30" s="7">
        <v>4.75</v>
      </c>
      <c r="L30" s="7">
        <v>2.19</v>
      </c>
      <c r="M30" s="7">
        <v>9.49</v>
      </c>
      <c r="N30" s="32">
        <f t="shared" si="0"/>
        <v>16.43</v>
      </c>
      <c r="O30" s="31">
        <f t="shared" si="6"/>
        <v>16.02</v>
      </c>
      <c r="P30" s="35">
        <f t="shared" si="7"/>
        <v>1.0255930087390761</v>
      </c>
      <c r="Q30" s="35">
        <f t="shared" si="8"/>
        <v>0.28910529519172246</v>
      </c>
      <c r="R30" s="35">
        <f t="shared" si="9"/>
        <v>0.13329275715155203</v>
      </c>
      <c r="S30" s="35">
        <f t="shared" si="10"/>
        <v>0.57760194765672557</v>
      </c>
      <c r="T30" s="1"/>
      <c r="U30" s="3">
        <v>44109</v>
      </c>
      <c r="V30" s="8">
        <v>62000</v>
      </c>
      <c r="W30" s="8">
        <v>160200</v>
      </c>
      <c r="Y30" s="3">
        <v>44109</v>
      </c>
      <c r="Z30" s="5">
        <v>3.9</v>
      </c>
      <c r="AB30" s="3">
        <v>44109</v>
      </c>
      <c r="AC30" s="13">
        <v>10.72</v>
      </c>
      <c r="AD30" s="13">
        <v>8.3699999999999992</v>
      </c>
      <c r="AE30" s="4">
        <f t="shared" si="11"/>
        <v>19.09</v>
      </c>
      <c r="AF30" s="4">
        <f t="shared" si="12"/>
        <v>61.293700000000001</v>
      </c>
      <c r="AG30" s="13"/>
      <c r="AH30" s="13">
        <v>8.16</v>
      </c>
      <c r="AI30" s="13">
        <v>8.84</v>
      </c>
      <c r="AJ30" s="13">
        <v>7.48</v>
      </c>
      <c r="AK30" s="4">
        <f t="shared" si="14"/>
        <v>24.48</v>
      </c>
      <c r="AL30" s="4">
        <f t="shared" si="13"/>
        <v>129.10480000000001</v>
      </c>
    </row>
    <row r="31" spans="1:38" x14ac:dyDescent="0.2">
      <c r="A31" s="3">
        <v>44116</v>
      </c>
      <c r="B31" s="7">
        <v>5.47</v>
      </c>
      <c r="C31" s="7">
        <v>4.87</v>
      </c>
      <c r="D31" s="32">
        <f t="shared" si="1"/>
        <v>10.34</v>
      </c>
      <c r="E31" s="31">
        <f t="shared" si="2"/>
        <v>10.34</v>
      </c>
      <c r="F31" s="35">
        <f t="shared" si="3"/>
        <v>1</v>
      </c>
      <c r="G31" s="26">
        <f t="shared" si="4"/>
        <v>0.52901353965183751</v>
      </c>
      <c r="H31" s="26">
        <f t="shared" si="4"/>
        <v>0.47098646034816249</v>
      </c>
      <c r="I31" s="5">
        <f t="shared" si="5"/>
        <v>1.1232032854209444</v>
      </c>
      <c r="J31" s="5"/>
      <c r="K31" s="7">
        <v>4.92</v>
      </c>
      <c r="L31" s="7">
        <v>2.34</v>
      </c>
      <c r="M31" s="7">
        <v>9.99</v>
      </c>
      <c r="N31" s="32">
        <f t="shared" si="0"/>
        <v>17.25</v>
      </c>
      <c r="O31" s="31">
        <f t="shared" si="6"/>
        <v>17.25</v>
      </c>
      <c r="P31" s="35">
        <f t="shared" si="7"/>
        <v>1</v>
      </c>
      <c r="Q31" s="35">
        <f t="shared" si="8"/>
        <v>0.28521739130434781</v>
      </c>
      <c r="R31" s="35">
        <f t="shared" si="9"/>
        <v>0.13565217391304346</v>
      </c>
      <c r="S31" s="35">
        <f t="shared" si="10"/>
        <v>0.57913043478260873</v>
      </c>
      <c r="T31" s="1"/>
      <c r="U31" s="3">
        <v>44116</v>
      </c>
      <c r="V31" s="8">
        <v>103400</v>
      </c>
      <c r="W31" s="8">
        <v>172500</v>
      </c>
      <c r="Y31" s="3">
        <v>44116</v>
      </c>
      <c r="Z31" s="5">
        <v>4</v>
      </c>
      <c r="AB31" s="3">
        <v>44116</v>
      </c>
      <c r="AC31" s="13">
        <v>7.47</v>
      </c>
      <c r="AD31" s="13">
        <v>5.59</v>
      </c>
      <c r="AE31" s="4">
        <f t="shared" si="11"/>
        <v>13.059999999999999</v>
      </c>
      <c r="AF31" s="4">
        <f t="shared" si="12"/>
        <v>68.084199999999996</v>
      </c>
      <c r="AG31" s="13"/>
      <c r="AH31" s="13">
        <v>6.97</v>
      </c>
      <c r="AI31" s="13">
        <v>7.33</v>
      </c>
      <c r="AJ31" s="13">
        <v>6.3</v>
      </c>
      <c r="AK31" s="4">
        <f t="shared" si="14"/>
        <v>20.6</v>
      </c>
      <c r="AL31" s="4">
        <f t="shared" si="13"/>
        <v>114.38159999999999</v>
      </c>
    </row>
    <row r="32" spans="1:38" x14ac:dyDescent="0.2">
      <c r="A32" s="3">
        <v>44123</v>
      </c>
      <c r="B32" s="7">
        <v>6.11</v>
      </c>
      <c r="C32" s="7">
        <v>5.2</v>
      </c>
      <c r="D32" s="32">
        <f t="shared" si="1"/>
        <v>11.31</v>
      </c>
      <c r="E32" s="31">
        <f t="shared" si="2"/>
        <v>11.88</v>
      </c>
      <c r="F32" s="35">
        <f t="shared" si="3"/>
        <v>0.95202020202020199</v>
      </c>
      <c r="G32" s="26">
        <f t="shared" si="4"/>
        <v>0.54022988505747127</v>
      </c>
      <c r="H32" s="26">
        <f t="shared" si="4"/>
        <v>0.45977011494252873</v>
      </c>
      <c r="I32" s="5">
        <f t="shared" si="5"/>
        <v>1.175</v>
      </c>
      <c r="J32" s="5"/>
      <c r="K32" s="7">
        <v>4.92</v>
      </c>
      <c r="L32" s="7">
        <v>2.04</v>
      </c>
      <c r="M32" s="7">
        <v>9.66</v>
      </c>
      <c r="N32" s="32">
        <f t="shared" si="0"/>
        <v>16.62</v>
      </c>
      <c r="O32" s="31">
        <f t="shared" si="6"/>
        <v>17.45</v>
      </c>
      <c r="P32" s="35">
        <f t="shared" si="7"/>
        <v>0.95243553008595994</v>
      </c>
      <c r="Q32" s="35">
        <f t="shared" si="8"/>
        <v>0.29602888086642598</v>
      </c>
      <c r="R32" s="35">
        <f t="shared" si="9"/>
        <v>0.12274368231046931</v>
      </c>
      <c r="S32" s="35">
        <f t="shared" si="10"/>
        <v>0.58122743682310463</v>
      </c>
      <c r="T32" s="1"/>
      <c r="U32" s="3">
        <v>44123</v>
      </c>
      <c r="V32" s="8">
        <v>118800</v>
      </c>
      <c r="W32" s="8">
        <v>174500</v>
      </c>
      <c r="Y32" s="3">
        <v>44123</v>
      </c>
      <c r="Z32" s="5">
        <v>4.2</v>
      </c>
      <c r="AB32" s="3">
        <v>44123</v>
      </c>
      <c r="AC32" s="13">
        <v>7.5</v>
      </c>
      <c r="AD32" s="13">
        <v>5.87</v>
      </c>
      <c r="AE32" s="4">
        <f t="shared" si="11"/>
        <v>13.370000000000001</v>
      </c>
      <c r="AF32" s="4">
        <f t="shared" si="12"/>
        <v>76.349000000000004</v>
      </c>
      <c r="AG32" s="13"/>
      <c r="AH32" s="13">
        <v>7.96</v>
      </c>
      <c r="AI32" s="13">
        <v>9.6</v>
      </c>
      <c r="AJ32" s="13">
        <v>7.44</v>
      </c>
      <c r="AK32" s="4">
        <f t="shared" si="14"/>
        <v>25</v>
      </c>
      <c r="AL32" s="4">
        <f t="shared" si="13"/>
        <v>130.61759999999998</v>
      </c>
    </row>
    <row r="33" spans="1:40" x14ac:dyDescent="0.2">
      <c r="A33" s="3">
        <v>44130</v>
      </c>
      <c r="B33" s="7">
        <v>4.18</v>
      </c>
      <c r="C33" s="7">
        <v>3.71</v>
      </c>
      <c r="D33" s="32">
        <f t="shared" si="1"/>
        <v>7.89</v>
      </c>
      <c r="E33" s="31">
        <f t="shared" si="2"/>
        <v>7.3</v>
      </c>
      <c r="F33" s="35">
        <f t="shared" si="3"/>
        <v>1.0808219178082192</v>
      </c>
      <c r="G33" s="26">
        <f t="shared" si="4"/>
        <v>0.52978453738910014</v>
      </c>
      <c r="H33" s="26">
        <f t="shared" si="4"/>
        <v>0.47021546261089991</v>
      </c>
      <c r="I33" s="5">
        <f t="shared" si="5"/>
        <v>1.1266846361185983</v>
      </c>
      <c r="J33" s="5"/>
      <c r="K33" s="7">
        <v>4.55</v>
      </c>
      <c r="L33" s="7">
        <v>2.13</v>
      </c>
      <c r="M33" s="7">
        <v>8.16</v>
      </c>
      <c r="N33" s="32">
        <f t="shared" si="0"/>
        <v>14.84</v>
      </c>
      <c r="O33" s="31">
        <f>W33/10000</f>
        <v>13.73</v>
      </c>
      <c r="P33" s="35">
        <f t="shared" si="7"/>
        <v>1.0808448652585578</v>
      </c>
      <c r="Q33" s="35">
        <f t="shared" si="8"/>
        <v>0.30660377358490565</v>
      </c>
      <c r="R33" s="35">
        <f t="shared" si="9"/>
        <v>0.14353099730458221</v>
      </c>
      <c r="S33" s="35">
        <f t="shared" si="10"/>
        <v>0.54986522911051217</v>
      </c>
      <c r="T33" s="1"/>
      <c r="U33" s="3">
        <v>44130</v>
      </c>
      <c r="V33" s="8">
        <v>73000</v>
      </c>
      <c r="W33" s="8">
        <v>137300</v>
      </c>
      <c r="Y33" s="3">
        <v>44130</v>
      </c>
      <c r="Z33" s="5">
        <v>3.7</v>
      </c>
      <c r="AB33" s="3">
        <v>44130</v>
      </c>
      <c r="AC33" s="13">
        <v>8.4600000000000009</v>
      </c>
      <c r="AD33" s="13">
        <v>6.36</v>
      </c>
      <c r="AE33" s="4">
        <f t="shared" si="11"/>
        <v>14.82</v>
      </c>
      <c r="AF33" s="4">
        <f t="shared" si="12"/>
        <v>58.958399999999997</v>
      </c>
      <c r="AG33" s="13"/>
      <c r="AH33" s="13">
        <v>7.85</v>
      </c>
      <c r="AI33" s="13">
        <v>8.3800000000000008</v>
      </c>
      <c r="AJ33" s="13">
        <v>8.02</v>
      </c>
      <c r="AK33" s="4">
        <f t="shared" si="14"/>
        <v>24.25</v>
      </c>
      <c r="AL33" s="4">
        <f t="shared" si="13"/>
        <v>119.01009999999999</v>
      </c>
    </row>
    <row r="34" spans="1:40" x14ac:dyDescent="0.2">
      <c r="AE34">
        <f>CORREL($Z26:$Z33,AE26:AE33)</f>
        <v>-0.73863029705227456</v>
      </c>
      <c r="AF34">
        <f>CORREL($V26:$V33,AF26:AF33)</f>
        <v>0.91804487794833811</v>
      </c>
      <c r="AK34">
        <f>CORREL(Z26:Z33,AK26:AK33)</f>
        <v>5.6462247698345165E-3</v>
      </c>
      <c r="AL34">
        <f>CORREL($W26:$W33,AL26:AL33)</f>
        <v>0.51448731294622718</v>
      </c>
    </row>
    <row r="35" spans="1:40" x14ac:dyDescent="0.2">
      <c r="G35" s="47">
        <f>AVERAGE(G18:G33)</f>
        <v>0.53486343768028888</v>
      </c>
      <c r="H35" s="47">
        <f>1-G35</f>
        <v>0.46513656231971112</v>
      </c>
      <c r="I35" s="47"/>
      <c r="J35" s="47"/>
      <c r="K35" s="47"/>
      <c r="L35" s="47"/>
      <c r="M35" s="47"/>
      <c r="N35" s="47"/>
      <c r="O35" s="47"/>
      <c r="P35" s="47"/>
      <c r="Q35" s="47">
        <f t="shared" ref="Q35:S35" si="15">AVERAGE(Q18:Q33)</f>
        <v>0.27434112176891662</v>
      </c>
      <c r="R35" s="47">
        <f t="shared" si="15"/>
        <v>0.13782346637663129</v>
      </c>
      <c r="S35" s="47">
        <f t="shared" si="15"/>
        <v>0.58783541185445221</v>
      </c>
      <c r="AC35" s="4">
        <f>AVERAGE(AC26:AC33)</f>
        <v>9.0437499999999993</v>
      </c>
      <c r="AD35" s="4">
        <f t="shared" ref="AD35:AJ35" si="16">AVERAGE(AD26:AD33)</f>
        <v>7.2362499999999992</v>
      </c>
      <c r="AE35" s="4">
        <f>AC35+AD35</f>
        <v>16.279999999999998</v>
      </c>
      <c r="AF35" s="4"/>
      <c r="AG35" s="4"/>
      <c r="AH35" s="4">
        <f t="shared" si="16"/>
        <v>8.2675000000000001</v>
      </c>
      <c r="AI35" s="4">
        <f t="shared" si="16"/>
        <v>7.8762500000000006</v>
      </c>
      <c r="AJ35" s="4">
        <f t="shared" si="16"/>
        <v>7.1787499999999991</v>
      </c>
    </row>
    <row r="37" spans="1:40" x14ac:dyDescent="0.2">
      <c r="AC37" s="46">
        <f>AVERAGE(AC26:AC33,AH26:AH33)</f>
        <v>8.6556249999999988</v>
      </c>
      <c r="AD37" s="46">
        <f>AVERAGE(AD26:AD33,AI26:AI33)</f>
        <v>7.5562499999999986</v>
      </c>
    </row>
    <row r="39" spans="1:40" x14ac:dyDescent="0.2">
      <c r="AJ39" t="s">
        <v>67</v>
      </c>
      <c r="AM39" t="s">
        <v>68</v>
      </c>
    </row>
    <row r="40" spans="1:40" x14ac:dyDescent="0.2">
      <c r="AC40">
        <f>CORREL(AC41:AC48,AD41:AD48)</f>
        <v>0.89699350185366666</v>
      </c>
      <c r="AG40">
        <f>CORREL(AG41:AG48,AH41:AH48)</f>
        <v>0.44521989491536645</v>
      </c>
      <c r="AJ40">
        <f t="shared" ref="AJ40" si="17">CORREL(AJ41:AJ48,AK41:AK48)</f>
        <v>-0.94390196756738654</v>
      </c>
      <c r="AM40">
        <f>CORREL(AM41:AM48,AN41:AN48)</f>
        <v>-0.95885657222532916</v>
      </c>
    </row>
    <row r="41" spans="1:40" x14ac:dyDescent="0.2">
      <c r="A41" t="s">
        <v>37</v>
      </c>
      <c r="B41" t="s">
        <v>38</v>
      </c>
      <c r="C41" t="s">
        <v>39</v>
      </c>
      <c r="D41" t="s">
        <v>40</v>
      </c>
      <c r="E41" t="s">
        <v>41</v>
      </c>
      <c r="F41" t="s">
        <v>15</v>
      </c>
      <c r="H41" t="s">
        <v>42</v>
      </c>
      <c r="I41" t="s">
        <v>43</v>
      </c>
      <c r="J41" t="s">
        <v>44</v>
      </c>
      <c r="K41" t="s">
        <v>45</v>
      </c>
      <c r="L41" t="s">
        <v>46</v>
      </c>
      <c r="W41" s="7">
        <v>3.56</v>
      </c>
      <c r="X41" s="13">
        <v>10.89</v>
      </c>
      <c r="AC41" s="5">
        <f>V26/(Z26)</f>
        <v>16486.486486486487</v>
      </c>
      <c r="AD41">
        <v>64.608400000000003</v>
      </c>
      <c r="AG41" s="5">
        <f>W26/(Z26)</f>
        <v>34162.16216216216</v>
      </c>
      <c r="AH41">
        <v>103.1078</v>
      </c>
      <c r="AJ41" s="48">
        <f>B26/Z26</f>
        <v>0.9621621621621621</v>
      </c>
      <c r="AK41" s="13">
        <v>10.89</v>
      </c>
      <c r="AM41" s="4">
        <f>K26</f>
        <v>2.72</v>
      </c>
      <c r="AN41" s="13">
        <v>11.37</v>
      </c>
    </row>
    <row r="42" spans="1:40" x14ac:dyDescent="0.2">
      <c r="A42">
        <f t="shared" ref="A42:B49" si="18">AC26*B26*1000</f>
        <v>38768.400000000001</v>
      </c>
      <c r="B42">
        <f t="shared" si="18"/>
        <v>25840</v>
      </c>
      <c r="C42">
        <f t="shared" ref="C42:E49" si="19">AH26*K26*1000</f>
        <v>30926.400000000001</v>
      </c>
      <c r="D42">
        <f t="shared" si="19"/>
        <v>15458.4</v>
      </c>
      <c r="E42">
        <f t="shared" si="19"/>
        <v>56723</v>
      </c>
      <c r="F42">
        <f>SUM(A42:E42)</f>
        <v>167716.20000000001</v>
      </c>
      <c r="W42" s="7">
        <v>3.69</v>
      </c>
      <c r="X42" s="13">
        <v>9.58</v>
      </c>
      <c r="AC42" s="5">
        <f t="shared" ref="AC42:AC48" si="20">V27/(Z27)</f>
        <v>16973.684210526317</v>
      </c>
      <c r="AD42">
        <v>58.910200000000003</v>
      </c>
      <c r="AG42" s="5">
        <f t="shared" ref="AG42:AG48" si="21">W27/(Z27)</f>
        <v>37342.105263157893</v>
      </c>
      <c r="AH42">
        <v>119.0204</v>
      </c>
      <c r="AJ42" s="48">
        <f t="shared" ref="AJ42:AJ48" si="22">B27/Z27</f>
        <v>0.97105263157894739</v>
      </c>
      <c r="AK42" s="13">
        <v>9.58</v>
      </c>
      <c r="AM42" s="4">
        <f t="shared" ref="AM42:AM48" si="23">K27</f>
        <v>4.24</v>
      </c>
      <c r="AN42" s="13">
        <v>8.42</v>
      </c>
    </row>
    <row r="43" spans="1:40" x14ac:dyDescent="0.2">
      <c r="A43">
        <f t="shared" si="18"/>
        <v>35350.200000000004</v>
      </c>
      <c r="B43">
        <f t="shared" si="18"/>
        <v>23560</v>
      </c>
      <c r="C43">
        <f t="shared" si="19"/>
        <v>35700.800000000003</v>
      </c>
      <c r="D43">
        <f t="shared" si="19"/>
        <v>17850</v>
      </c>
      <c r="E43">
        <f t="shared" si="19"/>
        <v>65469.599999999999</v>
      </c>
      <c r="F43">
        <f t="shared" ref="F43:F49" si="24">SUM(A43:E43)</f>
        <v>177930.6</v>
      </c>
      <c r="W43" s="7">
        <v>5.72</v>
      </c>
      <c r="X43" s="13">
        <v>7.83</v>
      </c>
      <c r="AC43" s="5">
        <f t="shared" si="20"/>
        <v>27024.390243902442</v>
      </c>
      <c r="AD43">
        <v>74.665899999999993</v>
      </c>
      <c r="AG43" s="5">
        <f t="shared" si="21"/>
        <v>47512.195121951227</v>
      </c>
      <c r="AH43">
        <v>119.6463</v>
      </c>
      <c r="AJ43" s="48">
        <f t="shared" si="22"/>
        <v>1.3951219512195123</v>
      </c>
      <c r="AK43" s="13">
        <v>7.83</v>
      </c>
      <c r="AM43" s="4">
        <f t="shared" si="23"/>
        <v>4.5999999999999996</v>
      </c>
      <c r="AN43" s="13">
        <v>7.8</v>
      </c>
    </row>
    <row r="44" spans="1:40" x14ac:dyDescent="0.2">
      <c r="A44">
        <f t="shared" si="18"/>
        <v>44787.6</v>
      </c>
      <c r="B44">
        <f t="shared" si="18"/>
        <v>29878.3</v>
      </c>
      <c r="C44">
        <f t="shared" si="19"/>
        <v>35879.999999999993</v>
      </c>
      <c r="D44">
        <f t="shared" si="19"/>
        <v>17932.199999999997</v>
      </c>
      <c r="E44">
        <f t="shared" si="19"/>
        <v>65834.100000000006</v>
      </c>
      <c r="F44">
        <f t="shared" si="24"/>
        <v>194312.2</v>
      </c>
      <c r="W44" s="7">
        <v>3.54</v>
      </c>
      <c r="X44" s="13">
        <v>9.9</v>
      </c>
      <c r="AC44" s="5">
        <f t="shared" si="20"/>
        <v>14861.111111111111</v>
      </c>
      <c r="AD44">
        <v>58.397999999999996</v>
      </c>
      <c r="AG44" s="5">
        <f t="shared" si="21"/>
        <v>40444.444444444445</v>
      </c>
      <c r="AH44">
        <v>115.63730000000001</v>
      </c>
      <c r="AJ44" s="48">
        <f t="shared" si="22"/>
        <v>0.98333333333333328</v>
      </c>
      <c r="AK44" s="13">
        <v>9.9</v>
      </c>
      <c r="AM44" s="4">
        <f t="shared" si="23"/>
        <v>4.5599999999999996</v>
      </c>
      <c r="AN44" s="13">
        <v>7.61</v>
      </c>
    </row>
    <row r="45" spans="1:40" x14ac:dyDescent="0.2">
      <c r="A45">
        <f t="shared" si="18"/>
        <v>35046</v>
      </c>
      <c r="B45">
        <f t="shared" si="18"/>
        <v>23352</v>
      </c>
      <c r="C45">
        <f t="shared" si="19"/>
        <v>34701.599999999999</v>
      </c>
      <c r="D45">
        <f t="shared" si="19"/>
        <v>17345.600000000002</v>
      </c>
      <c r="E45">
        <f t="shared" si="19"/>
        <v>63590.100000000006</v>
      </c>
      <c r="F45">
        <f t="shared" si="24"/>
        <v>174035.30000000002</v>
      </c>
      <c r="W45" s="7">
        <v>3.43</v>
      </c>
      <c r="X45" s="13">
        <v>10.72</v>
      </c>
      <c r="AC45" s="5">
        <f t="shared" si="20"/>
        <v>15897.435897435898</v>
      </c>
      <c r="AD45">
        <v>61.293700000000001</v>
      </c>
      <c r="AG45" s="5">
        <f t="shared" si="21"/>
        <v>41076.923076923078</v>
      </c>
      <c r="AH45">
        <v>129.10480000000001</v>
      </c>
      <c r="AJ45" s="48">
        <f t="shared" si="22"/>
        <v>0.87948717948717958</v>
      </c>
      <c r="AK45" s="13">
        <v>10.72</v>
      </c>
      <c r="AM45" s="4">
        <f t="shared" si="23"/>
        <v>4.75</v>
      </c>
      <c r="AN45" s="13">
        <v>8.16</v>
      </c>
    </row>
    <row r="46" spans="1:40" x14ac:dyDescent="0.2">
      <c r="A46">
        <f t="shared" si="18"/>
        <v>36769.600000000006</v>
      </c>
      <c r="B46">
        <f t="shared" si="18"/>
        <v>24524.100000000002</v>
      </c>
      <c r="C46">
        <f t="shared" si="19"/>
        <v>38760</v>
      </c>
      <c r="D46">
        <f t="shared" si="19"/>
        <v>19359.599999999999</v>
      </c>
      <c r="E46">
        <f t="shared" si="19"/>
        <v>70985.200000000012</v>
      </c>
      <c r="F46">
        <f t="shared" si="24"/>
        <v>190398.50000000003</v>
      </c>
      <c r="W46" s="7">
        <v>5.47</v>
      </c>
      <c r="X46" s="13">
        <v>7.47</v>
      </c>
      <c r="AC46" s="5">
        <f t="shared" si="20"/>
        <v>25850</v>
      </c>
      <c r="AD46">
        <v>68.084199999999996</v>
      </c>
      <c r="AG46" s="5">
        <f t="shared" si="21"/>
        <v>43125</v>
      </c>
      <c r="AH46">
        <v>114.38159999999999</v>
      </c>
      <c r="AJ46" s="48">
        <f t="shared" si="22"/>
        <v>1.3674999999999999</v>
      </c>
      <c r="AK46" s="13">
        <v>7.47</v>
      </c>
      <c r="AM46" s="4">
        <f t="shared" si="23"/>
        <v>4.92</v>
      </c>
      <c r="AN46" s="13">
        <v>6.97</v>
      </c>
    </row>
    <row r="47" spans="1:40" x14ac:dyDescent="0.2">
      <c r="A47">
        <f t="shared" si="18"/>
        <v>40860.899999999994</v>
      </c>
      <c r="B47">
        <f t="shared" si="18"/>
        <v>27223.3</v>
      </c>
      <c r="C47">
        <f t="shared" si="19"/>
        <v>34292.400000000001</v>
      </c>
      <c r="D47">
        <f t="shared" si="19"/>
        <v>17152.2</v>
      </c>
      <c r="E47">
        <f t="shared" si="19"/>
        <v>62937</v>
      </c>
      <c r="F47">
        <f t="shared" si="24"/>
        <v>182465.8</v>
      </c>
      <c r="W47" s="7">
        <v>6.11</v>
      </c>
      <c r="X47" s="13">
        <v>7.5</v>
      </c>
      <c r="AC47" s="5">
        <f t="shared" si="20"/>
        <v>28285.714285714286</v>
      </c>
      <c r="AD47">
        <v>76.349000000000004</v>
      </c>
      <c r="AG47" s="5">
        <f t="shared" si="21"/>
        <v>41547.619047619046</v>
      </c>
      <c r="AH47">
        <v>130.61759999999998</v>
      </c>
      <c r="AJ47" s="48">
        <f t="shared" si="22"/>
        <v>1.4547619047619047</v>
      </c>
      <c r="AK47" s="13">
        <v>7.5</v>
      </c>
      <c r="AM47" s="4">
        <f t="shared" si="23"/>
        <v>4.92</v>
      </c>
      <c r="AN47" s="13">
        <v>7.96</v>
      </c>
    </row>
    <row r="48" spans="1:40" x14ac:dyDescent="0.2">
      <c r="A48">
        <f t="shared" si="18"/>
        <v>45825</v>
      </c>
      <c r="B48">
        <f t="shared" si="18"/>
        <v>30524</v>
      </c>
      <c r="C48">
        <f t="shared" si="19"/>
        <v>39163.199999999997</v>
      </c>
      <c r="D48">
        <f t="shared" si="19"/>
        <v>19584</v>
      </c>
      <c r="E48">
        <f t="shared" si="19"/>
        <v>71870.400000000009</v>
      </c>
      <c r="F48">
        <f t="shared" si="24"/>
        <v>206966.60000000003</v>
      </c>
      <c r="W48" s="7">
        <v>4.18</v>
      </c>
      <c r="X48" s="13">
        <v>8.4600000000000009</v>
      </c>
      <c r="AC48" s="5">
        <f t="shared" si="20"/>
        <v>19729.72972972973</v>
      </c>
      <c r="AD48">
        <v>58.958399999999997</v>
      </c>
      <c r="AG48" s="5">
        <f t="shared" si="21"/>
        <v>37108.108108108107</v>
      </c>
      <c r="AH48">
        <v>119.01009999999999</v>
      </c>
      <c r="AJ48" s="48">
        <f t="shared" si="22"/>
        <v>1.1297297297297295</v>
      </c>
      <c r="AK48" s="13">
        <v>8.4600000000000009</v>
      </c>
      <c r="AM48" s="4">
        <f t="shared" si="23"/>
        <v>4.55</v>
      </c>
      <c r="AN48" s="13">
        <v>7.85</v>
      </c>
    </row>
    <row r="49" spans="1:21" x14ac:dyDescent="0.2">
      <c r="A49">
        <f t="shared" si="18"/>
        <v>35362.800000000003</v>
      </c>
      <c r="B49">
        <f t="shared" si="18"/>
        <v>23595.600000000002</v>
      </c>
      <c r="C49">
        <f t="shared" si="19"/>
        <v>35717.499999999993</v>
      </c>
      <c r="D49">
        <f t="shared" si="19"/>
        <v>17849.399999999998</v>
      </c>
      <c r="E49">
        <f t="shared" si="19"/>
        <v>65443.200000000004</v>
      </c>
      <c r="F49">
        <f t="shared" si="24"/>
        <v>177968.5</v>
      </c>
    </row>
    <row r="50" spans="1:21" x14ac:dyDescent="0.2">
      <c r="O50">
        <v>1.0021240000000002</v>
      </c>
    </row>
    <row r="51" spans="1:21" x14ac:dyDescent="0.2">
      <c r="A51">
        <f>AVERAGE(A42:A49)</f>
        <v>39096.3125</v>
      </c>
      <c r="B51">
        <f t="shared" ref="B51:F51" si="25">AVERAGE(B42:B49)</f>
        <v>26062.162500000002</v>
      </c>
      <c r="C51">
        <f t="shared" si="25"/>
        <v>35642.737500000003</v>
      </c>
      <c r="D51">
        <f t="shared" si="25"/>
        <v>17816.424999999999</v>
      </c>
      <c r="E51">
        <f t="shared" si="25"/>
        <v>65356.575000000004</v>
      </c>
      <c r="F51">
        <f t="shared" si="25"/>
        <v>183974.21250000002</v>
      </c>
      <c r="O51">
        <v>1.0046000000000002</v>
      </c>
      <c r="P51">
        <f>O50/O51</f>
        <v>0.99753533744774048</v>
      </c>
    </row>
    <row r="52" spans="1:21" x14ac:dyDescent="0.2">
      <c r="A52">
        <f>A51*52</f>
        <v>2033008.25</v>
      </c>
      <c r="B52">
        <f t="shared" ref="B52:F52" si="26">B51*52</f>
        <v>1355232.4500000002</v>
      </c>
      <c r="C52">
        <f t="shared" si="26"/>
        <v>1853422.35</v>
      </c>
      <c r="D52">
        <f t="shared" si="26"/>
        <v>926454.1</v>
      </c>
      <c r="E52">
        <f t="shared" si="26"/>
        <v>3398541.9000000004</v>
      </c>
      <c r="F52">
        <f t="shared" si="26"/>
        <v>9566659.0500000007</v>
      </c>
      <c r="H52">
        <f>D56*E56*1000</f>
        <v>4950434284.959856</v>
      </c>
      <c r="I52">
        <f>B3*C3*1000</f>
        <v>2100000</v>
      </c>
      <c r="J52">
        <f>B4*C4*1000</f>
        <v>3150000</v>
      </c>
      <c r="K52">
        <f>SUM(H52:J52)</f>
        <v>4955684284.959856</v>
      </c>
      <c r="L52" s="33">
        <f>K52-F52</f>
        <v>4946117625.9098558</v>
      </c>
    </row>
    <row r="55" spans="1:21" x14ac:dyDescent="0.2">
      <c r="D55" s="16" t="s">
        <v>49</v>
      </c>
      <c r="E55" s="16" t="s">
        <v>48</v>
      </c>
      <c r="H55" t="s">
        <v>52</v>
      </c>
      <c r="I55" t="s">
        <v>51</v>
      </c>
      <c r="J55" t="s">
        <v>50</v>
      </c>
    </row>
    <row r="56" spans="1:21" x14ac:dyDescent="0.2">
      <c r="D56">
        <f>(4413.2*EXP(-0.213*E56))*1000</f>
        <v>471469.93190093868</v>
      </c>
      <c r="E56">
        <v>10.5</v>
      </c>
      <c r="H56">
        <f>H52-A52-C52</f>
        <v>4946547854.3598557</v>
      </c>
      <c r="I56">
        <f>I52-B52-D52</f>
        <v>-181686.55000000016</v>
      </c>
      <c r="J56">
        <f>J52-E52</f>
        <v>-248541.90000000037</v>
      </c>
    </row>
    <row r="57" spans="1:21" ht="13.5" thickBot="1" x14ac:dyDescent="0.25"/>
    <row r="58" spans="1:21" ht="15.75" thickBot="1" x14ac:dyDescent="0.25">
      <c r="A58" s="18"/>
      <c r="B58" s="19" t="s">
        <v>5</v>
      </c>
      <c r="C58" s="19" t="s">
        <v>6</v>
      </c>
      <c r="D58" s="19" t="s">
        <v>7</v>
      </c>
      <c r="F58" s="16" t="s">
        <v>53</v>
      </c>
      <c r="H58" s="45" t="s">
        <v>59</v>
      </c>
      <c r="I58" s="45" t="s">
        <v>19</v>
      </c>
      <c r="K58" s="43" t="s">
        <v>5</v>
      </c>
      <c r="L58" s="44">
        <v>10.5</v>
      </c>
    </row>
    <row r="59" spans="1:21" ht="15.75" thickBot="1" x14ac:dyDescent="0.25">
      <c r="A59" s="20" t="s">
        <v>4</v>
      </c>
      <c r="B59" s="42">
        <v>0.55000000000000004</v>
      </c>
      <c r="C59" s="42">
        <v>0.45</v>
      </c>
      <c r="D59" s="42" t="s">
        <v>14</v>
      </c>
      <c r="F59">
        <v>12000000</v>
      </c>
      <c r="H59" s="28">
        <v>4.01</v>
      </c>
      <c r="I59" s="30">
        <f>-0.2476*H59+1.995</f>
        <v>1.0021240000000002</v>
      </c>
      <c r="K59" s="20" t="s">
        <v>6</v>
      </c>
      <c r="L59" s="22">
        <v>7</v>
      </c>
      <c r="N59" s="13">
        <v>9.0437499999999993</v>
      </c>
      <c r="O59" s="13">
        <v>7.2362499999999992</v>
      </c>
      <c r="P59" s="13">
        <v>8.2675000000000001</v>
      </c>
      <c r="Q59" s="13"/>
      <c r="R59" s="13"/>
      <c r="S59" s="13"/>
      <c r="T59" s="13">
        <v>7.8762500000000006</v>
      </c>
      <c r="U59" s="13">
        <v>7.1787499999999991</v>
      </c>
    </row>
    <row r="60" spans="1:21" ht="15.75" thickBot="1" x14ac:dyDescent="0.25">
      <c r="A60" s="20" t="s">
        <v>8</v>
      </c>
      <c r="B60" s="42">
        <v>0.25</v>
      </c>
      <c r="C60" s="42">
        <v>0.15</v>
      </c>
      <c r="D60" s="42">
        <v>0.6</v>
      </c>
      <c r="K60" s="20" t="s">
        <v>7</v>
      </c>
      <c r="L60" s="22">
        <v>7</v>
      </c>
    </row>
    <row r="62" spans="1:21" x14ac:dyDescent="0.2">
      <c r="A62" s="16" t="s">
        <v>54</v>
      </c>
      <c r="B62" s="16" t="s">
        <v>55</v>
      </c>
      <c r="C62" s="16" t="s">
        <v>56</v>
      </c>
      <c r="D62" s="16" t="s">
        <v>57</v>
      </c>
      <c r="E62" s="16" t="s">
        <v>58</v>
      </c>
    </row>
    <row r="63" spans="1:21" x14ac:dyDescent="0.2">
      <c r="A63" s="4">
        <f>IF(D56&lt;=I65,D56,I65)</f>
        <v>471469.93190093868</v>
      </c>
      <c r="B63" s="4">
        <f>C59*A63</f>
        <v>212161.46935542242</v>
      </c>
      <c r="C63" s="4">
        <f>IF(D56&lt;=I65,D56,I65)</f>
        <v>471469.93190093868</v>
      </c>
      <c r="D63" s="4">
        <f>C60*A63</f>
        <v>70720.489785140802</v>
      </c>
      <c r="E63" s="4">
        <f>D60*B63</f>
        <v>127296.88161325344</v>
      </c>
    </row>
    <row r="64" spans="1:21" x14ac:dyDescent="0.2">
      <c r="H64" t="s">
        <v>62</v>
      </c>
      <c r="I64" t="s">
        <v>63</v>
      </c>
    </row>
    <row r="65" spans="1:10" x14ac:dyDescent="0.2">
      <c r="A65">
        <f>A63/10*$I$59</f>
        <v>47247.133403629639</v>
      </c>
      <c r="B65">
        <f>B63/10*$I$59</f>
        <v>21261.210031633338</v>
      </c>
      <c r="C65">
        <f>C63/10*$I$59</f>
        <v>47247.133403629639</v>
      </c>
      <c r="D65">
        <f>D63/10*$I$59</f>
        <v>7087.0700105444457</v>
      </c>
      <c r="E65">
        <f>E63/10*$I$59</f>
        <v>12756.726018980002</v>
      </c>
      <c r="F65" s="16" t="s">
        <v>25</v>
      </c>
      <c r="H65" s="4">
        <f>6000000/0.8</f>
        <v>7500000</v>
      </c>
      <c r="I65" s="4">
        <f>9000000/0.8</f>
        <v>11250000</v>
      </c>
      <c r="J65" s="4">
        <f>SUM(H65:I65)</f>
        <v>18750000</v>
      </c>
    </row>
    <row r="66" spans="1:10" x14ac:dyDescent="0.2">
      <c r="A66">
        <f>A65*L58</f>
        <v>496094.90073811123</v>
      </c>
      <c r="B66">
        <f>B65*L59</f>
        <v>148828.47022143338</v>
      </c>
      <c r="C66">
        <f>C65*L58</f>
        <v>496094.90073811123</v>
      </c>
      <c r="D66">
        <f>D65*L59</f>
        <v>49609.490073811117</v>
      </c>
      <c r="E66">
        <f>E65*L60</f>
        <v>89297.082132860014</v>
      </c>
      <c r="F66" s="16" t="s">
        <v>60</v>
      </c>
    </row>
    <row r="67" spans="1:10" x14ac:dyDescent="0.2">
      <c r="A67">
        <f>A65*N59</f>
        <v>427291.26271907554</v>
      </c>
      <c r="B67">
        <f>B65*O59</f>
        <v>153851.43109140673</v>
      </c>
      <c r="C67">
        <f>C65*P59</f>
        <v>390615.67541450803</v>
      </c>
      <c r="D67">
        <f>D65*T59</f>
        <v>55819.535170550698</v>
      </c>
      <c r="E67">
        <f>E65*U59</f>
        <v>91577.346908752676</v>
      </c>
      <c r="F67" s="16" t="s">
        <v>26</v>
      </c>
    </row>
    <row r="68" spans="1:10" x14ac:dyDescent="0.2">
      <c r="A68">
        <f t="shared" ref="A68:D68" si="27">A66-A67</f>
        <v>68803.638019035687</v>
      </c>
      <c r="B68">
        <f t="shared" si="27"/>
        <v>-5022.9608699733508</v>
      </c>
      <c r="C68">
        <f t="shared" si="27"/>
        <v>105479.2253236032</v>
      </c>
      <c r="D68">
        <f t="shared" si="27"/>
        <v>-6210.0450967395809</v>
      </c>
      <c r="E68">
        <f>E66-E67</f>
        <v>-2280.2647758926614</v>
      </c>
      <c r="F68" s="16" t="s">
        <v>61</v>
      </c>
    </row>
    <row r="92" spans="1:7" x14ac:dyDescent="0.2">
      <c r="A92" s="16" t="s">
        <v>54</v>
      </c>
      <c r="B92" s="16" t="s">
        <v>55</v>
      </c>
      <c r="C92" s="16" t="s">
        <v>56</v>
      </c>
      <c r="D92" s="16" t="s">
        <v>57</v>
      </c>
      <c r="E92" s="16" t="s">
        <v>58</v>
      </c>
      <c r="G92">
        <v>62</v>
      </c>
    </row>
    <row r="93" spans="1:7" x14ac:dyDescent="0.2">
      <c r="A93" s="4">
        <f>B89*F89</f>
        <v>0</v>
      </c>
      <c r="B93" s="4">
        <f>C89*A93</f>
        <v>0</v>
      </c>
      <c r="C93" s="4">
        <f>B90*F89</f>
        <v>0</v>
      </c>
      <c r="D93" s="4">
        <f>C90*A93</f>
        <v>0</v>
      </c>
      <c r="E93" s="4">
        <f>D90*B93</f>
        <v>0</v>
      </c>
    </row>
    <row r="95" spans="1:7" x14ac:dyDescent="0.2">
      <c r="A95">
        <f>A93/10*$I$59</f>
        <v>0</v>
      </c>
      <c r="B95">
        <f>B93/10*$I$59</f>
        <v>0</v>
      </c>
      <c r="C95">
        <f>C93/10*$I$59</f>
        <v>0</v>
      </c>
      <c r="D95">
        <f>D93/10*$I$59</f>
        <v>0</v>
      </c>
      <c r="E95">
        <f>E93/10*$I$59</f>
        <v>0</v>
      </c>
      <c r="F95" s="16" t="s">
        <v>25</v>
      </c>
    </row>
    <row r="96" spans="1:7" x14ac:dyDescent="0.2">
      <c r="A96">
        <f>A95*L88</f>
        <v>0</v>
      </c>
      <c r="B96">
        <f>B95*L89</f>
        <v>0</v>
      </c>
      <c r="C96">
        <f>C95*L88</f>
        <v>0</v>
      </c>
      <c r="D96">
        <f>D95*L89</f>
        <v>0</v>
      </c>
      <c r="E96">
        <f>E95*L90</f>
        <v>0</v>
      </c>
      <c r="F96" s="16" t="s">
        <v>60</v>
      </c>
    </row>
    <row r="97" spans="1:6" x14ac:dyDescent="0.2">
      <c r="A97">
        <f>A95*N89</f>
        <v>0</v>
      </c>
      <c r="B97">
        <f>B95*O89</f>
        <v>0</v>
      </c>
      <c r="C97">
        <f>C95*P89</f>
        <v>0</v>
      </c>
      <c r="D97">
        <f>D95*T89</f>
        <v>0</v>
      </c>
      <c r="E97">
        <f>E95*U89</f>
        <v>0</v>
      </c>
      <c r="F97" s="16" t="s">
        <v>26</v>
      </c>
    </row>
    <row r="98" spans="1:6" x14ac:dyDescent="0.2">
      <c r="A98">
        <f t="shared" ref="A98" si="28">A96-A97</f>
        <v>0</v>
      </c>
      <c r="B98">
        <f t="shared" ref="B98" si="29">B96-B97</f>
        <v>0</v>
      </c>
      <c r="C98">
        <f t="shared" ref="C98" si="30">C96-C97</f>
        <v>0</v>
      </c>
      <c r="D98">
        <f t="shared" ref="D98" si="31">D96-D97</f>
        <v>0</v>
      </c>
      <c r="E98">
        <f>E96-E97</f>
        <v>0</v>
      </c>
      <c r="F98" s="16" t="s">
        <v>61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D18:D23 D24:D3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3"/>
  <sheetViews>
    <sheetView topLeftCell="K1" zoomScaleNormal="100" workbookViewId="0">
      <selection activeCell="U32" sqref="U32"/>
    </sheetView>
  </sheetViews>
  <sheetFormatPr defaultColWidth="8.85546875" defaultRowHeight="12.75" x14ac:dyDescent="0.2"/>
  <cols>
    <col min="1" max="1" width="12.140625" style="1" customWidth="1"/>
    <col min="2" max="2" width="9.140625" style="5" customWidth="1"/>
    <col min="3" max="3" width="12.42578125" style="1" customWidth="1"/>
    <col min="4" max="9" width="8.85546875" style="1"/>
    <col min="10" max="11" width="9.140625" style="1"/>
    <col min="19" max="19" width="9.140625" style="1"/>
    <col min="20" max="20" width="12.140625" style="1" customWidth="1"/>
    <col min="21" max="21" width="11" customWidth="1"/>
    <col min="22" max="22" width="12" customWidth="1"/>
    <col min="23" max="23" width="14" bestFit="1" customWidth="1"/>
    <col min="24" max="24" width="12.140625" style="1" customWidth="1"/>
    <col min="27" max="27" width="12.140625" style="1" customWidth="1"/>
    <col min="34" max="34" width="10.42578125" customWidth="1"/>
    <col min="35" max="35" width="10.28515625" bestFit="1" customWidth="1"/>
    <col min="37" max="37" width="11.28515625" bestFit="1" customWidth="1"/>
    <col min="38" max="38" width="11.140625" customWidth="1"/>
    <col min="40" max="40" width="11.28515625" bestFit="1" customWidth="1"/>
    <col min="44" max="44" width="11.42578125" customWidth="1"/>
  </cols>
  <sheetData>
    <row r="1" spans="1:41" ht="18" x14ac:dyDescent="0.2">
      <c r="A1" s="6" t="s">
        <v>1</v>
      </c>
      <c r="T1" s="6"/>
      <c r="X1" s="6"/>
      <c r="AA1" s="6"/>
    </row>
    <row r="3" spans="1:41" ht="12.75" customHeight="1" x14ac:dyDescent="0.2">
      <c r="A3" s="16" t="s">
        <v>3</v>
      </c>
      <c r="B3" s="1"/>
      <c r="T3" s="16" t="s">
        <v>9</v>
      </c>
      <c r="U3" s="4"/>
      <c r="V3" s="4"/>
      <c r="X3" s="16" t="s">
        <v>10</v>
      </c>
      <c r="Y3" s="15"/>
      <c r="Z3" s="15"/>
      <c r="AA3" s="16" t="s">
        <v>12</v>
      </c>
      <c r="AB3" s="1"/>
      <c r="AC3" s="1"/>
      <c r="AD3" s="1"/>
      <c r="AE3" s="1"/>
      <c r="AF3" s="1"/>
      <c r="AG3" s="1"/>
      <c r="AH3" s="1"/>
      <c r="AI3" s="1"/>
    </row>
    <row r="4" spans="1:41" ht="12.75" customHeight="1" x14ac:dyDescent="0.2">
      <c r="A4" s="16"/>
      <c r="B4" s="1"/>
      <c r="T4" s="16"/>
      <c r="X4" s="16" t="s">
        <v>11</v>
      </c>
      <c r="Y4" s="15"/>
      <c r="Z4" s="15"/>
      <c r="AA4" s="16"/>
      <c r="AB4" s="1"/>
      <c r="AC4" s="1"/>
      <c r="AD4" s="1"/>
      <c r="AE4" s="1"/>
      <c r="AF4" s="1"/>
      <c r="AG4" s="1"/>
      <c r="AH4" s="1"/>
      <c r="AI4" s="1"/>
    </row>
    <row r="5" spans="1:41" x14ac:dyDescent="0.2">
      <c r="A5"/>
      <c r="B5" s="1" t="s">
        <v>4</v>
      </c>
      <c r="J5" s="1" t="s">
        <v>8</v>
      </c>
      <c r="T5"/>
      <c r="U5" s="7" t="s">
        <v>4</v>
      </c>
      <c r="V5" s="7" t="s">
        <v>8</v>
      </c>
      <c r="X5"/>
      <c r="Y5" s="5"/>
      <c r="AA5"/>
      <c r="AB5" s="1" t="s">
        <v>4</v>
      </c>
      <c r="AC5" s="1"/>
      <c r="AD5" s="1"/>
      <c r="AE5" s="1"/>
      <c r="AF5" s="1"/>
      <c r="AG5" s="1" t="s">
        <v>8</v>
      </c>
      <c r="AH5" s="1"/>
      <c r="AI5" s="1"/>
    </row>
    <row r="6" spans="1:41" ht="14.25" customHeight="1" x14ac:dyDescent="0.2">
      <c r="A6" s="10" t="s">
        <v>0</v>
      </c>
      <c r="B6" s="1" t="s">
        <v>5</v>
      </c>
      <c r="C6" s="1" t="s">
        <v>6</v>
      </c>
      <c r="D6" s="1" t="s">
        <v>23</v>
      </c>
      <c r="E6" s="1" t="s">
        <v>22</v>
      </c>
      <c r="F6" s="1" t="s">
        <v>19</v>
      </c>
      <c r="G6" s="1" t="s">
        <v>64</v>
      </c>
      <c r="H6" s="1" t="s">
        <v>65</v>
      </c>
      <c r="J6" s="1" t="s">
        <v>5</v>
      </c>
      <c r="K6" s="1" t="s">
        <v>6</v>
      </c>
      <c r="L6" s="1" t="s">
        <v>7</v>
      </c>
      <c r="M6" s="1" t="s">
        <v>23</v>
      </c>
      <c r="N6" s="1" t="s">
        <v>22</v>
      </c>
      <c r="O6" s="1" t="s">
        <v>19</v>
      </c>
      <c r="P6" s="1" t="s">
        <v>64</v>
      </c>
      <c r="Q6" s="1" t="s">
        <v>65</v>
      </c>
      <c r="R6" s="1" t="s">
        <v>66</v>
      </c>
      <c r="T6" s="10" t="s">
        <v>0</v>
      </c>
      <c r="U6" s="7"/>
      <c r="V6" s="7"/>
      <c r="X6" s="10" t="s">
        <v>0</v>
      </c>
      <c r="Y6" s="11"/>
      <c r="AA6" s="10" t="s">
        <v>0</v>
      </c>
      <c r="AB6" s="12" t="s">
        <v>5</v>
      </c>
      <c r="AC6" s="12"/>
      <c r="AD6" s="12" t="s">
        <v>6</v>
      </c>
      <c r="AE6" s="12"/>
      <c r="AF6" s="12"/>
      <c r="AG6" s="12" t="s">
        <v>5</v>
      </c>
      <c r="AH6" s="12" t="s">
        <v>6</v>
      </c>
      <c r="AI6" s="12" t="s">
        <v>7</v>
      </c>
    </row>
    <row r="7" spans="1:41" x14ac:dyDescent="0.2">
      <c r="A7" s="3">
        <v>43955</v>
      </c>
      <c r="B7" s="7">
        <v>3.43</v>
      </c>
      <c r="C7" s="7">
        <v>3.04</v>
      </c>
      <c r="D7" s="32">
        <f>SUM(B7:C7)</f>
        <v>6.4700000000000006</v>
      </c>
      <c r="E7" s="31">
        <f>U7/10000</f>
        <v>7.28</v>
      </c>
      <c r="F7" s="35">
        <f>D7/E7</f>
        <v>0.8887362637362638</v>
      </c>
      <c r="G7" s="35">
        <f>B7/SUM($B7:$C7)</f>
        <v>0.5301391035548686</v>
      </c>
      <c r="H7" s="35">
        <f>C7/SUM($B7:$C7)</f>
        <v>0.46986089644513135</v>
      </c>
      <c r="I7" s="5"/>
      <c r="J7" s="7">
        <v>4.55</v>
      </c>
      <c r="K7" s="7">
        <v>2.4700000000000002</v>
      </c>
      <c r="L7" s="7">
        <v>10.15</v>
      </c>
      <c r="M7" s="32">
        <f>SUM(J7:L7)</f>
        <v>17.170000000000002</v>
      </c>
      <c r="N7" s="31">
        <f>V7/10000</f>
        <v>20.95</v>
      </c>
      <c r="O7" s="35">
        <f>M7/N7</f>
        <v>0.81957040572792372</v>
      </c>
      <c r="P7" s="35">
        <f>J7/SUM($J7:$L7)</f>
        <v>0.26499708794408849</v>
      </c>
      <c r="Q7" s="35">
        <f t="shared" ref="Q7:R7" si="0">K7/SUM($J7:$L7)</f>
        <v>0.14385556202679092</v>
      </c>
      <c r="R7" s="35">
        <f t="shared" si="0"/>
        <v>0.59114735002912056</v>
      </c>
      <c r="T7" s="3">
        <v>43955</v>
      </c>
      <c r="U7" s="8">
        <v>72800</v>
      </c>
      <c r="V7" s="8">
        <v>209500</v>
      </c>
      <c r="X7" s="3">
        <v>43955</v>
      </c>
      <c r="Y7" s="5">
        <v>4.5</v>
      </c>
      <c r="AA7" s="10"/>
      <c r="AB7" s="12"/>
      <c r="AC7" s="12"/>
      <c r="AD7" s="12"/>
      <c r="AE7" s="12"/>
      <c r="AF7" s="12"/>
      <c r="AG7" s="12"/>
      <c r="AH7" s="12"/>
      <c r="AI7" s="12"/>
    </row>
    <row r="8" spans="1:41" x14ac:dyDescent="0.2">
      <c r="A8" s="3">
        <v>43962</v>
      </c>
      <c r="B8" s="7">
        <v>4.96</v>
      </c>
      <c r="C8" s="7">
        <v>4.21</v>
      </c>
      <c r="D8" s="32">
        <f t="shared" ref="D8:D22" si="1">SUM(B8:C8)</f>
        <v>9.17</v>
      </c>
      <c r="E8" s="31">
        <f t="shared" ref="E8:E22" si="2">U8/10000</f>
        <v>9.86</v>
      </c>
      <c r="F8" s="35">
        <f t="shared" ref="F8:F22" si="3">D8/E8</f>
        <v>0.93002028397565928</v>
      </c>
      <c r="G8" s="35">
        <f t="shared" ref="G8:G22" si="4">B8/SUM($B8:$C8)</f>
        <v>0.54089422028353329</v>
      </c>
      <c r="H8" s="35">
        <f t="shared" ref="H8:H22" si="5">C8/SUM($B8:$C8)</f>
        <v>0.45910577971646677</v>
      </c>
      <c r="I8" s="5"/>
      <c r="J8" s="7">
        <v>4.99</v>
      </c>
      <c r="K8" s="7">
        <v>2.1</v>
      </c>
      <c r="L8" s="7">
        <v>9.49</v>
      </c>
      <c r="M8" s="32">
        <f t="shared" ref="M8:M22" si="6">SUM(J8:L8)</f>
        <v>16.579999999999998</v>
      </c>
      <c r="N8" s="31">
        <f t="shared" ref="N8:N21" si="7">V8/10000</f>
        <v>18.149999999999999</v>
      </c>
      <c r="O8" s="35">
        <f t="shared" ref="O8:O22" si="8">M8/N8</f>
        <v>0.91349862258953163</v>
      </c>
      <c r="P8" s="35">
        <f t="shared" ref="P8:P22" si="9">J8/SUM($J8:$L8)</f>
        <v>0.30096501809408932</v>
      </c>
      <c r="Q8" s="35">
        <f t="shared" ref="Q8:Q22" si="10">K8/SUM($J8:$L8)</f>
        <v>0.12665862484921594</v>
      </c>
      <c r="R8" s="35">
        <f t="shared" ref="R8:R22" si="11">L8/SUM($J8:$L8)</f>
        <v>0.57237635705669487</v>
      </c>
      <c r="T8" s="3">
        <v>43962</v>
      </c>
      <c r="U8" s="8">
        <v>98600</v>
      </c>
      <c r="V8" s="8">
        <v>181500</v>
      </c>
      <c r="X8" s="3">
        <v>43962</v>
      </c>
      <c r="Y8" s="5">
        <v>4.3</v>
      </c>
      <c r="AA8" s="10"/>
      <c r="AB8" s="12"/>
      <c r="AC8" s="12"/>
      <c r="AD8" s="12"/>
      <c r="AE8" s="12"/>
      <c r="AF8" s="12"/>
      <c r="AG8" s="12"/>
      <c r="AH8" s="12"/>
      <c r="AI8" s="12"/>
    </row>
    <row r="9" spans="1:41" x14ac:dyDescent="0.2">
      <c r="A9" s="3">
        <v>43969</v>
      </c>
      <c r="B9" s="7">
        <v>4.09</v>
      </c>
      <c r="C9" s="7">
        <v>3.69</v>
      </c>
      <c r="D9" s="32">
        <f t="shared" si="1"/>
        <v>7.7799999999999994</v>
      </c>
      <c r="E9" s="31">
        <f t="shared" si="2"/>
        <v>7.2</v>
      </c>
      <c r="F9" s="35">
        <f t="shared" si="3"/>
        <v>1.0805555555555555</v>
      </c>
      <c r="G9" s="35">
        <f t="shared" si="4"/>
        <v>0.52570694087403602</v>
      </c>
      <c r="H9" s="35">
        <f t="shared" si="5"/>
        <v>0.47429305912596403</v>
      </c>
      <c r="I9" s="5"/>
      <c r="J9" s="7">
        <v>3.23</v>
      </c>
      <c r="K9" s="7">
        <v>1.36</v>
      </c>
      <c r="L9" s="7">
        <v>8.16</v>
      </c>
      <c r="M9" s="32">
        <f t="shared" si="6"/>
        <v>12.75</v>
      </c>
      <c r="N9" s="31">
        <f t="shared" si="7"/>
        <v>11.79</v>
      </c>
      <c r="O9" s="35">
        <f t="shared" si="8"/>
        <v>1.0814249363867685</v>
      </c>
      <c r="P9" s="35">
        <f t="shared" si="9"/>
        <v>0.25333333333333335</v>
      </c>
      <c r="Q9" s="35">
        <f t="shared" si="10"/>
        <v>0.10666666666666667</v>
      </c>
      <c r="R9" s="35">
        <f t="shared" si="11"/>
        <v>0.64</v>
      </c>
      <c r="T9" s="3">
        <v>43969</v>
      </c>
      <c r="U9" s="8">
        <v>72000</v>
      </c>
      <c r="V9" s="8">
        <v>117900</v>
      </c>
      <c r="X9" s="3">
        <v>43969</v>
      </c>
      <c r="Y9" s="5">
        <v>3.7</v>
      </c>
      <c r="AA9" s="10"/>
      <c r="AB9" s="12"/>
      <c r="AC9" s="12"/>
      <c r="AD9" s="12"/>
      <c r="AE9" s="12"/>
      <c r="AF9" s="12"/>
      <c r="AG9" s="12"/>
      <c r="AH9" s="12"/>
      <c r="AI9" s="12"/>
    </row>
    <row r="10" spans="1:41" x14ac:dyDescent="0.2">
      <c r="A10" s="3">
        <v>43976</v>
      </c>
      <c r="B10" s="7">
        <v>4.87</v>
      </c>
      <c r="C10" s="7">
        <v>5.03</v>
      </c>
      <c r="D10" s="32">
        <f t="shared" si="1"/>
        <v>9.9</v>
      </c>
      <c r="E10" s="31">
        <f t="shared" si="2"/>
        <v>10.4</v>
      </c>
      <c r="F10" s="35">
        <f t="shared" si="3"/>
        <v>0.95192307692307687</v>
      </c>
      <c r="G10" s="35">
        <f t="shared" si="4"/>
        <v>0.49191919191919192</v>
      </c>
      <c r="H10" s="35">
        <f t="shared" si="5"/>
        <v>0.50808080808080813</v>
      </c>
      <c r="I10" s="5"/>
      <c r="J10" s="7">
        <v>4.46</v>
      </c>
      <c r="K10" s="7">
        <v>2.4500000000000002</v>
      </c>
      <c r="L10" s="7">
        <v>10.65</v>
      </c>
      <c r="M10" s="32">
        <f t="shared" si="6"/>
        <v>17.560000000000002</v>
      </c>
      <c r="N10" s="31">
        <f t="shared" si="7"/>
        <v>19.170000000000002</v>
      </c>
      <c r="O10" s="35">
        <f t="shared" si="8"/>
        <v>0.91601460615545127</v>
      </c>
      <c r="P10" s="35">
        <f t="shared" si="9"/>
        <v>0.25398633257403186</v>
      </c>
      <c r="Q10" s="35">
        <f t="shared" si="10"/>
        <v>0.13952164009111617</v>
      </c>
      <c r="R10" s="35">
        <f t="shared" si="11"/>
        <v>0.60649202733485186</v>
      </c>
      <c r="T10" s="3">
        <v>43976</v>
      </c>
      <c r="U10" s="8">
        <v>104000</v>
      </c>
      <c r="V10" s="8">
        <v>191700</v>
      </c>
      <c r="X10" s="3">
        <v>43976</v>
      </c>
      <c r="Y10" s="5">
        <v>4.2</v>
      </c>
      <c r="AA10" s="10"/>
      <c r="AB10" s="12"/>
      <c r="AC10" s="12"/>
      <c r="AD10" s="12"/>
      <c r="AE10" s="12"/>
      <c r="AF10" s="12"/>
      <c r="AG10" s="12"/>
      <c r="AH10" s="12"/>
      <c r="AI10" s="12"/>
    </row>
    <row r="11" spans="1:41" x14ac:dyDescent="0.2">
      <c r="A11" s="3">
        <v>43983</v>
      </c>
      <c r="B11" s="7">
        <v>4.71</v>
      </c>
      <c r="C11" s="7">
        <v>4.26</v>
      </c>
      <c r="D11" s="32">
        <f t="shared" si="1"/>
        <v>8.9699999999999989</v>
      </c>
      <c r="E11" s="31">
        <f t="shared" si="2"/>
        <v>8.52</v>
      </c>
      <c r="F11" s="35">
        <f t="shared" si="3"/>
        <v>1.0528169014084505</v>
      </c>
      <c r="G11" s="35">
        <f t="shared" si="4"/>
        <v>0.52508361204013387</v>
      </c>
      <c r="H11" s="35">
        <f t="shared" si="5"/>
        <v>0.47491638795986624</v>
      </c>
      <c r="I11" s="5"/>
      <c r="J11" s="7">
        <v>3.93</v>
      </c>
      <c r="K11" s="7">
        <v>2.57</v>
      </c>
      <c r="L11" s="7">
        <v>10.82</v>
      </c>
      <c r="M11" s="32">
        <f t="shared" si="6"/>
        <v>17.32</v>
      </c>
      <c r="N11" s="31">
        <f t="shared" si="7"/>
        <v>17.88</v>
      </c>
      <c r="O11" s="35">
        <f t="shared" si="8"/>
        <v>0.9686800894854587</v>
      </c>
      <c r="P11" s="35">
        <f t="shared" si="9"/>
        <v>0.22690531177829099</v>
      </c>
      <c r="Q11" s="35">
        <f t="shared" si="10"/>
        <v>0.14838337182448036</v>
      </c>
      <c r="R11" s="35">
        <f t="shared" si="11"/>
        <v>0.62471131639722866</v>
      </c>
      <c r="T11" s="3">
        <v>43983</v>
      </c>
      <c r="U11" s="8">
        <v>85200</v>
      </c>
      <c r="V11" s="8">
        <v>178800</v>
      </c>
      <c r="X11" s="3">
        <v>43983</v>
      </c>
      <c r="Y11" s="5">
        <v>3.8</v>
      </c>
      <c r="AA11" s="10"/>
      <c r="AB11" s="12"/>
      <c r="AC11" s="12"/>
      <c r="AD11" s="12"/>
      <c r="AE11" s="12"/>
      <c r="AF11" s="12"/>
      <c r="AG11" s="12"/>
      <c r="AH11" s="12"/>
      <c r="AI11" s="12"/>
    </row>
    <row r="12" spans="1:41" x14ac:dyDescent="0.2">
      <c r="A12" s="3">
        <v>43990</v>
      </c>
      <c r="B12" s="7">
        <v>5.09</v>
      </c>
      <c r="C12" s="7">
        <v>4.37</v>
      </c>
      <c r="D12" s="32">
        <f t="shared" si="1"/>
        <v>9.4600000000000009</v>
      </c>
      <c r="E12" s="31">
        <f t="shared" si="2"/>
        <v>10.41</v>
      </c>
      <c r="F12" s="35">
        <f t="shared" si="3"/>
        <v>0.90874159462055726</v>
      </c>
      <c r="G12" s="35">
        <f t="shared" si="4"/>
        <v>0.53805496828752641</v>
      </c>
      <c r="H12" s="35">
        <f t="shared" si="5"/>
        <v>0.46194503171247353</v>
      </c>
      <c r="I12" s="5"/>
      <c r="J12" s="7">
        <v>4.07</v>
      </c>
      <c r="K12" s="7">
        <v>1.66</v>
      </c>
      <c r="L12" s="7">
        <v>7.66</v>
      </c>
      <c r="M12" s="32">
        <f t="shared" si="6"/>
        <v>13.39</v>
      </c>
      <c r="N12" s="31">
        <f t="shared" si="7"/>
        <v>14.73</v>
      </c>
      <c r="O12" s="35">
        <f t="shared" si="8"/>
        <v>0.90902919212491518</v>
      </c>
      <c r="P12" s="35">
        <f t="shared" si="9"/>
        <v>0.3039581777445855</v>
      </c>
      <c r="Q12" s="35">
        <f t="shared" si="10"/>
        <v>0.12397311426437639</v>
      </c>
      <c r="R12" s="35">
        <f t="shared" si="11"/>
        <v>0.57206870799103804</v>
      </c>
      <c r="T12" s="3">
        <v>43990</v>
      </c>
      <c r="U12" s="8">
        <v>104100</v>
      </c>
      <c r="V12" s="8">
        <v>147300</v>
      </c>
      <c r="X12" s="3">
        <v>43990</v>
      </c>
      <c r="Y12" s="5">
        <v>4.4000000000000004</v>
      </c>
      <c r="AA12" s="10"/>
      <c r="AB12" s="12"/>
      <c r="AC12" s="12"/>
      <c r="AD12" s="12"/>
      <c r="AE12" s="12"/>
      <c r="AF12" s="12"/>
      <c r="AG12" s="12"/>
      <c r="AH12" s="12"/>
      <c r="AI12" s="12"/>
    </row>
    <row r="13" spans="1:41" ht="13.5" customHeight="1" x14ac:dyDescent="0.2">
      <c r="A13" s="3">
        <v>43997</v>
      </c>
      <c r="B13" s="7">
        <v>4.83</v>
      </c>
      <c r="C13" s="7">
        <v>4.32</v>
      </c>
      <c r="D13" s="32">
        <f t="shared" si="1"/>
        <v>9.15</v>
      </c>
      <c r="E13" s="31">
        <f t="shared" si="2"/>
        <v>9.84</v>
      </c>
      <c r="F13" s="35">
        <f t="shared" si="3"/>
        <v>0.92987804878048785</v>
      </c>
      <c r="G13" s="35">
        <f t="shared" si="4"/>
        <v>0.52786885245901638</v>
      </c>
      <c r="H13" s="35">
        <f t="shared" si="5"/>
        <v>0.47213114754098362</v>
      </c>
      <c r="I13" s="5"/>
      <c r="J13" s="7">
        <v>3.9</v>
      </c>
      <c r="K13" s="7">
        <v>1.81</v>
      </c>
      <c r="L13" s="7">
        <v>7.49</v>
      </c>
      <c r="M13" s="32">
        <f t="shared" si="6"/>
        <v>13.2</v>
      </c>
      <c r="N13" s="31">
        <f t="shared" si="7"/>
        <v>14.19</v>
      </c>
      <c r="O13" s="35">
        <f t="shared" si="8"/>
        <v>0.93023255813953487</v>
      </c>
      <c r="P13" s="35">
        <f t="shared" si="9"/>
        <v>0.29545454545454547</v>
      </c>
      <c r="Q13" s="35">
        <f t="shared" si="10"/>
        <v>0.13712121212121214</v>
      </c>
      <c r="R13" s="35">
        <f t="shared" si="11"/>
        <v>0.5674242424242425</v>
      </c>
      <c r="T13" s="3">
        <v>43997</v>
      </c>
      <c r="U13" s="8">
        <v>98400</v>
      </c>
      <c r="V13" s="8">
        <v>141900</v>
      </c>
      <c r="X13" s="3">
        <v>43997</v>
      </c>
      <c r="Y13" s="5">
        <v>4.3</v>
      </c>
      <c r="AA13" s="10"/>
      <c r="AB13" s="12"/>
      <c r="AC13" s="12"/>
      <c r="AD13" s="12"/>
      <c r="AE13" s="12"/>
      <c r="AF13" s="12"/>
      <c r="AG13" s="12"/>
      <c r="AH13" s="12"/>
      <c r="AI13" s="12"/>
    </row>
    <row r="14" spans="1:41" x14ac:dyDescent="0.2">
      <c r="A14" s="3">
        <v>44004</v>
      </c>
      <c r="B14" s="7">
        <v>5.34</v>
      </c>
      <c r="C14" s="7">
        <v>4.7</v>
      </c>
      <c r="D14" s="32">
        <f t="shared" si="1"/>
        <v>10.039999999999999</v>
      </c>
      <c r="E14" s="31">
        <f t="shared" si="2"/>
        <v>9.7899999999999991</v>
      </c>
      <c r="F14" s="35">
        <f t="shared" si="3"/>
        <v>1.0255362614913177</v>
      </c>
      <c r="G14" s="35">
        <f t="shared" si="4"/>
        <v>0.53187250996015945</v>
      </c>
      <c r="H14" s="35">
        <f t="shared" si="5"/>
        <v>0.46812749003984072</v>
      </c>
      <c r="I14" s="5"/>
      <c r="J14" s="7">
        <v>3.06</v>
      </c>
      <c r="K14" s="7">
        <v>1.28</v>
      </c>
      <c r="L14" s="7">
        <v>6.82</v>
      </c>
      <c r="M14" s="32">
        <f t="shared" si="6"/>
        <v>11.16</v>
      </c>
      <c r="N14" s="31">
        <f t="shared" si="7"/>
        <v>9.92</v>
      </c>
      <c r="O14" s="35">
        <f t="shared" si="8"/>
        <v>1.125</v>
      </c>
      <c r="P14" s="35">
        <f t="shared" si="9"/>
        <v>0.27419354838709675</v>
      </c>
      <c r="Q14" s="35">
        <f t="shared" si="10"/>
        <v>0.11469534050179211</v>
      </c>
      <c r="R14" s="35">
        <f t="shared" si="11"/>
        <v>0.61111111111111116</v>
      </c>
      <c r="T14" s="3">
        <v>44004</v>
      </c>
      <c r="U14" s="8">
        <v>97900</v>
      </c>
      <c r="V14" s="8">
        <v>99200</v>
      </c>
      <c r="X14" s="3">
        <v>44004</v>
      </c>
      <c r="Y14" s="5">
        <v>3.9</v>
      </c>
      <c r="AA14" s="10"/>
      <c r="AB14" s="12"/>
      <c r="AC14" s="12"/>
      <c r="AD14" s="12"/>
      <c r="AE14" s="12"/>
      <c r="AF14" s="12"/>
      <c r="AG14" s="12"/>
      <c r="AH14" s="12"/>
      <c r="AI14" s="12"/>
    </row>
    <row r="15" spans="1:41" x14ac:dyDescent="0.2">
      <c r="A15" s="3">
        <v>44081</v>
      </c>
      <c r="B15" s="7">
        <v>3.56</v>
      </c>
      <c r="C15" s="7">
        <v>3.04</v>
      </c>
      <c r="D15" s="32">
        <f t="shared" si="1"/>
        <v>6.6</v>
      </c>
      <c r="E15" s="31">
        <f t="shared" si="2"/>
        <v>6.1</v>
      </c>
      <c r="F15" s="35">
        <f t="shared" si="3"/>
        <v>1.0819672131147542</v>
      </c>
      <c r="G15" s="35">
        <f t="shared" si="4"/>
        <v>0.53939393939393943</v>
      </c>
      <c r="H15" s="35">
        <f t="shared" si="5"/>
        <v>0.46060606060606063</v>
      </c>
      <c r="I15" s="5"/>
      <c r="J15" s="7">
        <v>2.72</v>
      </c>
      <c r="K15" s="7">
        <v>2.2799999999999998</v>
      </c>
      <c r="L15" s="7">
        <v>8.66</v>
      </c>
      <c r="M15" s="32">
        <f t="shared" si="6"/>
        <v>13.66</v>
      </c>
      <c r="N15" s="31">
        <f t="shared" si="7"/>
        <v>12.64</v>
      </c>
      <c r="O15" s="35">
        <f t="shared" si="8"/>
        <v>1.0806962025316456</v>
      </c>
      <c r="P15" s="35">
        <f t="shared" si="9"/>
        <v>0.19912152269399708</v>
      </c>
      <c r="Q15" s="35">
        <f t="shared" si="10"/>
        <v>0.16691068814055635</v>
      </c>
      <c r="R15" s="35">
        <f t="shared" si="11"/>
        <v>0.6339677891654466</v>
      </c>
      <c r="T15" s="3">
        <v>44081</v>
      </c>
      <c r="U15" s="8">
        <v>61000</v>
      </c>
      <c r="V15" s="8">
        <v>126400</v>
      </c>
      <c r="X15" s="3">
        <v>44081</v>
      </c>
      <c r="Y15" s="5">
        <v>3.7</v>
      </c>
      <c r="AA15" s="3">
        <v>44081</v>
      </c>
      <c r="AB15" s="13">
        <v>10.89</v>
      </c>
      <c r="AC15" s="13"/>
      <c r="AD15" s="13">
        <v>8.5</v>
      </c>
      <c r="AE15" s="13"/>
      <c r="AF15" s="13"/>
      <c r="AG15" s="13">
        <v>11.37</v>
      </c>
      <c r="AH15" s="13">
        <v>6.78</v>
      </c>
      <c r="AI15" s="13">
        <v>6.55</v>
      </c>
      <c r="AK15">
        <f>EXP(AB15)</f>
        <v>53637.299970056061</v>
      </c>
      <c r="AL15">
        <f>EXP(AD15)</f>
        <v>4914.7688402991344</v>
      </c>
      <c r="AM15">
        <f t="shared" ref="AM15:AO15" si="12">EXP(AG15)</f>
        <v>86681.867484349132</v>
      </c>
      <c r="AN15">
        <f t="shared" si="12"/>
        <v>880.06872410780306</v>
      </c>
      <c r="AO15">
        <f t="shared" si="12"/>
        <v>699.24417381588523</v>
      </c>
    </row>
    <row r="16" spans="1:41" x14ac:dyDescent="0.2">
      <c r="A16" s="3">
        <v>44088</v>
      </c>
      <c r="B16" s="7">
        <v>3.69</v>
      </c>
      <c r="C16" s="7">
        <v>3.1</v>
      </c>
      <c r="D16" s="32">
        <f t="shared" si="1"/>
        <v>6.79</v>
      </c>
      <c r="E16" s="31">
        <f t="shared" si="2"/>
        <v>6.45</v>
      </c>
      <c r="F16" s="35">
        <f t="shared" si="3"/>
        <v>1.0527131782945736</v>
      </c>
      <c r="G16" s="35">
        <f t="shared" si="4"/>
        <v>0.54344624447717227</v>
      </c>
      <c r="H16" s="35">
        <f t="shared" si="5"/>
        <v>0.45655375552282768</v>
      </c>
      <c r="I16" s="5"/>
      <c r="J16" s="7">
        <v>4.24</v>
      </c>
      <c r="K16" s="7">
        <v>2.04</v>
      </c>
      <c r="L16" s="7">
        <v>8.66</v>
      </c>
      <c r="M16" s="32">
        <f t="shared" si="6"/>
        <v>14.940000000000001</v>
      </c>
      <c r="N16" s="31">
        <f t="shared" si="7"/>
        <v>14.19</v>
      </c>
      <c r="O16" s="35">
        <f t="shared" si="8"/>
        <v>1.0528541226215646</v>
      </c>
      <c r="P16" s="35">
        <f t="shared" si="9"/>
        <v>0.28380187416331992</v>
      </c>
      <c r="Q16" s="35">
        <f t="shared" si="10"/>
        <v>0.1365461847389558</v>
      </c>
      <c r="R16" s="35">
        <f t="shared" si="11"/>
        <v>0.57965194109772422</v>
      </c>
      <c r="T16" s="3">
        <v>44088</v>
      </c>
      <c r="U16" s="8">
        <v>64500</v>
      </c>
      <c r="V16" s="8">
        <v>141900</v>
      </c>
      <c r="X16" s="3">
        <v>44088</v>
      </c>
      <c r="Y16" s="5">
        <v>3.8</v>
      </c>
      <c r="AA16" s="3">
        <v>44088</v>
      </c>
      <c r="AB16" s="13">
        <v>9.58</v>
      </c>
      <c r="AC16" s="13"/>
      <c r="AD16" s="13">
        <v>7.6</v>
      </c>
      <c r="AE16" s="13"/>
      <c r="AF16" s="13"/>
      <c r="AG16" s="13">
        <v>8.42</v>
      </c>
      <c r="AH16" s="13">
        <v>8.75</v>
      </c>
      <c r="AI16" s="13">
        <v>7.56</v>
      </c>
      <c r="AK16">
        <f t="shared" ref="AK16:AK22" si="13">EXP(AB16)</f>
        <v>14472.419302242881</v>
      </c>
      <c r="AL16">
        <f t="shared" ref="AL16:AL22" si="14">EXP(AD16)</f>
        <v>1998.1958951041172</v>
      </c>
      <c r="AM16">
        <f t="shared" ref="AM16:AM22" si="15">EXP(AG16)</f>
        <v>4536.9034551918194</v>
      </c>
      <c r="AN16">
        <f t="shared" ref="AN16:AN22" si="16">EXP(AH16)</f>
        <v>6310.6881080890244</v>
      </c>
      <c r="AO16">
        <f t="shared" ref="AO16:AO22" si="17">EXP(AI16)</f>
        <v>1919.8455133735592</v>
      </c>
    </row>
    <row r="17" spans="1:48" x14ac:dyDescent="0.2">
      <c r="A17" s="3">
        <v>44095</v>
      </c>
      <c r="B17" s="7">
        <v>5.72</v>
      </c>
      <c r="C17" s="7">
        <v>5.09</v>
      </c>
      <c r="D17" s="32">
        <f t="shared" si="1"/>
        <v>10.809999999999999</v>
      </c>
      <c r="E17" s="31">
        <f t="shared" si="2"/>
        <v>11.08</v>
      </c>
      <c r="F17" s="35">
        <f t="shared" si="3"/>
        <v>0.97563176895306847</v>
      </c>
      <c r="G17" s="35">
        <f t="shared" si="4"/>
        <v>0.52913968547641077</v>
      </c>
      <c r="H17" s="35">
        <f t="shared" si="5"/>
        <v>0.47086031452358929</v>
      </c>
      <c r="I17" s="5"/>
      <c r="J17" s="7">
        <v>4.5999999999999996</v>
      </c>
      <c r="K17" s="7">
        <v>2.42</v>
      </c>
      <c r="L17" s="7">
        <v>9.99</v>
      </c>
      <c r="M17" s="32">
        <f t="shared" si="6"/>
        <v>17.009999999999998</v>
      </c>
      <c r="N17" s="31">
        <f t="shared" si="7"/>
        <v>19.48</v>
      </c>
      <c r="O17" s="35">
        <f t="shared" si="8"/>
        <v>0.87320328542094439</v>
      </c>
      <c r="P17" s="35">
        <f t="shared" si="9"/>
        <v>0.27042915931804823</v>
      </c>
      <c r="Q17" s="35">
        <f t="shared" si="10"/>
        <v>0.1422692533803645</v>
      </c>
      <c r="R17" s="35">
        <f t="shared" si="11"/>
        <v>0.58730158730158744</v>
      </c>
      <c r="T17" s="3">
        <v>44095</v>
      </c>
      <c r="U17" s="8">
        <v>110800</v>
      </c>
      <c r="V17" s="8">
        <v>194800</v>
      </c>
      <c r="X17" s="3">
        <v>44095</v>
      </c>
      <c r="Y17" s="5">
        <v>4.0999999999999996</v>
      </c>
      <c r="AA17" s="3">
        <v>44095</v>
      </c>
      <c r="AB17" s="13">
        <v>7.83</v>
      </c>
      <c r="AC17" s="13"/>
      <c r="AD17" s="13">
        <v>5.87</v>
      </c>
      <c r="AE17" s="13"/>
      <c r="AF17" s="13"/>
      <c r="AG17" s="13">
        <v>7.8</v>
      </c>
      <c r="AH17" s="13">
        <v>7.41</v>
      </c>
      <c r="AI17" s="13">
        <v>6.59</v>
      </c>
      <c r="AK17">
        <f t="shared" si="13"/>
        <v>2514.9293734190851</v>
      </c>
      <c r="AL17">
        <f t="shared" si="14"/>
        <v>354.24898026776543</v>
      </c>
      <c r="AM17">
        <f t="shared" si="15"/>
        <v>2440.6019776244984</v>
      </c>
      <c r="AN17">
        <f t="shared" si="16"/>
        <v>1652.4263468644833</v>
      </c>
      <c r="AO17">
        <f t="shared" si="17"/>
        <v>727.78086989882843</v>
      </c>
    </row>
    <row r="18" spans="1:48" x14ac:dyDescent="0.2">
      <c r="A18" s="3">
        <v>44102</v>
      </c>
      <c r="B18" s="7">
        <v>3.54</v>
      </c>
      <c r="C18" s="7">
        <v>2.4</v>
      </c>
      <c r="D18" s="32">
        <f t="shared" si="1"/>
        <v>5.9399999999999995</v>
      </c>
      <c r="E18" s="31">
        <f t="shared" si="2"/>
        <v>5.35</v>
      </c>
      <c r="F18" s="35">
        <f t="shared" si="3"/>
        <v>1.1102803738317757</v>
      </c>
      <c r="G18" s="35">
        <f t="shared" si="4"/>
        <v>0.59595959595959602</v>
      </c>
      <c r="H18" s="35">
        <f t="shared" si="5"/>
        <v>0.40404040404040403</v>
      </c>
      <c r="I18" s="5"/>
      <c r="J18" s="7">
        <v>4.5599999999999996</v>
      </c>
      <c r="K18" s="7">
        <v>2.93</v>
      </c>
      <c r="L18" s="7">
        <v>8.49</v>
      </c>
      <c r="M18" s="32">
        <f t="shared" si="6"/>
        <v>15.98</v>
      </c>
      <c r="N18" s="31">
        <f t="shared" si="7"/>
        <v>14.56</v>
      </c>
      <c r="O18" s="35">
        <f t="shared" si="8"/>
        <v>1.0975274725274726</v>
      </c>
      <c r="P18" s="35">
        <f t="shared" si="9"/>
        <v>0.28535669586983725</v>
      </c>
      <c r="Q18" s="35">
        <f t="shared" si="10"/>
        <v>0.18335419274092615</v>
      </c>
      <c r="R18" s="35">
        <f t="shared" si="11"/>
        <v>0.53128911138923651</v>
      </c>
      <c r="T18" s="3">
        <v>44102</v>
      </c>
      <c r="U18" s="8">
        <v>53500</v>
      </c>
      <c r="V18" s="8">
        <v>145600</v>
      </c>
      <c r="X18" s="3">
        <v>44102</v>
      </c>
      <c r="Y18" s="5">
        <v>3.6</v>
      </c>
      <c r="AA18" s="3">
        <v>44102</v>
      </c>
      <c r="AB18" s="13">
        <v>9.9</v>
      </c>
      <c r="AC18" s="13"/>
      <c r="AD18" s="13">
        <v>9.73</v>
      </c>
      <c r="AE18" s="13"/>
      <c r="AF18" s="13"/>
      <c r="AG18" s="13">
        <v>7.61</v>
      </c>
      <c r="AH18" s="13">
        <v>5.92</v>
      </c>
      <c r="AI18" s="13">
        <v>7.49</v>
      </c>
      <c r="AK18">
        <f t="shared" si="13"/>
        <v>19930.370438230297</v>
      </c>
      <c r="AL18">
        <f t="shared" si="14"/>
        <v>16814.552320467552</v>
      </c>
      <c r="AM18">
        <f t="shared" si="15"/>
        <v>2018.2780977168138</v>
      </c>
      <c r="AN18">
        <f t="shared" si="16"/>
        <v>372.4117138761822</v>
      </c>
      <c r="AO18">
        <f t="shared" si="17"/>
        <v>1790.0520918436703</v>
      </c>
    </row>
    <row r="19" spans="1:48" x14ac:dyDescent="0.2">
      <c r="A19" s="3">
        <v>44109</v>
      </c>
      <c r="B19" s="7">
        <v>3.43</v>
      </c>
      <c r="C19" s="7">
        <v>2.93</v>
      </c>
      <c r="D19" s="32">
        <f t="shared" si="1"/>
        <v>6.36</v>
      </c>
      <c r="E19" s="31">
        <f t="shared" si="2"/>
        <v>6.2</v>
      </c>
      <c r="F19" s="35">
        <f t="shared" si="3"/>
        <v>1.0258064516129033</v>
      </c>
      <c r="G19" s="35">
        <f t="shared" si="4"/>
        <v>0.53930817610062898</v>
      </c>
      <c r="H19" s="35">
        <f t="shared" si="5"/>
        <v>0.46069182389937108</v>
      </c>
      <c r="I19" s="5"/>
      <c r="J19" s="7">
        <v>4.75</v>
      </c>
      <c r="K19" s="7">
        <v>2.19</v>
      </c>
      <c r="L19" s="7">
        <v>9.49</v>
      </c>
      <c r="M19" s="32">
        <f t="shared" si="6"/>
        <v>16.43</v>
      </c>
      <c r="N19" s="31">
        <f t="shared" si="7"/>
        <v>16.02</v>
      </c>
      <c r="O19" s="35">
        <f t="shared" si="8"/>
        <v>1.0255930087390761</v>
      </c>
      <c r="P19" s="35">
        <f t="shared" si="9"/>
        <v>0.28910529519172246</v>
      </c>
      <c r="Q19" s="35">
        <f t="shared" si="10"/>
        <v>0.13329275715155203</v>
      </c>
      <c r="R19" s="35">
        <f t="shared" si="11"/>
        <v>0.57760194765672557</v>
      </c>
      <c r="T19" s="3">
        <v>44109</v>
      </c>
      <c r="U19" s="8">
        <v>62000</v>
      </c>
      <c r="V19" s="8">
        <v>160200</v>
      </c>
      <c r="X19" s="3">
        <v>44109</v>
      </c>
      <c r="Y19" s="5">
        <v>3.9</v>
      </c>
      <c r="AA19" s="3">
        <v>44109</v>
      </c>
      <c r="AB19" s="13">
        <v>10.72</v>
      </c>
      <c r="AC19" s="13"/>
      <c r="AD19" s="13">
        <v>8.3699999999999992</v>
      </c>
      <c r="AE19" s="13"/>
      <c r="AF19" s="13"/>
      <c r="AG19" s="13">
        <v>8.16</v>
      </c>
      <c r="AH19" s="13">
        <v>8.84</v>
      </c>
      <c r="AI19" s="13">
        <v>7.48</v>
      </c>
      <c r="AK19">
        <f t="shared" si="13"/>
        <v>45251.902841962561</v>
      </c>
      <c r="AL19">
        <f t="shared" si="14"/>
        <v>4315.6360626974129</v>
      </c>
      <c r="AM19">
        <f t="shared" si="15"/>
        <v>3498.1866037633322</v>
      </c>
      <c r="AN19">
        <f t="shared" si="16"/>
        <v>6904.9926403552963</v>
      </c>
      <c r="AO19">
        <f t="shared" si="17"/>
        <v>1772.2407759321766</v>
      </c>
    </row>
    <row r="20" spans="1:48" x14ac:dyDescent="0.2">
      <c r="A20" s="3">
        <v>44116</v>
      </c>
      <c r="B20" s="7">
        <v>5.47</v>
      </c>
      <c r="C20" s="7">
        <v>4.87</v>
      </c>
      <c r="D20" s="32">
        <f t="shared" si="1"/>
        <v>10.34</v>
      </c>
      <c r="E20" s="31">
        <f t="shared" si="2"/>
        <v>10.34</v>
      </c>
      <c r="F20" s="35">
        <f t="shared" si="3"/>
        <v>1</v>
      </c>
      <c r="G20" s="35">
        <f t="shared" si="4"/>
        <v>0.52901353965183751</v>
      </c>
      <c r="H20" s="35">
        <f t="shared" si="5"/>
        <v>0.47098646034816249</v>
      </c>
      <c r="I20" s="5"/>
      <c r="J20" s="7">
        <v>4.92</v>
      </c>
      <c r="K20" s="7">
        <v>2.34</v>
      </c>
      <c r="L20" s="7">
        <v>9.99</v>
      </c>
      <c r="M20" s="32">
        <f t="shared" si="6"/>
        <v>17.25</v>
      </c>
      <c r="N20" s="31">
        <f t="shared" si="7"/>
        <v>17.25</v>
      </c>
      <c r="O20" s="35">
        <f t="shared" si="8"/>
        <v>1</v>
      </c>
      <c r="P20" s="35">
        <f t="shared" si="9"/>
        <v>0.28521739130434781</v>
      </c>
      <c r="Q20" s="35">
        <f t="shared" si="10"/>
        <v>0.13565217391304346</v>
      </c>
      <c r="R20" s="35">
        <f t="shared" si="11"/>
        <v>0.57913043478260873</v>
      </c>
      <c r="T20" s="3">
        <v>44116</v>
      </c>
      <c r="U20" s="8">
        <v>103400</v>
      </c>
      <c r="V20" s="8">
        <v>172500</v>
      </c>
      <c r="X20" s="3">
        <v>44116</v>
      </c>
      <c r="Y20" s="5">
        <v>4</v>
      </c>
      <c r="AA20" s="3">
        <v>44116</v>
      </c>
      <c r="AB20" s="13">
        <v>7.47</v>
      </c>
      <c r="AC20" s="13"/>
      <c r="AD20" s="13">
        <v>5.59</v>
      </c>
      <c r="AE20" s="13"/>
      <c r="AF20" s="13"/>
      <c r="AG20" s="13">
        <v>6.97</v>
      </c>
      <c r="AH20" s="13">
        <v>7.33</v>
      </c>
      <c r="AI20" s="13">
        <v>6.3</v>
      </c>
      <c r="AK20">
        <f t="shared" si="13"/>
        <v>1754.6066855751467</v>
      </c>
      <c r="AL20">
        <f t="shared" si="14"/>
        <v>267.73561971364717</v>
      </c>
      <c r="AM20">
        <f t="shared" si="15"/>
        <v>1064.2227505380908</v>
      </c>
      <c r="AN20">
        <f t="shared" si="16"/>
        <v>1525.3817719905574</v>
      </c>
      <c r="AO20">
        <f t="shared" si="17"/>
        <v>544.57191012592898</v>
      </c>
    </row>
    <row r="21" spans="1:48" x14ac:dyDescent="0.2">
      <c r="A21" s="3">
        <v>44123</v>
      </c>
      <c r="B21" s="7">
        <v>6.11</v>
      </c>
      <c r="C21" s="7">
        <v>5.2</v>
      </c>
      <c r="D21" s="32">
        <f t="shared" si="1"/>
        <v>11.31</v>
      </c>
      <c r="E21" s="31">
        <f t="shared" si="2"/>
        <v>11.88</v>
      </c>
      <c r="F21" s="35">
        <f t="shared" si="3"/>
        <v>0.95202020202020199</v>
      </c>
      <c r="G21" s="35">
        <f t="shared" si="4"/>
        <v>0.54022988505747127</v>
      </c>
      <c r="H21" s="35">
        <f t="shared" si="5"/>
        <v>0.45977011494252873</v>
      </c>
      <c r="I21" s="5"/>
      <c r="J21" s="7">
        <v>4.92</v>
      </c>
      <c r="K21" s="7">
        <v>2.04</v>
      </c>
      <c r="L21" s="7">
        <v>9.66</v>
      </c>
      <c r="M21" s="32">
        <f t="shared" si="6"/>
        <v>16.62</v>
      </c>
      <c r="N21" s="31">
        <f t="shared" si="7"/>
        <v>17.45</v>
      </c>
      <c r="O21" s="35">
        <f t="shared" si="8"/>
        <v>0.95243553008595994</v>
      </c>
      <c r="P21" s="35">
        <f t="shared" si="9"/>
        <v>0.29602888086642598</v>
      </c>
      <c r="Q21" s="35">
        <f t="shared" si="10"/>
        <v>0.12274368231046931</v>
      </c>
      <c r="R21" s="35">
        <f t="shared" si="11"/>
        <v>0.58122743682310463</v>
      </c>
      <c r="T21" s="3">
        <v>44123</v>
      </c>
      <c r="U21" s="8">
        <v>118800</v>
      </c>
      <c r="V21" s="8">
        <v>174500</v>
      </c>
      <c r="X21" s="3">
        <v>44123</v>
      </c>
      <c r="Y21" s="5">
        <v>4.2</v>
      </c>
      <c r="AA21" s="3">
        <v>44123</v>
      </c>
      <c r="AB21" s="13">
        <v>7.5</v>
      </c>
      <c r="AC21" s="13"/>
      <c r="AD21" s="13">
        <v>5.87</v>
      </c>
      <c r="AE21" s="13"/>
      <c r="AF21" s="13"/>
      <c r="AG21" s="13">
        <v>7.96</v>
      </c>
      <c r="AH21" s="13">
        <v>9.6</v>
      </c>
      <c r="AI21" s="13">
        <v>7.44</v>
      </c>
      <c r="AK21">
        <f t="shared" si="13"/>
        <v>1808.0424144560632</v>
      </c>
      <c r="AL21">
        <f t="shared" si="14"/>
        <v>354.24898026776543</v>
      </c>
      <c r="AM21">
        <f t="shared" si="15"/>
        <v>2864.0729525064603</v>
      </c>
      <c r="AN21">
        <f t="shared" si="16"/>
        <v>14764.781565577267</v>
      </c>
      <c r="AO21">
        <f t="shared" si="17"/>
        <v>1702.750221150754</v>
      </c>
    </row>
    <row r="22" spans="1:48" x14ac:dyDescent="0.2">
      <c r="A22" s="3">
        <v>44130</v>
      </c>
      <c r="B22" s="7">
        <v>4.18</v>
      </c>
      <c r="C22" s="7">
        <v>3.71</v>
      </c>
      <c r="D22" s="32">
        <f t="shared" si="1"/>
        <v>7.89</v>
      </c>
      <c r="E22" s="31">
        <f t="shared" si="2"/>
        <v>7.3</v>
      </c>
      <c r="F22" s="35">
        <f t="shared" si="3"/>
        <v>1.0808219178082192</v>
      </c>
      <c r="G22" s="35">
        <f t="shared" si="4"/>
        <v>0.52978453738910014</v>
      </c>
      <c r="H22" s="35">
        <f t="shared" si="5"/>
        <v>0.47021546261089991</v>
      </c>
      <c r="I22" s="5"/>
      <c r="J22" s="7">
        <v>4.55</v>
      </c>
      <c r="K22" s="7">
        <v>2.13</v>
      </c>
      <c r="L22" s="7">
        <v>8.16</v>
      </c>
      <c r="M22" s="32">
        <f t="shared" si="6"/>
        <v>14.84</v>
      </c>
      <c r="N22" s="31">
        <f>V22/10000</f>
        <v>13.73</v>
      </c>
      <c r="O22" s="35">
        <f t="shared" si="8"/>
        <v>1.0808448652585578</v>
      </c>
      <c r="P22" s="35">
        <f t="shared" si="9"/>
        <v>0.30660377358490565</v>
      </c>
      <c r="Q22" s="35">
        <f t="shared" si="10"/>
        <v>0.14353099730458221</v>
      </c>
      <c r="R22" s="35">
        <f t="shared" si="11"/>
        <v>0.54986522911051217</v>
      </c>
      <c r="T22" s="3">
        <v>44130</v>
      </c>
      <c r="U22" s="8">
        <v>73000</v>
      </c>
      <c r="V22" s="8">
        <v>137300</v>
      </c>
      <c r="X22" s="3">
        <v>44130</v>
      </c>
      <c r="Y22" s="5">
        <v>3.7</v>
      </c>
      <c r="AA22" s="3">
        <v>44130</v>
      </c>
      <c r="AB22" s="13">
        <v>8.4600000000000009</v>
      </c>
      <c r="AC22" s="13"/>
      <c r="AD22" s="13">
        <v>6.36</v>
      </c>
      <c r="AE22" s="13"/>
      <c r="AF22" s="13"/>
      <c r="AG22" s="13">
        <v>7.85</v>
      </c>
      <c r="AH22" s="13">
        <v>8.3800000000000008</v>
      </c>
      <c r="AI22" s="13">
        <v>8.02</v>
      </c>
      <c r="AK22">
        <f t="shared" si="13"/>
        <v>4722.0579976343233</v>
      </c>
      <c r="AL22">
        <f t="shared" si="14"/>
        <v>578.24635639372661</v>
      </c>
      <c r="AM22">
        <f t="shared" si="15"/>
        <v>2565.7343168347988</v>
      </c>
      <c r="AN22">
        <f t="shared" si="16"/>
        <v>4359.0089262019892</v>
      </c>
      <c r="AO22">
        <f t="shared" si="17"/>
        <v>3041.1773329434304</v>
      </c>
    </row>
    <row r="23" spans="1:48" ht="15" customHeight="1" x14ac:dyDescent="0.2">
      <c r="A23" s="3"/>
      <c r="E23" s="7"/>
      <c r="F23" s="1">
        <f>CORREL(F7:F22,Y7:Y22)</f>
        <v>-0.99850245379736735</v>
      </c>
      <c r="T23" s="3"/>
      <c r="X23" s="3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</row>
    <row r="24" spans="1:48" x14ac:dyDescent="0.2">
      <c r="A24" s="2" t="s">
        <v>2</v>
      </c>
      <c r="B24" s="7">
        <f>AVERAGE(B7:B23)</f>
        <v>4.5637500000000006</v>
      </c>
      <c r="C24" s="7">
        <f>AVERAGE(C7:C23)</f>
        <v>3.9974999999999996</v>
      </c>
      <c r="F24" s="7">
        <f>AVERAGE(F7:F22)</f>
        <v>1.002965568257929</v>
      </c>
      <c r="G24" s="7"/>
      <c r="H24" s="7"/>
      <c r="I24" s="7"/>
      <c r="J24" s="7">
        <f t="shared" ref="J24:L24" si="18">AVERAGE(J7:J23)</f>
        <v>4.2156250000000002</v>
      </c>
      <c r="K24" s="7">
        <f t="shared" si="18"/>
        <v>2.129375</v>
      </c>
      <c r="L24" s="7">
        <f t="shared" si="18"/>
        <v>9.0212499999999984</v>
      </c>
      <c r="M24" s="7"/>
      <c r="N24" s="7"/>
      <c r="O24" s="37">
        <f>AVERAGE(O7:O22)</f>
        <v>0.98916280611217522</v>
      </c>
      <c r="P24" s="37"/>
      <c r="Q24" s="37"/>
      <c r="R24" s="37"/>
      <c r="T24" s="2" t="s">
        <v>2</v>
      </c>
      <c r="U24" s="8">
        <f>AVERAGE(U7:U23)</f>
        <v>86250</v>
      </c>
      <c r="V24" s="8">
        <f>AVERAGE(V7:V23)</f>
        <v>157562.5</v>
      </c>
      <c r="X24" s="2" t="s">
        <v>2</v>
      </c>
      <c r="Y24" s="7">
        <f>AVERAGE(Y7:Y23)</f>
        <v>4.0062500000000005</v>
      </c>
      <c r="AA24" s="3" t="s">
        <v>2</v>
      </c>
      <c r="AB24" s="13">
        <v>9.0437499999999993</v>
      </c>
      <c r="AC24" s="13"/>
      <c r="AD24" s="13">
        <v>7.2362499999999992</v>
      </c>
      <c r="AE24" s="13"/>
      <c r="AF24" s="13"/>
      <c r="AG24" s="13">
        <v>8.2675000000000001</v>
      </c>
      <c r="AH24" s="13">
        <v>7.8762500000000006</v>
      </c>
      <c r="AI24" s="13">
        <v>7.1787499999999991</v>
      </c>
    </row>
    <row r="25" spans="1:48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4"/>
      <c r="M25" s="4"/>
      <c r="N25" s="4"/>
      <c r="O25" s="4"/>
      <c r="P25" s="4"/>
      <c r="Q25" s="4"/>
      <c r="R25" s="4"/>
      <c r="V25" s="8">
        <f>SUM(U24:V24)</f>
        <v>243812.5</v>
      </c>
      <c r="AA25" s="3"/>
      <c r="AS25" t="s">
        <v>15</v>
      </c>
      <c r="AT25" t="s">
        <v>17</v>
      </c>
      <c r="AV25" t="s">
        <v>18</v>
      </c>
    </row>
    <row r="26" spans="1:48" x14ac:dyDescent="0.2">
      <c r="J26" s="9"/>
      <c r="U26" s="8">
        <f>SUM(U7:U22)</f>
        <v>1380000</v>
      </c>
      <c r="V26" s="8">
        <f>SUM(V7:V22)</f>
        <v>2521000</v>
      </c>
      <c r="AA26" s="3"/>
      <c r="AP26">
        <f>AT26*Y15</f>
        <v>166411.20000000001</v>
      </c>
      <c r="AR26" s="3">
        <v>44081</v>
      </c>
      <c r="AS26">
        <v>167716.20000000001</v>
      </c>
      <c r="AT26">
        <v>44976</v>
      </c>
      <c r="AU26">
        <f>AS26-AT26</f>
        <v>122740.20000000001</v>
      </c>
      <c r="AV26" s="25">
        <f>1-AT26/AS26</f>
        <v>0.73183270310202597</v>
      </c>
    </row>
    <row r="27" spans="1:48" x14ac:dyDescent="0.2">
      <c r="J27" s="8"/>
      <c r="AA27" s="3"/>
      <c r="AP27">
        <f t="shared" ref="AP27:AP32" si="19">AT27*Y16</f>
        <v>188236.79999999999</v>
      </c>
      <c r="AR27" s="3">
        <v>44088</v>
      </c>
      <c r="AS27">
        <v>177930.60000000003</v>
      </c>
      <c r="AT27">
        <v>49536</v>
      </c>
      <c r="AU27">
        <f t="shared" ref="AU27:AU33" si="20">AS27-AT27</f>
        <v>128394.60000000003</v>
      </c>
      <c r="AV27" s="25">
        <f t="shared" ref="AV27:AV33" si="21">1-AT27/AS27</f>
        <v>0.72159932018438655</v>
      </c>
    </row>
    <row r="28" spans="1:48" x14ac:dyDescent="0.2">
      <c r="J28" s="8"/>
      <c r="U28" s="8">
        <f>SUM(U26:V26)</f>
        <v>3901000</v>
      </c>
      <c r="AA28" s="3"/>
      <c r="AP28">
        <f t="shared" si="19"/>
        <v>300710.39999999997</v>
      </c>
      <c r="AR28" s="3">
        <v>44095</v>
      </c>
      <c r="AS28">
        <v>194312.19999999998</v>
      </c>
      <c r="AT28">
        <v>73344</v>
      </c>
      <c r="AU28">
        <f t="shared" si="20"/>
        <v>120968.19999999998</v>
      </c>
      <c r="AV28" s="25">
        <f t="shared" si="21"/>
        <v>0.62254557356666229</v>
      </c>
    </row>
    <row r="29" spans="1:48" ht="13.5" thickBot="1" x14ac:dyDescent="0.25">
      <c r="J29" s="8"/>
      <c r="U29" s="17">
        <f>U28*24</f>
        <v>93624000</v>
      </c>
      <c r="AA29" s="3"/>
      <c r="AP29">
        <f t="shared" si="19"/>
        <v>172022.39999999999</v>
      </c>
      <c r="AR29" s="3">
        <v>44102</v>
      </c>
      <c r="AS29">
        <v>174035.30000000002</v>
      </c>
      <c r="AT29">
        <v>47784</v>
      </c>
      <c r="AU29">
        <f t="shared" si="20"/>
        <v>126251.30000000002</v>
      </c>
      <c r="AV29" s="25">
        <f t="shared" si="21"/>
        <v>0.72543501232221286</v>
      </c>
    </row>
    <row r="30" spans="1:48" ht="15.75" thickBot="1" x14ac:dyDescent="0.25">
      <c r="J30" s="8"/>
      <c r="U30" t="s">
        <v>13</v>
      </c>
      <c r="X30" s="18"/>
      <c r="Y30" s="19" t="s">
        <v>5</v>
      </c>
      <c r="Z30" s="19" t="s">
        <v>6</v>
      </c>
      <c r="AA30" s="19" t="s">
        <v>7</v>
      </c>
      <c r="AG30" s="1" t="s">
        <v>4</v>
      </c>
      <c r="AH30" s="1"/>
      <c r="AI30" s="1" t="s">
        <v>8</v>
      </c>
      <c r="AJ30" s="1"/>
      <c r="AK30" s="1"/>
      <c r="AP30">
        <f t="shared" si="19"/>
        <v>207979.19999999998</v>
      </c>
      <c r="AR30" s="3">
        <v>44109</v>
      </c>
      <c r="AS30">
        <v>190398.5</v>
      </c>
      <c r="AT30">
        <v>53328</v>
      </c>
      <c r="AU30">
        <f t="shared" si="20"/>
        <v>137070.5</v>
      </c>
      <c r="AV30" s="25">
        <f t="shared" si="21"/>
        <v>0.71991375982478856</v>
      </c>
    </row>
    <row r="31" spans="1:48" ht="15.75" thickBot="1" x14ac:dyDescent="0.25">
      <c r="J31" s="8"/>
      <c r="X31" s="20" t="s">
        <v>4</v>
      </c>
      <c r="Y31" s="21">
        <v>0.6</v>
      </c>
      <c r="Z31" s="21">
        <v>0.4</v>
      </c>
      <c r="AA31" s="22" t="s">
        <v>14</v>
      </c>
      <c r="AG31" s="12" t="s">
        <v>5</v>
      </c>
      <c r="AH31" s="12" t="s">
        <v>6</v>
      </c>
      <c r="AI31" s="12" t="s">
        <v>5</v>
      </c>
      <c r="AJ31" s="12" t="s">
        <v>6</v>
      </c>
      <c r="AK31" s="12" t="s">
        <v>7</v>
      </c>
      <c r="AL31" t="s">
        <v>15</v>
      </c>
      <c r="AN31" t="s">
        <v>16</v>
      </c>
      <c r="AP31">
        <f t="shared" si="19"/>
        <v>264864</v>
      </c>
      <c r="AR31" s="3">
        <v>44116</v>
      </c>
      <c r="AS31">
        <v>182465.8</v>
      </c>
      <c r="AT31">
        <v>66216</v>
      </c>
      <c r="AU31">
        <f t="shared" si="20"/>
        <v>116249.79999999999</v>
      </c>
      <c r="AV31" s="25">
        <f t="shared" si="21"/>
        <v>0.63710459713546319</v>
      </c>
    </row>
    <row r="32" spans="1:48" ht="15.75" thickBot="1" x14ac:dyDescent="0.25">
      <c r="J32" s="8"/>
      <c r="X32" s="20" t="s">
        <v>8</v>
      </c>
      <c r="Y32" s="21">
        <v>0.3</v>
      </c>
      <c r="Z32" s="21">
        <v>0.25</v>
      </c>
      <c r="AA32" s="21">
        <v>0.45</v>
      </c>
      <c r="AG32">
        <f>AB15*B15</f>
        <v>38.7684</v>
      </c>
      <c r="AH32">
        <f>AD15*C15</f>
        <v>25.84</v>
      </c>
      <c r="AI32">
        <f>AG15*J15</f>
        <v>30.926400000000001</v>
      </c>
      <c r="AJ32">
        <f>AH15*K15</f>
        <v>15.458399999999999</v>
      </c>
      <c r="AK32">
        <f>AI15*L15</f>
        <v>56.722999999999999</v>
      </c>
      <c r="AL32">
        <f>SUM(AG32:AK32)*1000</f>
        <v>167716.20000000001</v>
      </c>
      <c r="AN32" s="24">
        <f>AL32-AL42</f>
        <v>122740.20000000001</v>
      </c>
      <c r="AP32">
        <f t="shared" si="19"/>
        <v>295646.40000000002</v>
      </c>
      <c r="AR32" s="3">
        <v>44123</v>
      </c>
      <c r="AS32">
        <v>206966.60000000003</v>
      </c>
      <c r="AT32">
        <v>70392</v>
      </c>
      <c r="AU32">
        <f t="shared" si="20"/>
        <v>136574.60000000003</v>
      </c>
      <c r="AV32" s="25">
        <f t="shared" si="21"/>
        <v>0.65988715087361927</v>
      </c>
    </row>
    <row r="33" spans="1:48" x14ac:dyDescent="0.2">
      <c r="J33" s="8"/>
      <c r="AA33" s="2"/>
      <c r="AG33">
        <f>AB16*B16</f>
        <v>35.350200000000001</v>
      </c>
      <c r="AH33">
        <f>AD16*C16</f>
        <v>23.56</v>
      </c>
      <c r="AI33">
        <f>AG16*J16</f>
        <v>35.700800000000001</v>
      </c>
      <c r="AJ33">
        <f>AH16*K16</f>
        <v>17.850000000000001</v>
      </c>
      <c r="AK33">
        <f>AI16*L16</f>
        <v>65.4696</v>
      </c>
      <c r="AL33">
        <f t="shared" ref="AL33:AL39" si="22">SUM(AG33:AK33)*1000</f>
        <v>177930.60000000003</v>
      </c>
      <c r="AN33" s="24">
        <f t="shared" ref="AN33:AN39" si="23">AL33-AL43</f>
        <v>128394.60000000003</v>
      </c>
      <c r="AP33">
        <f>AT33*Y22</f>
        <v>186746.40000000002</v>
      </c>
      <c r="AR33" s="3">
        <v>44130</v>
      </c>
      <c r="AS33">
        <v>177968.5</v>
      </c>
      <c r="AT33">
        <v>50472</v>
      </c>
      <c r="AU33">
        <f t="shared" si="20"/>
        <v>127496.5</v>
      </c>
      <c r="AV33" s="25">
        <f t="shared" si="21"/>
        <v>0.71639925042914898</v>
      </c>
    </row>
    <row r="34" spans="1:48" x14ac:dyDescent="0.2">
      <c r="J34" s="8"/>
      <c r="AG34">
        <f>AB17*B17</f>
        <v>44.787599999999998</v>
      </c>
      <c r="AH34">
        <f>AD17*C17</f>
        <v>29.878299999999999</v>
      </c>
      <c r="AI34">
        <f>AG17*J17</f>
        <v>35.879999999999995</v>
      </c>
      <c r="AJ34">
        <f>AH17*K17</f>
        <v>17.932199999999998</v>
      </c>
      <c r="AK34">
        <f>AI17*L17</f>
        <v>65.834100000000007</v>
      </c>
      <c r="AL34">
        <f t="shared" si="22"/>
        <v>194312.19999999998</v>
      </c>
      <c r="AN34" s="24">
        <f t="shared" si="23"/>
        <v>120968.19999999998</v>
      </c>
    </row>
    <row r="35" spans="1:48" x14ac:dyDescent="0.2">
      <c r="J35" s="8"/>
      <c r="AG35">
        <f>AB18*B18</f>
        <v>35.045999999999999</v>
      </c>
      <c r="AH35">
        <f>AD18*C18</f>
        <v>23.352</v>
      </c>
      <c r="AI35">
        <f>AG18*J18</f>
        <v>34.701599999999999</v>
      </c>
      <c r="AJ35">
        <f>AH18*K18</f>
        <v>17.345600000000001</v>
      </c>
      <c r="AK35">
        <f>AI18*L18</f>
        <v>63.590100000000007</v>
      </c>
      <c r="AL35">
        <f t="shared" si="22"/>
        <v>174035.30000000002</v>
      </c>
      <c r="AN35" s="24">
        <f t="shared" si="23"/>
        <v>126251.30000000002</v>
      </c>
      <c r="AV35">
        <f>CORREL(AV26:AV33,Y15:Y22)</f>
        <v>-0.83171220969704462</v>
      </c>
    </row>
    <row r="36" spans="1:48" x14ac:dyDescent="0.2">
      <c r="J36" s="8"/>
      <c r="AG36">
        <f>AB19*B19</f>
        <v>36.769600000000004</v>
      </c>
      <c r="AH36">
        <f>AD19*C19</f>
        <v>24.524100000000001</v>
      </c>
      <c r="AI36">
        <f>AG19*J19</f>
        <v>38.76</v>
      </c>
      <c r="AJ36">
        <f>AH19*K19</f>
        <v>19.3596</v>
      </c>
      <c r="AK36">
        <f>AI19*L19</f>
        <v>70.985200000000006</v>
      </c>
      <c r="AL36">
        <f t="shared" si="22"/>
        <v>190398.5</v>
      </c>
      <c r="AN36" s="24">
        <f t="shared" si="23"/>
        <v>137070.5</v>
      </c>
    </row>
    <row r="37" spans="1:48" x14ac:dyDescent="0.2">
      <c r="J37" s="8"/>
      <c r="AG37">
        <f>AB20*B20</f>
        <v>40.860899999999994</v>
      </c>
      <c r="AH37">
        <f>AD20*C20</f>
        <v>27.223299999999998</v>
      </c>
      <c r="AI37">
        <f>AG20*J20</f>
        <v>34.292400000000001</v>
      </c>
      <c r="AJ37">
        <f>AH20*K20</f>
        <v>17.152200000000001</v>
      </c>
      <c r="AK37">
        <f>AI20*L20</f>
        <v>62.936999999999998</v>
      </c>
      <c r="AL37">
        <f t="shared" si="22"/>
        <v>182465.8</v>
      </c>
      <c r="AN37" s="24">
        <f t="shared" si="23"/>
        <v>116249.79999999999</v>
      </c>
    </row>
    <row r="38" spans="1:48" x14ac:dyDescent="0.2">
      <c r="J38" s="8"/>
      <c r="AG38">
        <f>AB21*B21</f>
        <v>45.825000000000003</v>
      </c>
      <c r="AH38">
        <f>AD21*C21</f>
        <v>30.524000000000001</v>
      </c>
      <c r="AI38">
        <f>AG21*J21</f>
        <v>39.163199999999996</v>
      </c>
      <c r="AJ38">
        <f>AH21*K21</f>
        <v>19.584</v>
      </c>
      <c r="AK38">
        <f>AI21*L21</f>
        <v>71.870400000000004</v>
      </c>
      <c r="AL38">
        <f t="shared" si="22"/>
        <v>206966.60000000003</v>
      </c>
      <c r="AN38" s="24">
        <f t="shared" si="23"/>
        <v>136574.60000000003</v>
      </c>
    </row>
    <row r="39" spans="1:48" x14ac:dyDescent="0.2">
      <c r="J39" s="8"/>
      <c r="AG39">
        <f>AB22*B22</f>
        <v>35.3628</v>
      </c>
      <c r="AH39">
        <f>AD22*C22</f>
        <v>23.595600000000001</v>
      </c>
      <c r="AI39">
        <f>AG22*J22</f>
        <v>35.717499999999994</v>
      </c>
      <c r="AJ39">
        <f>AH22*K22</f>
        <v>17.849399999999999</v>
      </c>
      <c r="AK39">
        <f>AI22*L22</f>
        <v>65.443200000000004</v>
      </c>
      <c r="AL39">
        <f t="shared" si="22"/>
        <v>177968.5</v>
      </c>
      <c r="AN39" s="24">
        <f t="shared" si="23"/>
        <v>127496.5</v>
      </c>
    </row>
    <row r="40" spans="1:48" x14ac:dyDescent="0.2">
      <c r="J40" s="8"/>
    </row>
    <row r="41" spans="1:48" x14ac:dyDescent="0.2">
      <c r="J41" s="8"/>
      <c r="AG41" s="1" t="s">
        <v>4</v>
      </c>
      <c r="AH41" s="1" t="s">
        <v>8</v>
      </c>
      <c r="AK41" s="1"/>
      <c r="AL41" t="s">
        <v>15</v>
      </c>
    </row>
    <row r="42" spans="1:48" x14ac:dyDescent="0.2">
      <c r="J42" s="8"/>
      <c r="AG42" s="12">
        <f>U15*0.24</f>
        <v>14640</v>
      </c>
      <c r="AH42" s="12">
        <f>V15*0.24</f>
        <v>30336</v>
      </c>
      <c r="AK42" s="12"/>
      <c r="AL42" s="23">
        <f t="shared" ref="AL42:AL49" si="24">SUM(AG42:AH42)</f>
        <v>44976</v>
      </c>
    </row>
    <row r="43" spans="1:48" x14ac:dyDescent="0.2">
      <c r="J43" s="8"/>
      <c r="AG43" s="12">
        <f>U16*0.24</f>
        <v>15480</v>
      </c>
      <c r="AH43" s="12">
        <f>V16*0.24</f>
        <v>34056</v>
      </c>
      <c r="AL43" s="23">
        <f t="shared" si="24"/>
        <v>49536</v>
      </c>
    </row>
    <row r="44" spans="1:48" x14ac:dyDescent="0.2">
      <c r="J44" s="8"/>
      <c r="AG44" s="12">
        <f>U17*0.24</f>
        <v>26592</v>
      </c>
      <c r="AH44" s="12">
        <f>V17*0.24</f>
        <v>46752</v>
      </c>
      <c r="AL44" s="23">
        <f t="shared" si="24"/>
        <v>73344</v>
      </c>
    </row>
    <row r="45" spans="1:48" x14ac:dyDescent="0.2">
      <c r="C45" s="28" t="s">
        <v>20</v>
      </c>
      <c r="D45" s="28" t="s">
        <v>21</v>
      </c>
      <c r="J45" s="8"/>
      <c r="AG45" s="12">
        <f>U18*0.24</f>
        <v>12840</v>
      </c>
      <c r="AH45" s="12">
        <f>V18*0.24</f>
        <v>34944</v>
      </c>
      <c r="AL45" s="23">
        <f t="shared" si="24"/>
        <v>47784</v>
      </c>
    </row>
    <row r="46" spans="1:48" x14ac:dyDescent="0.2">
      <c r="A46" s="3"/>
      <c r="B46" s="8"/>
      <c r="C46" s="29">
        <v>4</v>
      </c>
      <c r="D46" s="30">
        <f>-0.2476*C46+1.995</f>
        <v>1.0046000000000002</v>
      </c>
      <c r="E46" s="8"/>
      <c r="F46" s="8"/>
      <c r="G46" s="8"/>
      <c r="H46" s="8"/>
      <c r="I46" s="8"/>
      <c r="J46" s="8"/>
      <c r="X46" s="3"/>
      <c r="AG46" s="12">
        <f>U19*0.24</f>
        <v>14880</v>
      </c>
      <c r="AH46" s="12">
        <f>V19*0.24</f>
        <v>38448</v>
      </c>
      <c r="AL46" s="23">
        <f t="shared" si="24"/>
        <v>53328</v>
      </c>
    </row>
    <row r="47" spans="1:48" x14ac:dyDescent="0.2">
      <c r="B47" s="7"/>
      <c r="C47" s="7"/>
      <c r="D47" s="7"/>
      <c r="E47" s="7"/>
      <c r="F47" s="7"/>
      <c r="G47" s="7"/>
      <c r="H47" s="7"/>
      <c r="I47" s="7"/>
      <c r="J47" s="8"/>
      <c r="K47"/>
      <c r="AG47" s="12">
        <f>U20*0.24</f>
        <v>24816</v>
      </c>
      <c r="AH47" s="12">
        <f>V20*0.24</f>
        <v>41400</v>
      </c>
      <c r="AL47" s="23">
        <f t="shared" si="24"/>
        <v>66216</v>
      </c>
    </row>
    <row r="48" spans="1:48" ht="12.75" customHeight="1" x14ac:dyDescent="0.2">
      <c r="S48" s="1">
        <v>4.5</v>
      </c>
      <c r="T48" s="26">
        <v>0.8887362637362638</v>
      </c>
      <c r="AG48" s="12">
        <f>U21*0.24</f>
        <v>28512</v>
      </c>
      <c r="AH48" s="12">
        <f>V21*0.24</f>
        <v>41880</v>
      </c>
      <c r="AL48" s="23">
        <f t="shared" si="24"/>
        <v>70392</v>
      </c>
    </row>
    <row r="49" spans="10:39" x14ac:dyDescent="0.2">
      <c r="S49" s="1">
        <v>4.3</v>
      </c>
      <c r="T49" s="26">
        <v>0.93002028397565928</v>
      </c>
      <c r="AG49" s="12">
        <f>U22*0.24</f>
        <v>17520</v>
      </c>
      <c r="AH49" s="12">
        <f>V22*0.24</f>
        <v>32952</v>
      </c>
      <c r="AL49" s="23">
        <f t="shared" si="24"/>
        <v>50472</v>
      </c>
    </row>
    <row r="50" spans="10:39" x14ac:dyDescent="0.2">
      <c r="S50" s="1">
        <v>3.7</v>
      </c>
      <c r="T50" s="26">
        <v>1.0805555555555555</v>
      </c>
      <c r="AG50" s="12"/>
    </row>
    <row r="51" spans="10:39" x14ac:dyDescent="0.2">
      <c r="S51" s="1">
        <v>4.2</v>
      </c>
      <c r="T51" s="26">
        <v>0.95192307692307687</v>
      </c>
      <c r="AG51" s="12"/>
    </row>
    <row r="52" spans="10:39" x14ac:dyDescent="0.2">
      <c r="S52" s="1">
        <v>3.8</v>
      </c>
      <c r="T52" s="26">
        <v>1.0528169014084505</v>
      </c>
      <c r="AG52" s="12"/>
      <c r="AK52" s="4">
        <f>ABS((AN32-AN33)/(AP26-AP27))</f>
        <v>0.25907191554871478</v>
      </c>
      <c r="AL52">
        <f>AK52*AT26</f>
        <v>11652.018473718996</v>
      </c>
      <c r="AM52">
        <f>AU26-AL52</f>
        <v>111088.18152628101</v>
      </c>
    </row>
    <row r="53" spans="10:39" x14ac:dyDescent="0.2">
      <c r="S53" s="1">
        <v>4.4000000000000004</v>
      </c>
      <c r="T53" s="26">
        <v>0.90874159462055726</v>
      </c>
      <c r="AG53" s="12"/>
      <c r="AK53" s="4">
        <f t="shared" ref="AK53:AK57" si="25">ABS((AN33-AN34)/(AP27-AP28))</f>
        <v>6.6027939000797106E-2</v>
      </c>
      <c r="AL53">
        <f t="shared" ref="AL53:AL57" si="26">AK53*AT27</f>
        <v>3270.7599863434853</v>
      </c>
      <c r="AM53">
        <f t="shared" ref="AM53:AM57" si="27">AU27-AL53</f>
        <v>125123.84001365655</v>
      </c>
    </row>
    <row r="54" spans="10:39" x14ac:dyDescent="0.2">
      <c r="S54" s="1">
        <v>4.3</v>
      </c>
      <c r="T54" s="26">
        <v>0.92987804878048785</v>
      </c>
      <c r="AG54" s="12"/>
      <c r="AK54" s="4">
        <f t="shared" si="25"/>
        <v>4.1053555887107081E-2</v>
      </c>
      <c r="AL54">
        <f t="shared" si="26"/>
        <v>3011.0320029839818</v>
      </c>
      <c r="AM54">
        <f t="shared" si="27"/>
        <v>117957.167997016</v>
      </c>
    </row>
    <row r="55" spans="10:39" x14ac:dyDescent="0.2">
      <c r="S55" s="1">
        <v>3.9</v>
      </c>
      <c r="T55" s="26">
        <v>1.0255362614913177</v>
      </c>
      <c r="AA55" s="3"/>
      <c r="AG55" s="12"/>
      <c r="AK55" s="4">
        <f t="shared" si="25"/>
        <v>0.30089440662127848</v>
      </c>
      <c r="AL55">
        <f t="shared" si="26"/>
        <v>14377.93832599117</v>
      </c>
      <c r="AM55">
        <f t="shared" si="27"/>
        <v>111873.36167400885</v>
      </c>
    </row>
    <row r="56" spans="10:39" x14ac:dyDescent="0.2">
      <c r="S56" s="1">
        <v>3.7</v>
      </c>
      <c r="T56" s="26">
        <v>1.0819672131147542</v>
      </c>
      <c r="AG56" s="12"/>
      <c r="AK56" s="4">
        <f t="shared" si="25"/>
        <v>0.36601517452816928</v>
      </c>
      <c r="AL56">
        <f t="shared" si="26"/>
        <v>19518.857227238212</v>
      </c>
      <c r="AM56">
        <f t="shared" si="27"/>
        <v>117551.64277276178</v>
      </c>
    </row>
    <row r="57" spans="10:39" x14ac:dyDescent="0.2">
      <c r="S57" s="1">
        <v>3.8</v>
      </c>
      <c r="T57" s="26">
        <v>1.0527131782945736</v>
      </c>
      <c r="AK57" s="4">
        <f t="shared" si="25"/>
        <v>0.6602734029835241</v>
      </c>
      <c r="AL57">
        <f t="shared" si="26"/>
        <v>43720.663651957031</v>
      </c>
      <c r="AM57">
        <f t="shared" si="27"/>
        <v>72529.136348042957</v>
      </c>
    </row>
    <row r="58" spans="10:39" x14ac:dyDescent="0.2">
      <c r="S58" s="1">
        <v>4.0999999999999996</v>
      </c>
      <c r="T58" s="26">
        <v>0.97563176895306847</v>
      </c>
    </row>
    <row r="59" spans="10:39" x14ac:dyDescent="0.2">
      <c r="S59" s="1">
        <v>3.6</v>
      </c>
      <c r="T59" s="26">
        <v>1.1102803738317757</v>
      </c>
      <c r="AK59">
        <f>AVERAGEA(AK52:AK57)</f>
        <v>0.28222273242826512</v>
      </c>
      <c r="AL59">
        <f t="shared" ref="AL59:AM59" si="28">AVERAGEA(AL52:AL57)</f>
        <v>15925.211611372148</v>
      </c>
      <c r="AM59">
        <f t="shared" si="28"/>
        <v>109353.88838862786</v>
      </c>
    </row>
    <row r="60" spans="10:39" x14ac:dyDescent="0.2">
      <c r="S60" s="1">
        <v>3.9</v>
      </c>
      <c r="T60" s="26">
        <v>1.0258064516129033</v>
      </c>
    </row>
    <row r="61" spans="10:39" x14ac:dyDescent="0.2">
      <c r="S61" s="1">
        <v>4</v>
      </c>
      <c r="T61" s="26">
        <v>1</v>
      </c>
    </row>
    <row r="62" spans="10:39" x14ac:dyDescent="0.2">
      <c r="S62" s="1">
        <v>4.2</v>
      </c>
      <c r="T62" s="26">
        <v>0.95202020202020199</v>
      </c>
    </row>
    <row r="63" spans="10:39" x14ac:dyDescent="0.2">
      <c r="J63" s="14"/>
      <c r="K63" s="14"/>
      <c r="L63" s="14"/>
      <c r="M63" s="14"/>
      <c r="N63" s="14"/>
      <c r="O63" s="14"/>
      <c r="P63" s="14"/>
      <c r="Q63" s="14"/>
      <c r="R63" s="14"/>
      <c r="S63" s="1">
        <v>3.7</v>
      </c>
      <c r="T63" s="26">
        <v>1.0808219178082192</v>
      </c>
    </row>
    <row r="64" spans="10:39" x14ac:dyDescent="0.2">
      <c r="J64" s="14"/>
      <c r="K64" s="14"/>
      <c r="L64" s="14"/>
      <c r="M64" s="14"/>
      <c r="N64" s="14"/>
      <c r="O64" s="14"/>
      <c r="P64" s="14"/>
      <c r="Q64" s="14"/>
      <c r="R64" s="14"/>
    </row>
    <row r="65" spans="1:27" x14ac:dyDescent="0.2">
      <c r="J65" s="14"/>
      <c r="K65" s="14"/>
      <c r="L65" s="14"/>
      <c r="M65" s="14"/>
      <c r="N65" s="14"/>
      <c r="O65" s="14"/>
      <c r="P65" s="14"/>
      <c r="Q65" s="14"/>
      <c r="R65" s="14"/>
    </row>
    <row r="66" spans="1:27" x14ac:dyDescent="0.2">
      <c r="J66" s="14"/>
      <c r="K66" s="14"/>
      <c r="L66" s="14"/>
      <c r="M66" s="14"/>
      <c r="N66" s="14"/>
      <c r="O66" s="14"/>
      <c r="P66" s="14"/>
      <c r="Q66" s="14"/>
      <c r="R66" s="14"/>
    </row>
    <row r="67" spans="1:27" x14ac:dyDescent="0.2">
      <c r="J67" s="14"/>
      <c r="K67" s="14"/>
      <c r="L67" s="14"/>
      <c r="M67" s="14"/>
      <c r="N67" s="14"/>
      <c r="O67" s="14"/>
      <c r="P67" s="14"/>
      <c r="Q67" s="14"/>
      <c r="R67" s="14"/>
    </row>
    <row r="68" spans="1:27" x14ac:dyDescent="0.2">
      <c r="A68" s="3"/>
      <c r="C68"/>
      <c r="D68"/>
      <c r="E68"/>
      <c r="F68"/>
      <c r="G68"/>
      <c r="H68"/>
      <c r="I68"/>
      <c r="J68" s="14"/>
      <c r="K68" s="14"/>
      <c r="L68" s="14"/>
      <c r="M68" s="14"/>
      <c r="N68" s="14"/>
      <c r="O68" s="14"/>
      <c r="P68" s="14"/>
      <c r="Q68" s="14"/>
      <c r="R68" s="14"/>
      <c r="T68" s="3"/>
      <c r="X68" s="3"/>
    </row>
    <row r="70" spans="1:27" x14ac:dyDescent="0.2">
      <c r="T70" s="15"/>
      <c r="X70" s="15"/>
    </row>
    <row r="72" spans="1:27" x14ac:dyDescent="0.2">
      <c r="T72" s="10"/>
      <c r="X72" s="10"/>
    </row>
    <row r="73" spans="1:27" x14ac:dyDescent="0.2">
      <c r="T73" s="3"/>
      <c r="X73" s="3"/>
    </row>
    <row r="74" spans="1:27" x14ac:dyDescent="0.2">
      <c r="T74" s="3"/>
      <c r="X74" s="3"/>
    </row>
    <row r="75" spans="1:27" x14ac:dyDescent="0.2">
      <c r="T75" s="3"/>
      <c r="X75" s="3"/>
    </row>
    <row r="76" spans="1:27" x14ac:dyDescent="0.2">
      <c r="T76" s="3"/>
      <c r="X76" s="3"/>
    </row>
    <row r="77" spans="1:27" x14ac:dyDescent="0.2">
      <c r="T77" s="3"/>
      <c r="X77" s="3"/>
      <c r="AA77" s="3"/>
    </row>
    <row r="78" spans="1:27" x14ac:dyDescent="0.2">
      <c r="T78" s="3"/>
      <c r="X78" s="3"/>
    </row>
    <row r="79" spans="1:27" x14ac:dyDescent="0.2">
      <c r="T79" s="3"/>
      <c r="X79" s="3"/>
      <c r="AA79" s="15"/>
    </row>
    <row r="80" spans="1:27" x14ac:dyDescent="0.2">
      <c r="T80" s="3"/>
      <c r="X80" s="3"/>
    </row>
    <row r="81" spans="1:27" x14ac:dyDescent="0.2">
      <c r="AA81" s="10"/>
    </row>
    <row r="82" spans="1:27" x14ac:dyDescent="0.2">
      <c r="AA82" s="3"/>
    </row>
    <row r="83" spans="1:27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T83" s="14"/>
      <c r="X83" s="14"/>
      <c r="AA83" s="3"/>
    </row>
    <row r="84" spans="1:27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T84" s="14"/>
      <c r="X84" s="14"/>
      <c r="AA84" s="3"/>
    </row>
    <row r="85" spans="1:27" x14ac:dyDescent="0.2">
      <c r="AA85" s="3"/>
    </row>
    <row r="86" spans="1:27" x14ac:dyDescent="0.2">
      <c r="AA86" s="3"/>
    </row>
    <row r="87" spans="1:27" x14ac:dyDescent="0.2">
      <c r="AA87" s="3"/>
    </row>
    <row r="88" spans="1:27" x14ac:dyDescent="0.2">
      <c r="AA88" s="3"/>
    </row>
    <row r="89" spans="1:27" x14ac:dyDescent="0.2">
      <c r="AA89" s="3"/>
    </row>
    <row r="92" spans="1:27" x14ac:dyDescent="0.2">
      <c r="AA92" s="14"/>
    </row>
    <row r="93" spans="1:27" x14ac:dyDescent="0.2">
      <c r="AA93" s="14"/>
    </row>
  </sheetData>
  <pageMargins left="0.75" right="0.75" top="1" bottom="1" header="0.5" footer="0.5"/>
  <pageSetup paperSize="9" orientation="portrait" horizontalDpi="1200" verticalDpi="1200" r:id="rId1"/>
  <ignoredErrors>
    <ignoredError sqref="D7:D8 D9:D2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46AC-0C23-4F5E-984E-9CBB076D6E95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(2)</vt:lpstr>
      <vt:lpstr>Sheet1</vt:lpstr>
      <vt:lpstr>Data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Clive</dc:creator>
  <cp:keywords/>
  <dc:description/>
  <cp:lastModifiedBy>Jimmy Li</cp:lastModifiedBy>
  <dcterms:created xsi:type="dcterms:W3CDTF">2017-03-07T18:54:57Z</dcterms:created>
  <dcterms:modified xsi:type="dcterms:W3CDTF">2022-05-22T15:17:26Z</dcterms:modified>
  <cp:category/>
</cp:coreProperties>
</file>