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4871\Desktop\"/>
    </mc:Choice>
  </mc:AlternateContent>
  <xr:revisionPtr revIDLastSave="0" documentId="13_ncr:1_{95F6ED7F-D1BC-4A99-A222-78B5B7F74D65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heet3" sheetId="7" r:id="rId1"/>
    <sheet name="Data" sheetId="1" r:id="rId2"/>
    <sheet name="Sheet1" sheetId="8" r:id="rId3"/>
    <sheet name="optim" sheetId="9" r:id="rId4"/>
    <sheet name="opti_backup" sheetId="10" r:id="rId5"/>
  </sheets>
  <definedNames>
    <definedName name="solver_adj" localSheetId="1" hidden="1">Data!$X$64:$Y$64</definedName>
    <definedName name="solver_adj" localSheetId="3" hidden="1">optim!$O$31:$P$31,optim!$O$37:$Q$37,optim!$B$44</definedName>
    <definedName name="solver_adj" localSheetId="2" hidden="1">Sheet1!$T$54:$U$54</definedName>
    <definedName name="solver_cvg" localSheetId="1" hidden="1">0.0001</definedName>
    <definedName name="solver_cvg" localSheetId="3" hidden="1">0.00001</definedName>
    <definedName name="solver_cvg" localSheetId="2" hidden="1">0.0001</definedName>
    <definedName name="solver_drv" localSheetId="1" hidden="1">1</definedName>
    <definedName name="solver_drv" localSheetId="3" hidden="1">2</definedName>
    <definedName name="solver_drv" localSheetId="2" hidden="1">2</definedName>
    <definedName name="solver_eng" localSheetId="1" hidden="1">1</definedName>
    <definedName name="solver_eng" localSheetId="4" hidden="1">1</definedName>
    <definedName name="solver_eng" localSheetId="3" hidden="1">3</definedName>
    <definedName name="solver_eng" localSheetId="2" hidden="1">1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lhs1" localSheetId="1" hidden="1">Data!$X$64</definedName>
    <definedName name="solver_lhs1" localSheetId="3" hidden="1">optim!$B$44</definedName>
    <definedName name="solver_lhs1" localSheetId="2" hidden="1">Sheet1!$T$54</definedName>
    <definedName name="solver_lhs10" localSheetId="3" hidden="1">optim!$P$31</definedName>
    <definedName name="solver_lhs11" localSheetId="3" hidden="1">optim!$R$31</definedName>
    <definedName name="solver_lhs12" localSheetId="3" hidden="1">optim!$R$37</definedName>
    <definedName name="solver_lhs2" localSheetId="1" hidden="1">Data!$X$64</definedName>
    <definedName name="solver_lhs2" localSheetId="3" hidden="1">optim!$B$44</definedName>
    <definedName name="solver_lhs2" localSheetId="2" hidden="1">Sheet1!$U$54</definedName>
    <definedName name="solver_lhs3" localSheetId="1" hidden="1">Data!$Y$64</definedName>
    <definedName name="solver_lhs3" localSheetId="3" hidden="1">optim!$O$31</definedName>
    <definedName name="solver_lhs4" localSheetId="1" hidden="1">Data!$Y$64</definedName>
    <definedName name="solver_lhs4" localSheetId="3" hidden="1">optim!$O$31</definedName>
    <definedName name="solver_lhs5" localSheetId="1" hidden="1">Data!$Y$64</definedName>
    <definedName name="solver_lhs5" localSheetId="3" hidden="1">optim!$O$37:$Q$37</definedName>
    <definedName name="solver_lhs6" localSheetId="1" hidden="1">Data!$Y$64</definedName>
    <definedName name="solver_lhs6" localSheetId="3" hidden="1">optim!$O$37:$Q$37</definedName>
    <definedName name="solver_lhs7" localSheetId="1" hidden="1">Data!$Y$64</definedName>
    <definedName name="solver_lhs7" localSheetId="3" hidden="1">optim!$P$31</definedName>
    <definedName name="solver_lhs8" localSheetId="1" hidden="1">Data!$Y$64</definedName>
    <definedName name="solver_lhs8" localSheetId="3" hidden="1">optim!$R$37</definedName>
    <definedName name="solver_lhs9" localSheetId="1" hidden="1">Data!$Y$64</definedName>
    <definedName name="solver_lhs9" localSheetId="3" hidden="1">optim!$R$31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ni" localSheetId="1" hidden="1">30</definedName>
    <definedName name="solver_mni" localSheetId="3" hidden="1">600</definedName>
    <definedName name="solver_mni" localSheetId="2" hidden="1">30</definedName>
    <definedName name="solver_mrt" localSheetId="1" hidden="1">0.075</definedName>
    <definedName name="solver_mrt" localSheetId="3" hidden="1">0.1</definedName>
    <definedName name="solver_mrt" localSheetId="2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um" localSheetId="1" hidden="1">3</definedName>
    <definedName name="solver_num" localSheetId="4" hidden="1">0</definedName>
    <definedName name="solver_num" localSheetId="3" hidden="1">12</definedName>
    <definedName name="solver_num" localSheetId="2" hidden="1">2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opt" localSheetId="1" hidden="1">Data!$V$76</definedName>
    <definedName name="solver_opt" localSheetId="4" hidden="1">opti_backup!$F$23</definedName>
    <definedName name="solver_opt" localSheetId="3" hidden="1">optim!$F$52</definedName>
    <definedName name="solver_opt" localSheetId="2" hidden="1">Sheet1!$V$54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rbv" localSheetId="1" hidden="1">1</definedName>
    <definedName name="solver_rbv" localSheetId="3" hidden="1">1</definedName>
    <definedName name="solver_rbv" localSheetId="2" hidden="1">2</definedName>
    <definedName name="solver_rel1" localSheetId="1" hidden="1">3</definedName>
    <definedName name="solver_rel1" localSheetId="3" hidden="1">3</definedName>
    <definedName name="solver_rel1" localSheetId="2" hidden="1">1</definedName>
    <definedName name="solver_rel10" localSheetId="3" hidden="1">3</definedName>
    <definedName name="solver_rel11" localSheetId="3" hidden="1">3</definedName>
    <definedName name="solver_rel12" localSheetId="3" hidden="1">1</definedName>
    <definedName name="solver_rel2" localSheetId="1" hidden="1">3</definedName>
    <definedName name="solver_rel2" localSheetId="3" hidden="1">1</definedName>
    <definedName name="solver_rel2" localSheetId="2" hidden="1">1</definedName>
    <definedName name="solver_rel3" localSheetId="1" hidden="1">1</definedName>
    <definedName name="solver_rel3" localSheetId="3" hidden="1">1</definedName>
    <definedName name="solver_rel4" localSheetId="1" hidden="1">3</definedName>
    <definedName name="solver_rel4" localSheetId="3" hidden="1">3</definedName>
    <definedName name="solver_rel5" localSheetId="1" hidden="1">3</definedName>
    <definedName name="solver_rel5" localSheetId="3" hidden="1">1</definedName>
    <definedName name="solver_rel6" localSheetId="1" hidden="1">3</definedName>
    <definedName name="solver_rel6" localSheetId="3" hidden="1">3</definedName>
    <definedName name="solver_rel7" localSheetId="1" hidden="1">3</definedName>
    <definedName name="solver_rel7" localSheetId="3" hidden="1">1</definedName>
    <definedName name="solver_rel8" localSheetId="1" hidden="1">3</definedName>
    <definedName name="solver_rel8" localSheetId="3" hidden="1">3</definedName>
    <definedName name="solver_rel9" localSheetId="1" hidden="1">3</definedName>
    <definedName name="solver_rel9" localSheetId="3" hidden="1">1</definedName>
    <definedName name="solver_rhs1" localSheetId="1" hidden="1">Data!$V$64</definedName>
    <definedName name="solver_rhs1" localSheetId="3" hidden="1">7.5</definedName>
    <definedName name="solver_rhs1" localSheetId="2" hidden="1">1</definedName>
    <definedName name="solver_rhs10" localSheetId="3" hidden="1">0</definedName>
    <definedName name="solver_rhs11" localSheetId="3" hidden="1">0</definedName>
    <definedName name="solver_rhs12" localSheetId="3" hidden="1">900</definedName>
    <definedName name="solver_rhs2" localSheetId="1" hidden="1">Data!$W$64</definedName>
    <definedName name="solver_rhs2" localSheetId="3" hidden="1">12</definedName>
    <definedName name="solver_rhs2" localSheetId="2" hidden="1">2</definedName>
    <definedName name="solver_rhs3" localSheetId="1" hidden="1">35000</definedName>
    <definedName name="solver_rhs3" localSheetId="3" hidden="1">600</definedName>
    <definedName name="solver_rhs4" localSheetId="1" hidden="1">10000</definedName>
    <definedName name="solver_rhs4" localSheetId="3" hidden="1">0</definedName>
    <definedName name="solver_rhs5" localSheetId="1" hidden="1">10000</definedName>
    <definedName name="solver_rhs5" localSheetId="3" hidden="1">900</definedName>
    <definedName name="solver_rhs6" localSheetId="1" hidden="1">20000</definedName>
    <definedName name="solver_rhs6" localSheetId="3" hidden="1">0</definedName>
    <definedName name="solver_rhs7" localSheetId="1" hidden="1">20000</definedName>
    <definedName name="solver_rhs7" localSheetId="3" hidden="1">600</definedName>
    <definedName name="solver_rhs8" localSheetId="1" hidden="1">20000</definedName>
    <definedName name="solver_rhs8" localSheetId="3" hidden="1">0</definedName>
    <definedName name="solver_rhs9" localSheetId="1" hidden="1">20000</definedName>
    <definedName name="solver_rhs9" localSheetId="3" hidden="1">600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scl" localSheetId="1" hidden="1">1</definedName>
    <definedName name="solver_scl" localSheetId="3" hidden="1">2</definedName>
    <definedName name="solver_scl" localSheetId="2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sz" localSheetId="1" hidden="1">100</definedName>
    <definedName name="solver_ssz" localSheetId="3" hidden="1">200</definedName>
    <definedName name="solver_ssz" localSheetId="2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yp" localSheetId="1" hidden="1">2</definedName>
    <definedName name="solver_typ" localSheetId="4" hidden="1">1</definedName>
    <definedName name="solver_typ" localSheetId="3" hidden="1">1</definedName>
    <definedName name="solver_typ" localSheetId="2" hidden="1">1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1" hidden="1">3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0" l="1"/>
  <c r="C19" i="10"/>
  <c r="E15" i="10"/>
  <c r="B19" i="10" s="1"/>
  <c r="E19" i="10" s="1"/>
  <c r="P12" i="10"/>
  <c r="O12" i="10"/>
  <c r="N12" i="10"/>
  <c r="Q8" i="10"/>
  <c r="M8" i="10"/>
  <c r="J8" i="10" s="1"/>
  <c r="L8" i="10"/>
  <c r="K8" i="10"/>
  <c r="H8" i="10" s="1"/>
  <c r="I8" i="10"/>
  <c r="Q2" i="10"/>
  <c r="L2" i="10"/>
  <c r="I2" i="10" s="1"/>
  <c r="K2" i="10"/>
  <c r="H2" i="10" s="1"/>
  <c r="J2" i="10"/>
  <c r="R37" i="9"/>
  <c r="R31" i="9"/>
  <c r="P41" i="9"/>
  <c r="Q41" i="9"/>
  <c r="D48" i="9" s="1"/>
  <c r="O41" i="9"/>
  <c r="B48" i="9" s="1"/>
  <c r="M37" i="9"/>
  <c r="N37" i="9"/>
  <c r="L37" i="9"/>
  <c r="M31" i="9"/>
  <c r="L31" i="9"/>
  <c r="R41" i="9" l="1"/>
  <c r="E50" i="9" s="1"/>
  <c r="G9" i="10"/>
  <c r="F9" i="10" s="1"/>
  <c r="G3" i="10"/>
  <c r="F3" i="10" s="1"/>
  <c r="B21" i="10" s="1"/>
  <c r="G4" i="10"/>
  <c r="F4" i="10" s="1"/>
  <c r="G11" i="10"/>
  <c r="F11" i="10" s="1"/>
  <c r="D21" i="10" s="1"/>
  <c r="D23" i="10" s="1"/>
  <c r="G10" i="10"/>
  <c r="F10" i="10" s="1"/>
  <c r="E21" i="10" s="1"/>
  <c r="B23" i="10"/>
  <c r="G44" i="9"/>
  <c r="K37" i="9"/>
  <c r="J37" i="9"/>
  <c r="I37" i="9"/>
  <c r="I31" i="9"/>
  <c r="K31" i="9"/>
  <c r="J31" i="9"/>
  <c r="H33" i="9" l="1"/>
  <c r="G33" i="9" s="1"/>
  <c r="H32" i="9"/>
  <c r="G32" i="9" s="1"/>
  <c r="C48" i="9"/>
  <c r="F48" i="9" s="1"/>
  <c r="C21" i="10"/>
  <c r="C23" i="10" s="1"/>
  <c r="E23" i="10"/>
  <c r="H40" i="9"/>
  <c r="G40" i="9" s="1"/>
  <c r="D50" i="9" s="1"/>
  <c r="D52" i="9" s="1"/>
  <c r="H39" i="9"/>
  <c r="G39" i="9" s="1"/>
  <c r="H38" i="9"/>
  <c r="G38" i="9" s="1"/>
  <c r="C50" i="9" l="1"/>
  <c r="B50" i="9"/>
  <c r="B52" i="9" s="1"/>
  <c r="C52" i="9" l="1"/>
  <c r="F52" i="9" s="1"/>
  <c r="F50" i="9"/>
  <c r="D16" i="9"/>
  <c r="D15" i="9"/>
  <c r="B14" i="9"/>
  <c r="D14" i="9" s="1"/>
  <c r="G8" i="9"/>
  <c r="G9" i="9" s="1"/>
  <c r="F8" i="9"/>
  <c r="F9" i="9" s="1"/>
  <c r="D8" i="9"/>
  <c r="D9" i="9" s="1"/>
  <c r="B8" i="9"/>
  <c r="B9" i="9" s="1"/>
  <c r="A8" i="9"/>
  <c r="A9" i="9" s="1"/>
  <c r="G4" i="9"/>
  <c r="N8" i="9" s="1"/>
  <c r="F4" i="9"/>
  <c r="M8" i="9" s="1"/>
  <c r="D4" i="9"/>
  <c r="L8" i="9" s="1"/>
  <c r="B4" i="9"/>
  <c r="J8" i="9" s="1"/>
  <c r="A4" i="9"/>
  <c r="I8" i="9" s="1"/>
  <c r="D17" i="9" l="1"/>
  <c r="Q8" i="9"/>
  <c r="N49" i="8"/>
  <c r="P49" i="8" s="1"/>
  <c r="N31" i="8"/>
  <c r="P43" i="8"/>
  <c r="M43" i="8"/>
  <c r="N43" i="8"/>
  <c r="F17" i="9" l="1"/>
  <c r="P50" i="8"/>
  <c r="P51" i="8"/>
  <c r="N39" i="8"/>
  <c r="U43" i="8" s="1"/>
  <c r="P39" i="8"/>
  <c r="W43" i="8" s="1"/>
  <c r="Q39" i="8"/>
  <c r="X43" i="8" s="1"/>
  <c r="R39" i="8"/>
  <c r="Y43" i="8" s="1"/>
  <c r="M39" i="8"/>
  <c r="T43" i="8" s="1"/>
  <c r="I26" i="1"/>
  <c r="H26" i="1"/>
  <c r="G26" i="1"/>
  <c r="L26" i="1"/>
  <c r="K26" i="1"/>
  <c r="J26" i="1"/>
  <c r="C26" i="1"/>
  <c r="B26" i="1"/>
  <c r="N44" i="8"/>
  <c r="R43" i="8"/>
  <c r="R44" i="8" s="1"/>
  <c r="Q43" i="8"/>
  <c r="Q44" i="8" s="1"/>
  <c r="P44" i="8"/>
  <c r="M44" i="8"/>
  <c r="P52" i="8" l="1"/>
  <c r="Z43" i="8"/>
  <c r="I3" i="8"/>
  <c r="H3" i="8"/>
  <c r="G3" i="8"/>
  <c r="F3" i="8" s="1"/>
  <c r="H2" i="8"/>
  <c r="G2" i="8"/>
  <c r="F2" i="8" s="1"/>
  <c r="B25" i="1"/>
  <c r="D21" i="8"/>
  <c r="D22" i="8"/>
  <c r="D23" i="8"/>
  <c r="D20" i="8"/>
  <c r="AD66" i="1"/>
  <c r="AG66" i="1" s="1" a="1"/>
  <c r="AG66" i="1" s="1"/>
  <c r="AF67" i="1"/>
  <c r="AA67" i="1" s="1"/>
  <c r="AF68" i="1"/>
  <c r="AA68" i="1" s="1"/>
  <c r="AF69" i="1"/>
  <c r="AA69" i="1" s="1"/>
  <c r="AF70" i="1"/>
  <c r="AA70" i="1" s="1"/>
  <c r="AF71" i="1"/>
  <c r="AA71" i="1" s="1"/>
  <c r="AF72" i="1"/>
  <c r="AA72" i="1" s="1"/>
  <c r="AF73" i="1"/>
  <c r="AA73" i="1" s="1"/>
  <c r="AF66" i="1"/>
  <c r="AA66" i="1" s="1"/>
  <c r="AE67" i="1"/>
  <c r="AE68" i="1"/>
  <c r="AE69" i="1"/>
  <c r="AE70" i="1"/>
  <c r="AE71" i="1"/>
  <c r="AE72" i="1"/>
  <c r="AG72" i="1" s="1" a="1"/>
  <c r="AG72" i="1" s="1"/>
  <c r="AE73" i="1"/>
  <c r="AE66" i="1"/>
  <c r="Y42" i="1"/>
  <c r="W42" i="1"/>
  <c r="AD53" i="1"/>
  <c r="AD54" i="1"/>
  <c r="AD55" i="1"/>
  <c r="AD56" i="1"/>
  <c r="AD57" i="1"/>
  <c r="AD58" i="1"/>
  <c r="AD59" i="1"/>
  <c r="AD52" i="1"/>
  <c r="AB42" i="1" s="1"/>
  <c r="Y50" i="1"/>
  <c r="Z51" i="1" s="1"/>
  <c r="Z42" i="1"/>
  <c r="W50" i="1"/>
  <c r="D25" i="1"/>
  <c r="Z43" i="1"/>
  <c r="Z44" i="1"/>
  <c r="Z45" i="1"/>
  <c r="Z46" i="1"/>
  <c r="Z47" i="1"/>
  <c r="Z48" i="1"/>
  <c r="Z49" i="1"/>
  <c r="Y35" i="1"/>
  <c r="Y38" i="1"/>
  <c r="AB33" i="1"/>
  <c r="Z33" i="1" s="1"/>
  <c r="AB34" i="1"/>
  <c r="Z34" i="1" s="1"/>
  <c r="AB35" i="1"/>
  <c r="Z35" i="1" s="1"/>
  <c r="AB36" i="1"/>
  <c r="Z36" i="1" s="1"/>
  <c r="AB37" i="1"/>
  <c r="Z37" i="1" s="1"/>
  <c r="AB38" i="1"/>
  <c r="Z38" i="1" s="1"/>
  <c r="AB39" i="1"/>
  <c r="Z39" i="1" s="1"/>
  <c r="AB32" i="1"/>
  <c r="Z32" i="1" s="1"/>
  <c r="AD67" i="1"/>
  <c r="Y67" i="1" s="1"/>
  <c r="AD68" i="1"/>
  <c r="Y68" i="1" s="1"/>
  <c r="AD69" i="1"/>
  <c r="Y69" i="1" s="1"/>
  <c r="AD70" i="1"/>
  <c r="Y70" i="1" s="1"/>
  <c r="AD71" i="1"/>
  <c r="AG71" i="1" s="1" a="1"/>
  <c r="AG71" i="1" s="1"/>
  <c r="AD72" i="1"/>
  <c r="Y72" i="1" s="1"/>
  <c r="AD73" i="1"/>
  <c r="Y73" i="1" s="1"/>
  <c r="AD46" i="1"/>
  <c r="AC44" i="1"/>
  <c r="AD44" i="1" s="1"/>
  <c r="AC45" i="1"/>
  <c r="AD45" i="1" s="1"/>
  <c r="AC46" i="1"/>
  <c r="AC47" i="1"/>
  <c r="AD47" i="1" s="1"/>
  <c r="AC48" i="1"/>
  <c r="AD48" i="1" s="1"/>
  <c r="AC49" i="1"/>
  <c r="AD49" i="1" s="1"/>
  <c r="AC50" i="1"/>
  <c r="AD50" i="1" s="1"/>
  <c r="AC43" i="1"/>
  <c r="AD43" i="1" s="1"/>
  <c r="AC33" i="1"/>
  <c r="X43" i="1" s="1"/>
  <c r="AC34" i="1"/>
  <c r="X44" i="1" s="1"/>
  <c r="AC35" i="1"/>
  <c r="X45" i="1" s="1"/>
  <c r="AC36" i="1"/>
  <c r="Y36" i="1" s="1"/>
  <c r="AC37" i="1"/>
  <c r="X47" i="1" s="1"/>
  <c r="AC38" i="1"/>
  <c r="X48" i="1" s="1"/>
  <c r="AC39" i="1"/>
  <c r="Y39" i="1" s="1"/>
  <c r="AC32" i="1"/>
  <c r="Y32" i="1" s="1"/>
  <c r="AF33" i="1"/>
  <c r="AE33" i="1" s="1"/>
  <c r="AF34" i="1"/>
  <c r="AF35" i="1"/>
  <c r="AF36" i="1"/>
  <c r="AF37" i="1"/>
  <c r="AF38" i="1"/>
  <c r="AF39" i="1"/>
  <c r="AF32" i="1"/>
  <c r="T33" i="1"/>
  <c r="P18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Q7" i="1"/>
  <c r="R7" i="1"/>
  <c r="P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AD32" i="1" s="1"/>
  <c r="G16" i="1"/>
  <c r="H16" i="1"/>
  <c r="AD33" i="1" s="1"/>
  <c r="G17" i="1"/>
  <c r="H17" i="1"/>
  <c r="AD34" i="1" s="1"/>
  <c r="G18" i="1"/>
  <c r="H18" i="1"/>
  <c r="AD35" i="1" s="1"/>
  <c r="G19" i="1"/>
  <c r="H19" i="1"/>
  <c r="AD36" i="1" s="1"/>
  <c r="G20" i="1"/>
  <c r="H20" i="1"/>
  <c r="AD37" i="1" s="1"/>
  <c r="G21" i="1"/>
  <c r="H21" i="1"/>
  <c r="AD38" i="1" s="1"/>
  <c r="G22" i="1"/>
  <c r="H22" i="1"/>
  <c r="AD39" i="1" s="1"/>
  <c r="AE39" i="1" s="1"/>
  <c r="H7" i="1"/>
  <c r="G7" i="1"/>
  <c r="N22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7" i="1"/>
  <c r="M8" i="1"/>
  <c r="M9" i="1"/>
  <c r="O9" i="1" s="1"/>
  <c r="M10" i="1"/>
  <c r="M11" i="1"/>
  <c r="M12" i="1"/>
  <c r="M13" i="1"/>
  <c r="M14" i="1"/>
  <c r="M15" i="1"/>
  <c r="M16" i="1"/>
  <c r="M17" i="1"/>
  <c r="O17" i="1" s="1"/>
  <c r="M18" i="1"/>
  <c r="M19" i="1"/>
  <c r="M20" i="1"/>
  <c r="M21" i="1"/>
  <c r="O21" i="1" s="1"/>
  <c r="M22" i="1"/>
  <c r="M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7" i="1"/>
  <c r="D4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7" i="1"/>
  <c r="AN33" i="1"/>
  <c r="AN27" i="1"/>
  <c r="AN28" i="1"/>
  <c r="AN29" i="1"/>
  <c r="AN30" i="1"/>
  <c r="AN31" i="1"/>
  <c r="AN32" i="1"/>
  <c r="AN26" i="1"/>
  <c r="AS27" i="1"/>
  <c r="AS28" i="1"/>
  <c r="AS29" i="1"/>
  <c r="AS30" i="1"/>
  <c r="AS31" i="1"/>
  <c r="AS32" i="1"/>
  <c r="AS33" i="1"/>
  <c r="AS26" i="1"/>
  <c r="AT27" i="1"/>
  <c r="AT28" i="1"/>
  <c r="AT29" i="1"/>
  <c r="AT30" i="1"/>
  <c r="AT31" i="1"/>
  <c r="AT32" i="1"/>
  <c r="AT33" i="1"/>
  <c r="AT26" i="1"/>
  <c r="T34" i="1"/>
  <c r="U34" i="1"/>
  <c r="AG33" i="1"/>
  <c r="AH33" i="1"/>
  <c r="AI33" i="1"/>
  <c r="T35" i="1"/>
  <c r="U35" i="1"/>
  <c r="AG34" i="1"/>
  <c r="AH34" i="1"/>
  <c r="AI34" i="1"/>
  <c r="T36" i="1"/>
  <c r="U36" i="1"/>
  <c r="AG35" i="1"/>
  <c r="AH35" i="1"/>
  <c r="AI35" i="1"/>
  <c r="T37" i="1"/>
  <c r="U37" i="1"/>
  <c r="AG36" i="1"/>
  <c r="AH36" i="1"/>
  <c r="AI36" i="1"/>
  <c r="T38" i="1"/>
  <c r="U38" i="1"/>
  <c r="AG37" i="1"/>
  <c r="AH37" i="1"/>
  <c r="AI37" i="1"/>
  <c r="T39" i="1"/>
  <c r="U39" i="1"/>
  <c r="AG38" i="1"/>
  <c r="AH38" i="1"/>
  <c r="AI38" i="1"/>
  <c r="T40" i="1"/>
  <c r="U40" i="1"/>
  <c r="AG39" i="1"/>
  <c r="AH39" i="1"/>
  <c r="AI39" i="1"/>
  <c r="U33" i="1"/>
  <c r="AG32" i="1"/>
  <c r="AH32" i="1"/>
  <c r="AI32" i="1"/>
  <c r="V26" i="1"/>
  <c r="U26" i="1"/>
  <c r="Y24" i="1"/>
  <c r="V24" i="1"/>
  <c r="U24" i="1"/>
  <c r="Q52" i="8" l="1"/>
  <c r="D24" i="8"/>
  <c r="AE32" i="1"/>
  <c r="X42" i="1"/>
  <c r="X60" i="1"/>
  <c r="AG70" i="1" a="1"/>
  <c r="AG70" i="1" s="1"/>
  <c r="W70" i="1"/>
  <c r="U70" i="1" s="1"/>
  <c r="X49" i="1"/>
  <c r="AG69" i="1" a="1"/>
  <c r="AG69" i="1" s="1"/>
  <c r="W69" i="1"/>
  <c r="U69" i="1" s="1"/>
  <c r="AC69" i="1" s="1"/>
  <c r="X46" i="1"/>
  <c r="AG68" i="1" a="1"/>
  <c r="AG68" i="1" s="1"/>
  <c r="W68" i="1"/>
  <c r="U68" i="1" s="1"/>
  <c r="W60" i="1"/>
  <c r="Y71" i="1"/>
  <c r="AE37" i="1"/>
  <c r="X53" i="1"/>
  <c r="AG67" i="1" a="1"/>
  <c r="AG67" i="1" s="1"/>
  <c r="W67" i="1"/>
  <c r="U67" i="1" s="1"/>
  <c r="W71" i="1"/>
  <c r="O16" i="1"/>
  <c r="AE36" i="1"/>
  <c r="AG73" i="1" a="1"/>
  <c r="AG73" i="1" s="1"/>
  <c r="W66" i="1"/>
  <c r="Y66" i="1"/>
  <c r="W73" i="1"/>
  <c r="U73" i="1" s="1"/>
  <c r="AC73" i="1" s="1"/>
  <c r="AE34" i="1"/>
  <c r="W72" i="1"/>
  <c r="U72" i="1" s="1"/>
  <c r="AC72" i="1" s="1"/>
  <c r="Z58" i="1"/>
  <c r="Z57" i="1"/>
  <c r="Z56" i="1"/>
  <c r="Z55" i="1"/>
  <c r="Z54" i="1"/>
  <c r="X51" i="1"/>
  <c r="AA51" i="1" s="1"/>
  <c r="AC52" i="1" s="1"/>
  <c r="X58" i="1"/>
  <c r="X57" i="1"/>
  <c r="X52" i="1"/>
  <c r="X56" i="1"/>
  <c r="X55" i="1"/>
  <c r="X54" i="1"/>
  <c r="Z53" i="1"/>
  <c r="AA53" i="1" s="1"/>
  <c r="Z52" i="1"/>
  <c r="Y40" i="1"/>
  <c r="AE38" i="1"/>
  <c r="AE35" i="1"/>
  <c r="Y37" i="1"/>
  <c r="Y34" i="1"/>
  <c r="Y33" i="1"/>
  <c r="F7" i="1"/>
  <c r="F11" i="1"/>
  <c r="O12" i="1"/>
  <c r="O20" i="1"/>
  <c r="O8" i="1"/>
  <c r="O19" i="1"/>
  <c r="O18" i="1"/>
  <c r="F12" i="1"/>
  <c r="O15" i="1"/>
  <c r="O7" i="1"/>
  <c r="O11" i="1"/>
  <c r="O14" i="1"/>
  <c r="O22" i="1"/>
  <c r="O10" i="1"/>
  <c r="O13" i="1"/>
  <c r="V25" i="1"/>
  <c r="F10" i="1"/>
  <c r="F20" i="1"/>
  <c r="F8" i="1"/>
  <c r="F22" i="1"/>
  <c r="F21" i="1"/>
  <c r="F9" i="1"/>
  <c r="F19" i="1"/>
  <c r="F13" i="1"/>
  <c r="F18" i="1"/>
  <c r="F17" i="1"/>
  <c r="F16" i="1"/>
  <c r="U28" i="1"/>
  <c r="U29" i="1" s="1"/>
  <c r="F14" i="1"/>
  <c r="F15" i="1"/>
  <c r="AB46" i="1"/>
  <c r="AB44" i="1"/>
  <c r="AB43" i="1"/>
  <c r="AT35" i="1"/>
  <c r="AB49" i="1"/>
  <c r="AB48" i="1"/>
  <c r="AB47" i="1"/>
  <c r="AB45" i="1"/>
  <c r="B24" i="1"/>
  <c r="AC67" i="1" l="1"/>
  <c r="AC68" i="1"/>
  <c r="Y74" i="1"/>
  <c r="W74" i="1"/>
  <c r="U66" i="1"/>
  <c r="AA74" i="1"/>
  <c r="AC70" i="1"/>
  <c r="U71" i="1"/>
  <c r="AC71" i="1" s="1"/>
  <c r="AA57" i="1"/>
  <c r="AC54" i="1"/>
  <c r="AC56" i="1"/>
  <c r="AC58" i="1"/>
  <c r="AA56" i="1"/>
  <c r="AC57" i="1" s="1"/>
  <c r="AA52" i="1"/>
  <c r="AC53" i="1" s="1"/>
  <c r="AA58" i="1"/>
  <c r="AC59" i="1" s="1"/>
  <c r="AA54" i="1"/>
  <c r="AA55" i="1"/>
  <c r="R50" i="1"/>
  <c r="Q50" i="1"/>
  <c r="O24" i="1"/>
  <c r="F23" i="1"/>
  <c r="AL33" i="1"/>
  <c r="AL32" i="1"/>
  <c r="F24" i="1"/>
  <c r="AL39" i="1"/>
  <c r="AL38" i="1"/>
  <c r="AL34" i="1"/>
  <c r="AL36" i="1"/>
  <c r="AL37" i="1"/>
  <c r="AL35" i="1"/>
  <c r="J24" i="1"/>
  <c r="C24" i="1"/>
  <c r="AA75" i="1" l="1"/>
  <c r="Y75" i="1"/>
  <c r="W75" i="1"/>
  <c r="AB51" i="1" a="1"/>
  <c r="AB51" i="1" s="1"/>
  <c r="U54" i="1" s="1"/>
  <c r="AC66" i="1"/>
  <c r="V76" i="1" s="1" a="1"/>
  <c r="V76" i="1" s="1"/>
  <c r="AC55" i="1"/>
  <c r="U60" i="1"/>
  <c r="U58" i="1"/>
  <c r="U51" i="1"/>
  <c r="U52" i="1"/>
  <c r="U53" i="1"/>
  <c r="U55" i="1"/>
  <c r="U56" i="1"/>
  <c r="U57" i="1"/>
  <c r="AI56" i="1"/>
  <c r="AJ56" i="1" s="1"/>
  <c r="AK56" i="1" s="1"/>
  <c r="AI52" i="1"/>
  <c r="AJ52" i="1" s="1"/>
  <c r="AK52" i="1" s="1"/>
  <c r="AI53" i="1"/>
  <c r="AJ53" i="1" s="1"/>
  <c r="AI55" i="1"/>
  <c r="AJ55" i="1" s="1"/>
  <c r="AK55" i="1" s="1"/>
  <c r="AI57" i="1"/>
  <c r="AJ57" i="1" s="1"/>
  <c r="AK57" i="1" s="1"/>
  <c r="AI54" i="1"/>
  <c r="AJ54" i="1" s="1"/>
  <c r="AK54" i="1" s="1"/>
  <c r="L24" i="1"/>
  <c r="K24" i="1"/>
  <c r="AI59" i="1" l="1"/>
  <c r="AK53" i="1"/>
  <c r="AK59" i="1" s="1"/>
  <c r="AJ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<sst xmlns="http://schemas.openxmlformats.org/spreadsheetml/2006/main" count="331" uniqueCount="150">
  <si>
    <t>Week commencing</t>
  </si>
  <si>
    <t>Data</t>
  </si>
  <si>
    <t>Average</t>
  </si>
  <si>
    <t>Table 1:  Weekly outputs (tonnes)</t>
  </si>
  <si>
    <t>Upper</t>
  </si>
  <si>
    <t>Blue</t>
  </si>
  <si>
    <t>White</t>
  </si>
  <si>
    <t>Red</t>
  </si>
  <si>
    <t>Lower</t>
  </si>
  <si>
    <t>Table 2:  Milk Input (litres)</t>
  </si>
  <si>
    <t>Table 3:  Milk Quality</t>
  </si>
  <si>
    <t xml:space="preserve"> (% Butterfat)</t>
  </si>
  <si>
    <t>Table 4:  Allocated Product Costs (£ per kg)</t>
  </si>
  <si>
    <t>牛奶价格</t>
  </si>
  <si>
    <t>-</t>
  </si>
  <si>
    <t>总成本</t>
  </si>
  <si>
    <t>除去牛奶</t>
  </si>
  <si>
    <t>奶牛成本</t>
  </si>
  <si>
    <t>其他成本占比</t>
  </si>
  <si>
    <t>产率</t>
  </si>
  <si>
    <t>牛奶butterfat</t>
  </si>
  <si>
    <t>output</t>
  </si>
  <si>
    <t>理论</t>
  </si>
  <si>
    <t>实际</t>
  </si>
  <si>
    <t>blue占比</t>
  </si>
  <si>
    <t>white占比</t>
  </si>
  <si>
    <t>red占比</t>
  </si>
  <si>
    <t>上厂白色牛奶成本</t>
    <phoneticPr fontId="8" type="noConversion"/>
  </si>
  <si>
    <t>上厂白色其他成本</t>
    <phoneticPr fontId="8" type="noConversion"/>
  </si>
  <si>
    <t>白色总成本</t>
    <phoneticPr fontId="8" type="noConversion"/>
  </si>
  <si>
    <t>上厂白色产量</t>
    <phoneticPr fontId="8" type="noConversion"/>
  </si>
  <si>
    <t>上厂蓝色产量</t>
    <phoneticPr fontId="8" type="noConversion"/>
  </si>
  <si>
    <t>蓝色总成本</t>
    <phoneticPr fontId="8" type="noConversion"/>
  </si>
  <si>
    <t>下场蓝色产量</t>
    <phoneticPr fontId="8" type="noConversion"/>
  </si>
  <si>
    <t>产率</t>
    <phoneticPr fontId="8" type="noConversion"/>
  </si>
  <si>
    <t>牛奶总量</t>
    <phoneticPr fontId="8" type="noConversion"/>
  </si>
  <si>
    <t>白蓝之比</t>
    <phoneticPr fontId="8" type="noConversion"/>
  </si>
  <si>
    <t>相关性一般 可以认为生产比例是固定的</t>
    <phoneticPr fontId="8" type="noConversion"/>
  </si>
  <si>
    <t>Y</t>
    <phoneticPr fontId="8" type="noConversion"/>
  </si>
  <si>
    <t>K_2</t>
    <phoneticPr fontId="8" type="noConversion"/>
  </si>
  <si>
    <t>总产量(a+b)</t>
    <phoneticPr fontId="8" type="noConversion"/>
  </si>
  <si>
    <t>总成本</t>
    <phoneticPr fontId="8" type="noConversion"/>
  </si>
  <si>
    <t>K_1+k_2</t>
    <phoneticPr fontId="8" type="noConversion"/>
  </si>
  <si>
    <t xml:space="preserve"> K_1</t>
    <phoneticPr fontId="8" type="noConversion"/>
  </si>
  <si>
    <t>b bar</t>
    <phoneticPr fontId="8" type="noConversion"/>
  </si>
  <si>
    <t>a bar</t>
    <phoneticPr fontId="8" type="noConversion"/>
  </si>
  <si>
    <t>Y'''</t>
    <phoneticPr fontId="8" type="noConversion"/>
  </si>
  <si>
    <t>拟合函数</t>
    <phoneticPr fontId="8" type="noConversion"/>
  </si>
  <si>
    <t>拟合展示</t>
    <phoneticPr fontId="8" type="noConversion"/>
  </si>
  <si>
    <r>
      <t>y=k1(a+b)+k2b+</t>
    </r>
    <r>
      <rPr>
        <i/>
        <sz val="10"/>
        <rFont val="Arial"/>
        <family val="2"/>
      </rPr>
      <t>Y</t>
    </r>
    <phoneticPr fontId="8" type="noConversion"/>
  </si>
  <si>
    <t>下场白色产量</t>
    <phoneticPr fontId="8" type="noConversion"/>
  </si>
  <si>
    <t>下场红色产量</t>
    <phoneticPr fontId="8" type="noConversion"/>
  </si>
  <si>
    <t xml:space="preserve">差值分析 </t>
    <phoneticPr fontId="8" type="noConversion"/>
  </si>
  <si>
    <t>方差分析：单因素方差分析</t>
  </si>
  <si>
    <t>SUMMARY</t>
  </si>
  <si>
    <t>组</t>
  </si>
  <si>
    <t>观测数</t>
  </si>
  <si>
    <t>求和</t>
  </si>
  <si>
    <t>平均</t>
  </si>
  <si>
    <t>方差</t>
  </si>
  <si>
    <t>行 1</t>
  </si>
  <si>
    <t>行 2</t>
  </si>
  <si>
    <t>行 3</t>
  </si>
  <si>
    <t>行 4</t>
  </si>
  <si>
    <t>行 5</t>
  </si>
  <si>
    <t>行 6</t>
  </si>
  <si>
    <t>行 7</t>
  </si>
  <si>
    <t>行 8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</si>
  <si>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</si>
  <si>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</si>
  <si>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</si>
  <si>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</si>
  <si>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</si>
  <si>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</si>
  <si>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</si>
  <si>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</si>
  <si>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组间</t>
  </si>
  <si>
    <t>组内</t>
  </si>
  <si>
    <t>总计</t>
  </si>
  <si>
    <t>y=2.9224(a+b)+2.8859*b+28155.73</t>
    <phoneticPr fontId="8" type="noConversion"/>
  </si>
  <si>
    <t>K_3</t>
    <phoneticPr fontId="8" type="noConversion"/>
  </si>
  <si>
    <r>
      <rPr>
        <sz val="10"/>
        <rFont val="宋体"/>
        <family val="2"/>
        <charset val="134"/>
      </rPr>
      <t>总产量(</t>
    </r>
    <r>
      <rPr>
        <sz val="10"/>
        <rFont val="Arial"/>
        <family val="2"/>
      </rPr>
      <t>a+b+c</t>
    </r>
    <r>
      <rPr>
        <sz val="10"/>
        <rFont val="宋体"/>
        <family val="2"/>
        <charset val="134"/>
      </rPr>
      <t>)</t>
    </r>
    <phoneticPr fontId="8" type="noConversion"/>
  </si>
  <si>
    <t>蓝色产量(b)</t>
    <phoneticPr fontId="8" type="noConversion"/>
  </si>
  <si>
    <t>红色产量(c)</t>
    <phoneticPr fontId="8" type="noConversion"/>
  </si>
  <si>
    <t>线性相关系数</t>
    <phoneticPr fontId="8" type="noConversion"/>
  </si>
  <si>
    <t>计算成本</t>
    <phoneticPr fontId="8" type="noConversion"/>
  </si>
  <si>
    <t>计算成本偏差</t>
    <phoneticPr fontId="8" type="noConversion"/>
  </si>
  <si>
    <t>K_1</t>
    <phoneticPr fontId="8" type="noConversion"/>
  </si>
  <si>
    <t>MSE</t>
    <phoneticPr fontId="8" type="noConversion"/>
  </si>
  <si>
    <t> a 白色奶酪生产量 b 蓝色 c红色 Y 固定成本</t>
  </si>
  <si>
    <t>LOWER</t>
  </si>
  <si>
    <t>UPPER</t>
  </si>
  <si>
    <t>最大产量</t>
  </si>
  <si>
    <t>Annual sales (tonnes)</t>
  </si>
  <si>
    <t>Average selling price (£ per kg)</t>
  </si>
  <si>
    <t>Selling price (£ per kg)</t>
  </si>
  <si>
    <t>blue售价</t>
  </si>
  <si>
    <t>blue需求</t>
  </si>
  <si>
    <t>y1=(2.9224+28155.73/(a+b))*a</t>
  </si>
  <si>
    <t>blue</t>
  </si>
  <si>
    <t>white</t>
  </si>
  <si>
    <t>y=2.9224(a+b+c)+2.8859*b+2.9924*c+33098.23</t>
  </si>
  <si>
    <t>y1=(2.9224+28155.73/(a+b+c))*a</t>
  </si>
  <si>
    <t>red</t>
  </si>
  <si>
    <t>y=2.9224(a+b)+2.8859*b+28155.73</t>
  </si>
  <si>
    <t>y2=(2.9224+2.8859+28155.73/(a+b))*b</t>
  </si>
  <si>
    <t>y2=(2.9224+2.8859+28155.73/(a+b+c))*b</t>
  </si>
  <si>
    <t>y3=(2*2.9224+28155.73/(a+b+c))*c</t>
  </si>
  <si>
    <t>A</t>
  </si>
  <si>
    <t>B</t>
  </si>
  <si>
    <t>C</t>
  </si>
  <si>
    <t>全年平均成本</t>
  </si>
  <si>
    <t>当前利润</t>
  </si>
  <si>
    <t>blue产出</t>
  </si>
  <si>
    <t>white产出</t>
  </si>
  <si>
    <t>red产出</t>
  </si>
  <si>
    <t>upper output</t>
  </si>
  <si>
    <t>lower output</t>
  </si>
  <si>
    <t>t</t>
  </si>
  <si>
    <t>kg</t>
  </si>
  <si>
    <t>公司成本</t>
  </si>
  <si>
    <t>总</t>
  </si>
  <si>
    <t xml:space="preserve"> </t>
  </si>
  <si>
    <t>收入</t>
  </si>
  <si>
    <t>利润</t>
  </si>
  <si>
    <t>2.4691x3 - 55.556x2 + 244.44x + 1150</t>
  </si>
  <si>
    <t>blue+white&lt;=600</t>
  </si>
  <si>
    <t>blur+white+red&lt;=900</t>
  </si>
  <si>
    <t>A_round</t>
  </si>
  <si>
    <t>B_round</t>
  </si>
  <si>
    <t>C_round</t>
  </si>
  <si>
    <t>售价</t>
  </si>
  <si>
    <t>需求</t>
  </si>
  <si>
    <t xml:space="preserve">white </t>
  </si>
  <si>
    <t>成本</t>
  </si>
  <si>
    <t>A_week</t>
  </si>
  <si>
    <t>B_week</t>
  </si>
  <si>
    <t>C_week</t>
  </si>
  <si>
    <t>A_year</t>
  </si>
  <si>
    <t>B_year</t>
  </si>
  <si>
    <t>C_year</t>
  </si>
  <si>
    <t>week</t>
  </si>
  <si>
    <t>year</t>
  </si>
  <si>
    <t>总和</t>
  </si>
  <si>
    <t>总产量</t>
  </si>
  <si>
    <t>各个总和</t>
  </si>
  <si>
    <t>额外牛奶</t>
  </si>
  <si>
    <t>白</t>
    <phoneticPr fontId="8" type="noConversion"/>
  </si>
  <si>
    <t>蓝</t>
    <phoneticPr fontId="8" type="noConversion"/>
  </si>
  <si>
    <t>blue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</si>
</sst>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000"/>
    <numFmt numFmtId="167" formatCode="#,##0.00_ "/>
    <numFmt numFmtId="168" formatCode="0.0000"/>
    <numFmt numFmtId="169" formatCode="0.00_ "/>
  </numFmts>
  <fonts count="15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9"/>
      <color rgb="FF595959"/>
      <name val="Calibri"/>
      <family val="2"/>
    </font>
    <font>
      <sz val="10"/>
      <name val="Arial"/>
      <family val="2"/>
      <charset val="134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>
      <alignment vertical="top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8"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15" fontId="1" fillId="0" borderId="0" xfId="0" applyNumberFormat="1" applyFont="1" applyFill="1" applyBorder="1" applyAlignment="1" applyProtection="1">
      <alignment horizontal="center" vertical="top"/>
    </xf>
    <xf numFmtId="2" fontId="1" fillId="0" borderId="0" xfId="0" applyNumberFormat="1" applyFont="1" applyFill="1" applyBorder="1" applyAlignment="1" applyProtection="1">
      <alignment vertical="top"/>
    </xf>
    <xf numFmtId="164" fontId="1" fillId="0" borderId="0" xfId="0" applyNumberFormat="1" applyFont="1" applyFill="1" applyBorder="1" applyAlignment="1" applyProtection="1">
      <alignment horizontal="center" vertical="top"/>
    </xf>
    <xf numFmtId="0" fontId="3" fillId="0" borderId="0" xfId="0" applyNumberFormat="1" applyFont="1" applyFill="1" applyBorder="1" applyAlignment="1" applyProtection="1">
      <alignment horizontal="center" vertical="top"/>
    </xf>
    <xf numFmtId="2" fontId="1" fillId="0" borderId="0" xfId="0" applyNumberFormat="1" applyFont="1" applyFill="1" applyBorder="1" applyAlignment="1" applyProtection="1">
      <alignment horizontal="center" vertical="top"/>
    </xf>
    <xf numFmtId="3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164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/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vertical="top"/>
    </xf>
    <xf numFmtId="165" fontId="1" fillId="0" borderId="0" xfId="1" applyNumberFormat="1" applyFont="1" applyFill="1" applyBorder="1" applyAlignment="1" applyProtection="1">
      <alignment vertical="top"/>
    </xf>
    <xf numFmtId="0" fontId="6" fillId="2" borderId="1" xfId="0" applyNumberFormat="1" applyFont="1" applyFill="1" applyBorder="1" applyAlignment="1" applyProtection="1">
      <alignment horizontal="justify" vertical="center" wrapText="1"/>
    </xf>
    <xf numFmtId="0" fontId="7" fillId="2" borderId="2" xfId="0" applyNumberFormat="1" applyFont="1" applyFill="1" applyBorder="1" applyAlignment="1" applyProtection="1">
      <alignment horizontal="justify" vertical="center" wrapText="1"/>
    </xf>
    <xf numFmtId="0" fontId="7" fillId="3" borderId="3" xfId="0" applyNumberFormat="1" applyFont="1" applyFill="1" applyBorder="1" applyAlignment="1" applyProtection="1">
      <alignment horizontal="justify" vertical="center" wrapText="1"/>
    </xf>
    <xf numFmtId="9" fontId="6" fillId="0" borderId="4" xfId="0" applyNumberFormat="1" applyFont="1" applyFill="1" applyBorder="1" applyAlignment="1" applyProtection="1">
      <alignment horizontal="justify" vertical="center" wrapText="1"/>
    </xf>
    <xf numFmtId="0" fontId="6" fillId="0" borderId="4" xfId="0" applyNumberFormat="1" applyFont="1" applyFill="1" applyBorder="1" applyAlignment="1" applyProtection="1">
      <alignment horizontal="justify" vertical="center" wrapText="1"/>
    </xf>
    <xf numFmtId="43" fontId="1" fillId="0" borderId="0" xfId="1" applyFont="1" applyFill="1" applyBorder="1" applyAlignment="1" applyProtection="1">
      <alignment horizontal="center" vertical="center"/>
    </xf>
    <xf numFmtId="43" fontId="1" fillId="0" borderId="0" xfId="0" applyNumberFormat="1" applyFont="1" applyFill="1" applyBorder="1" applyAlignment="1" applyProtection="1">
      <alignment vertical="top"/>
    </xf>
    <xf numFmtId="9" fontId="1" fillId="0" borderId="0" xfId="2" applyFont="1" applyFill="1" applyBorder="1" applyAlignment="1" applyProtection="1">
      <alignment vertical="top"/>
    </xf>
    <xf numFmtId="9" fontId="1" fillId="0" borderId="0" xfId="2" applyFont="1" applyFill="1" applyBorder="1" applyAlignment="1" applyProtection="1">
      <alignment horizontal="center" vertical="top"/>
    </xf>
    <xf numFmtId="0" fontId="1" fillId="4" borderId="0" xfId="0" applyNumberFormat="1" applyFont="1" applyFill="1" applyBorder="1" applyAlignment="1" applyProtection="1">
      <alignment horizontal="center" vertical="top"/>
    </xf>
    <xf numFmtId="164" fontId="1" fillId="4" borderId="0" xfId="0" applyNumberFormat="1" applyFont="1" applyFill="1" applyBorder="1" applyAlignment="1" applyProtection="1">
      <alignment horizontal="center" vertical="top"/>
    </xf>
    <xf numFmtId="166" fontId="1" fillId="4" borderId="0" xfId="0" applyNumberFormat="1" applyFont="1" applyFill="1" applyBorder="1" applyAlignment="1" applyProtection="1">
      <alignment vertical="top"/>
    </xf>
    <xf numFmtId="2" fontId="1" fillId="4" borderId="0" xfId="0" applyNumberFormat="1" applyFont="1" applyFill="1" applyBorder="1" applyAlignment="1" applyProtection="1">
      <alignment horizontal="center" vertical="top"/>
    </xf>
    <xf numFmtId="2" fontId="1" fillId="5" borderId="0" xfId="0" applyNumberFormat="1" applyFont="1" applyFill="1" applyBorder="1" applyAlignment="1" applyProtection="1">
      <alignment horizontal="center" vertical="top"/>
    </xf>
    <xf numFmtId="9" fontId="4" fillId="0" borderId="0" xfId="2" applyFont="1" applyFill="1" applyBorder="1" applyAlignment="1" applyProtection="1">
      <alignment horizontal="center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0" fontId="9" fillId="0" borderId="0" xfId="0" applyNumberFormat="1" applyFont="1" applyFill="1" applyBorder="1" applyAlignment="1" applyProtection="1">
      <alignment vertical="top"/>
    </xf>
    <xf numFmtId="0" fontId="9" fillId="0" borderId="0" xfId="0" applyNumberFormat="1" applyFont="1" applyFill="1" applyBorder="1" applyAlignment="1" applyProtection="1">
      <alignment horizontal="center" vertical="top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9" fillId="0" borderId="0" xfId="0" applyNumberFormat="1" applyFont="1" applyFill="1" applyBorder="1" applyAlignment="1" applyProtection="1">
      <alignment horizontal="center" vertical="center"/>
    </xf>
    <xf numFmtId="43" fontId="10" fillId="0" borderId="0" xfId="0" applyNumberFormat="1" applyFont="1" applyFill="1" applyBorder="1" applyAlignment="1" applyProtection="1">
      <alignment horizontal="center" vertical="center" readingOrder="1"/>
    </xf>
    <xf numFmtId="167" fontId="1" fillId="0" borderId="0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>
      <alignment vertical="top"/>
    </xf>
    <xf numFmtId="167" fontId="9" fillId="0" borderId="0" xfId="0" applyNumberFormat="1" applyFont="1" applyFill="1" applyBorder="1" applyAlignment="1" applyProtection="1">
      <alignment vertical="top"/>
    </xf>
    <xf numFmtId="0" fontId="0" fillId="0" borderId="0" xfId="0" applyNumberFormat="1" applyFill="1" applyBorder="1" applyAlignment="1" applyProtection="1">
      <alignment vertical="top"/>
    </xf>
    <xf numFmtId="0" fontId="1" fillId="0" borderId="5" xfId="0" applyNumberFormat="1" applyFont="1" applyFill="1" applyBorder="1" applyAlignment="1" applyProtection="1">
      <alignment vertical="top"/>
    </xf>
    <xf numFmtId="0" fontId="0" fillId="0" borderId="5" xfId="0" applyNumberFormat="1" applyFill="1" applyBorder="1" applyAlignment="1" applyProtection="1">
      <alignment vertical="top"/>
    </xf>
    <xf numFmtId="0" fontId="1" fillId="0" borderId="6" xfId="0" applyNumberFormat="1" applyFont="1" applyFill="1" applyBorder="1" applyAlignment="1" applyProtection="1">
      <alignment horizontal="center" vertical="top"/>
    </xf>
    <xf numFmtId="0" fontId="7" fillId="2" borderId="1" xfId="0" applyNumberFormat="1" applyFont="1" applyFill="1" applyBorder="1" applyAlignment="1" applyProtection="1">
      <alignment horizontal="justify" vertical="center" wrapText="1"/>
    </xf>
    <xf numFmtId="0" fontId="6" fillId="0" borderId="3" xfId="0" applyNumberFormat="1" applyFont="1" applyFill="1" applyBorder="1" applyAlignment="1" applyProtection="1">
      <alignment horizontal="justify" vertical="center" wrapText="1"/>
    </xf>
    <xf numFmtId="168" fontId="1" fillId="0" borderId="0" xfId="0" applyNumberFormat="1" applyFont="1" applyFill="1" applyBorder="1" applyAlignment="1" applyProtection="1">
      <alignment horizontal="center" vertical="top"/>
    </xf>
    <xf numFmtId="0" fontId="1" fillId="4" borderId="0" xfId="0" applyNumberFormat="1" applyFont="1" applyFill="1" applyBorder="1" applyAlignment="1" applyProtection="1">
      <alignment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>
      <alignment vertical="top"/>
    </xf>
    <xf numFmtId="0" fontId="1" fillId="0" borderId="9" xfId="0" applyNumberFormat="1" applyFont="1" applyFill="1" applyBorder="1" applyAlignment="1" applyProtection="1">
      <alignment vertical="top"/>
    </xf>
    <xf numFmtId="0" fontId="1" fillId="0" borderId="10" xfId="0" applyNumberFormat="1" applyFont="1" applyFill="1" applyBorder="1" applyAlignment="1" applyProtection="1">
      <alignment vertical="top"/>
    </xf>
    <xf numFmtId="0" fontId="1" fillId="0" borderId="4" xfId="0" applyNumberFormat="1" applyFont="1" applyFill="1" applyBorder="1" applyAlignment="1" applyProtection="1">
      <alignment vertical="top"/>
    </xf>
    <xf numFmtId="43" fontId="1" fillId="0" borderId="0" xfId="1" applyFont="1" applyFill="1" applyBorder="1" applyAlignment="1" applyProtection="1">
      <alignment vertical="top"/>
    </xf>
    <xf numFmtId="0" fontId="1" fillId="4" borderId="2" xfId="0" applyNumberFormat="1" applyFont="1" applyFill="1" applyBorder="1" applyAlignment="1" applyProtection="1">
      <alignment vertical="top"/>
    </xf>
    <xf numFmtId="0" fontId="1" fillId="4" borderId="1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justify" vertical="center" wrapText="1"/>
    </xf>
    <xf numFmtId="0" fontId="1" fillId="4" borderId="10" xfId="0" applyNumberFormat="1" applyFont="1" applyFill="1" applyBorder="1" applyAlignment="1" applyProtection="1">
      <alignment vertical="top"/>
    </xf>
    <xf numFmtId="0" fontId="1" fillId="4" borderId="5" xfId="0" applyNumberFormat="1" applyFont="1" applyFill="1" applyBorder="1" applyAlignment="1" applyProtection="1">
      <alignment vertical="top"/>
    </xf>
    <xf numFmtId="0" fontId="1" fillId="4" borderId="4" xfId="0" applyNumberFormat="1" applyFont="1" applyFill="1" applyBorder="1" applyAlignment="1" applyProtection="1">
      <alignment vertical="top"/>
    </xf>
    <xf numFmtId="0" fontId="1" fillId="6" borderId="1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14" fillId="0" borderId="0" xfId="0" applyNumberFormat="1" applyFont="1" applyFill="1" applyBorder="1" applyAlignment="1" applyProtection="1">
      <alignment vertical="top"/>
    </xf>
    <xf numFmtId="169" fontId="1" fillId="0" borderId="0" xfId="1" applyNumberFormat="1" applyFont="1" applyFill="1" applyBorder="1" applyAlignment="1" applyProtection="1">
      <alignment vertical="top"/>
    </xf>
    <xf numFmtId="169" fontId="1" fillId="0" borderId="0" xfId="0" applyNumberFormat="1" applyFont="1" applyFill="1" applyBorder="1" applyAlignment="1" applyProtection="1">
      <alignment vertical="top"/>
    </xf>
    <xf numFmtId="167" fontId="1" fillId="0" borderId="0" xfId="1" applyNumberFormat="1" applyFont="1" applyFill="1" applyBorder="1" applyAlignment="1" applyProtection="1">
      <alignment vertical="top"/>
    </xf>
    <xf numFmtId="167" fontId="4" fillId="6" borderId="0" xfId="1" applyNumberFormat="1" applyFont="1" applyFill="1" applyBorder="1" applyAlignment="1" applyProtection="1">
      <alignment vertical="top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Data!$AQ$25</c:f>
              <c:strCache>
                <c:ptCount val="1"/>
                <c:pt idx="0">
                  <c:v>总成本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Data!$AP$26:$AP$33</c:f>
              <c:numCache>
                <c:formatCode>d\-mmm\-yy</c:formatCode>
                <c:ptCount val="8"/>
                <c:pt idx="0">
                  <c:v>44081</c:v>
                </c:pt>
                <c:pt idx="1">
                  <c:v>44088</c:v>
                </c:pt>
                <c:pt idx="2">
                  <c:v>44095</c:v>
                </c:pt>
                <c:pt idx="3">
                  <c:v>44102</c:v>
                </c:pt>
                <c:pt idx="4">
                  <c:v>44109</c:v>
                </c:pt>
                <c:pt idx="5">
                  <c:v>44116</c:v>
                </c:pt>
                <c:pt idx="6">
                  <c:v>44123</c:v>
                </c:pt>
                <c:pt idx="7">
                  <c:v>44130</c:v>
                </c:pt>
              </c:numCache>
            </c:numRef>
          </c:cat>
          <c:val>
            <c:numRef>
              <c:f>Data!$AQ$26:$AQ$33</c:f>
              <c:numCache>
                <c:formatCode>General</c:formatCode>
                <c:ptCount val="8"/>
                <c:pt idx="0">
                  <c:v>167716.20000000001</c:v>
                </c:pt>
                <c:pt idx="1">
                  <c:v>177930.60000000003</c:v>
                </c:pt>
                <c:pt idx="2">
                  <c:v>194312.19999999998</c:v>
                </c:pt>
                <c:pt idx="3">
                  <c:v>174035.30000000002</c:v>
                </c:pt>
                <c:pt idx="4">
                  <c:v>190398.5</c:v>
                </c:pt>
                <c:pt idx="5">
                  <c:v>182465.8</c:v>
                </c:pt>
                <c:pt idx="6">
                  <c:v>206966.60000000003</c:v>
                </c:pt>
                <c:pt idx="7">
                  <c:v>177968.5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E-496E-9A63-96A7367310A0}"/>
            </c:ext>
          </c:extLst>
        </c:ser>
        <c:ser>
          <c:idx val="1"/>
          <c:order val="1"/>
          <c:tx>
            <c:strRef>
              <c:f>Data!$AR$25</c:f>
              <c:strCache>
                <c:ptCount val="1"/>
                <c:pt idx="0">
                  <c:v>奶牛成本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Data!$AP$26:$AP$33</c:f>
              <c:numCache>
                <c:formatCode>d\-mmm\-yy</c:formatCode>
                <c:ptCount val="8"/>
                <c:pt idx="0">
                  <c:v>44081</c:v>
                </c:pt>
                <c:pt idx="1">
                  <c:v>44088</c:v>
                </c:pt>
                <c:pt idx="2">
                  <c:v>44095</c:v>
                </c:pt>
                <c:pt idx="3">
                  <c:v>44102</c:v>
                </c:pt>
                <c:pt idx="4">
                  <c:v>44109</c:v>
                </c:pt>
                <c:pt idx="5">
                  <c:v>44116</c:v>
                </c:pt>
                <c:pt idx="6">
                  <c:v>44123</c:v>
                </c:pt>
                <c:pt idx="7">
                  <c:v>44130</c:v>
                </c:pt>
              </c:numCache>
            </c:numRef>
          </c:cat>
          <c:val>
            <c:numRef>
              <c:f>Data!$AR$26:$AR$33</c:f>
              <c:numCache>
                <c:formatCode>General</c:formatCode>
                <c:ptCount val="8"/>
                <c:pt idx="0">
                  <c:v>44976</c:v>
                </c:pt>
                <c:pt idx="1">
                  <c:v>49536</c:v>
                </c:pt>
                <c:pt idx="2">
                  <c:v>73344</c:v>
                </c:pt>
                <c:pt idx="3">
                  <c:v>47784</c:v>
                </c:pt>
                <c:pt idx="4">
                  <c:v>53328</c:v>
                </c:pt>
                <c:pt idx="5">
                  <c:v>66216</c:v>
                </c:pt>
                <c:pt idx="6">
                  <c:v>70392</c:v>
                </c:pt>
                <c:pt idx="7">
                  <c:v>50472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E-496E-9A63-96A73673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573311"/>
        <c:axId val="367572479"/>
      </c:lineChart>
      <c:dateAx>
        <c:axId val="367573311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2479"/>
        <c:crosses val="autoZero"/>
        <c:auto val="1"/>
        <c:lblOffset val="100"/>
        <c:baseTimeUnit val="days"/>
      </c:dateAx>
      <c:valAx>
        <c:axId val="3675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487709184983083E-2"/>
          <c:y val="0.18269609319790917"/>
          <c:w val="0.89860038305723899"/>
          <c:h val="0.70085653713460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26224846894139"/>
                  <c:y val="9.08829104695246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Data!$S$48:$S$63</c:f>
              <c:numCache>
                <c:formatCode>General</c:formatCode>
                <c:ptCount val="16"/>
                <c:pt idx="0">
                  <c:v>4.5</c:v>
                </c:pt>
                <c:pt idx="1">
                  <c:v>4.3</c:v>
                </c:pt>
                <c:pt idx="2">
                  <c:v>3.7</c:v>
                </c:pt>
                <c:pt idx="3">
                  <c:v>4.2</c:v>
                </c:pt>
                <c:pt idx="4">
                  <c:v>3.8</c:v>
                </c:pt>
                <c:pt idx="5">
                  <c:v>4.4000000000000004</c:v>
                </c:pt>
                <c:pt idx="6">
                  <c:v>4.3</c:v>
                </c:pt>
                <c:pt idx="7">
                  <c:v>3.9</c:v>
                </c:pt>
                <c:pt idx="8">
                  <c:v>3.7</c:v>
                </c:pt>
                <c:pt idx="9">
                  <c:v>3.8</c:v>
                </c:pt>
                <c:pt idx="10">
                  <c:v>4.0999999999999996</c:v>
                </c:pt>
                <c:pt idx="11">
                  <c:v>3.6</c:v>
                </c:pt>
                <c:pt idx="12">
                  <c:v>3.9</c:v>
                </c:pt>
                <c:pt idx="13">
                  <c:v>4</c:v>
                </c:pt>
                <c:pt idx="14">
                  <c:v>4.2</c:v>
                </c:pt>
                <c:pt idx="15">
                  <c:v>3.7</c:v>
                </c:pt>
              </c:numCache>
            </c:numRef>
          </c:xVal>
          <c:yVal>
            <c:numRef>
              <c:f>Data!$T$48:$T$63</c:f>
              <c:numCache>
                <c:formatCode>0%</c:formatCode>
                <c:ptCount val="16"/>
                <c:pt idx="0">
                  <c:v>0.8887362637362638</c:v>
                </c:pt>
                <c:pt idx="1">
                  <c:v>0.93002028397565928</c:v>
                </c:pt>
                <c:pt idx="2">
                  <c:v>1.0805555555555555</c:v>
                </c:pt>
                <c:pt idx="3">
                  <c:v>0.95192307692307687</c:v>
                </c:pt>
                <c:pt idx="4">
                  <c:v>1.0528169014084505</c:v>
                </c:pt>
                <c:pt idx="5">
                  <c:v>0.90874159462055726</c:v>
                </c:pt>
                <c:pt idx="6">
                  <c:v>0.92987804878048785</c:v>
                </c:pt>
                <c:pt idx="7">
                  <c:v>1.0255362614913177</c:v>
                </c:pt>
                <c:pt idx="8">
                  <c:v>1.0819672131147542</c:v>
                </c:pt>
                <c:pt idx="9">
                  <c:v>1.0527131782945736</c:v>
                </c:pt>
                <c:pt idx="10">
                  <c:v>0.97563176895306847</c:v>
                </c:pt>
                <c:pt idx="11">
                  <c:v>1.1102803738317757</c:v>
                </c:pt>
                <c:pt idx="12">
                  <c:v>1.0258064516129033</c:v>
                </c:pt>
                <c:pt idx="13">
                  <c:v>1</c:v>
                </c:pt>
                <c:pt idx="14">
                  <c:v>0.95202020202020199</c:v>
                </c:pt>
                <c:pt idx="15">
                  <c:v>1.0808219178082192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8-4CE4-95B6-3DBA5B4F8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556623"/>
        <c:axId val="1458448127"/>
      </c:scatterChart>
      <c:valAx>
        <c:axId val="119655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48127"/>
        <c:crosses val="autoZero"/>
        <c:crossBetween val="midCat"/>
      </c:valAx>
      <c:valAx>
        <c:axId val="14584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55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77777777777777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13042804024496937"/>
                  <c:y val="0.27877114319043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Data!$Z$32:$Z$39</c:f>
              <c:numCache>
                <c:formatCode>General</c:formatCode>
                <c:ptCount val="8"/>
                <c:pt idx="0">
                  <c:v>65811.680000000008</c:v>
                </c:pt>
                <c:pt idx="1">
                  <c:v>67990.740000000005</c:v>
                </c:pt>
                <c:pt idx="2">
                  <c:v>108566.27200000003</c:v>
                </c:pt>
                <c:pt idx="3">
                  <c:v>59044.740000000013</c:v>
                </c:pt>
                <c:pt idx="4">
                  <c:v>63820.32</c:v>
                </c:pt>
                <c:pt idx="5">
                  <c:v>103875.64000000001</c:v>
                </c:pt>
                <c:pt idx="6">
                  <c:v>113463.50400000002</c:v>
                </c:pt>
                <c:pt idx="7">
                  <c:v>78758.240000000005</c:v>
                </c:pt>
              </c:numCache>
            </c:numRef>
          </c:xVal>
          <c:yVal>
            <c:numRef>
              <c:f>Data!$Y$32:$Y$39</c:f>
              <c:numCache>
                <c:formatCode>General</c:formatCode>
                <c:ptCount val="8"/>
                <c:pt idx="0">
                  <c:v>0.8539325842696629</c:v>
                </c:pt>
                <c:pt idx="1">
                  <c:v>0.84010840108401086</c:v>
                </c:pt>
                <c:pt idx="2">
                  <c:v>0.8898601398601399</c:v>
                </c:pt>
                <c:pt idx="3">
                  <c:v>0.67796610169491522</c:v>
                </c:pt>
                <c:pt idx="4">
                  <c:v>0.85422740524781338</c:v>
                </c:pt>
                <c:pt idx="5">
                  <c:v>0.89031078610603287</c:v>
                </c:pt>
                <c:pt idx="6">
                  <c:v>0.85106382978723405</c:v>
                </c:pt>
                <c:pt idx="7">
                  <c:v>0.88755980861244022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A4-4CD4-B714-BA5846C2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272608"/>
        <c:axId val="1982265952"/>
      </c:scatterChart>
      <c:valAx>
        <c:axId val="198227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65952"/>
        <c:crosses val="autoZero"/>
        <c:crossBetween val="midCat"/>
      </c:valAx>
      <c:valAx>
        <c:axId val="19822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27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108705161854773E-2"/>
          <c:y val="0.18039370078740158"/>
          <c:w val="0.89022462817147852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2488845144356956E-2"/>
                  <c:y val="0.20783938466025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Data!$Y$32:$Y$39</c:f>
              <c:numCache>
                <c:formatCode>General</c:formatCode>
                <c:ptCount val="8"/>
                <c:pt idx="0">
                  <c:v>0.8539325842696629</c:v>
                </c:pt>
                <c:pt idx="1">
                  <c:v>0.84010840108401086</c:v>
                </c:pt>
                <c:pt idx="2">
                  <c:v>0.8898601398601399</c:v>
                </c:pt>
                <c:pt idx="3">
                  <c:v>0.67796610169491522</c:v>
                </c:pt>
                <c:pt idx="4">
                  <c:v>0.85422740524781338</c:v>
                </c:pt>
                <c:pt idx="5">
                  <c:v>0.89031078610603287</c:v>
                </c:pt>
                <c:pt idx="6">
                  <c:v>0.85106382978723405</c:v>
                </c:pt>
                <c:pt idx="7">
                  <c:v>0.88755980861244022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D-4144-932F-E38E698BD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34352"/>
        <c:axId val="1892433520"/>
      </c:scatterChart>
      <c:valAx>
        <c:axId val="189243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33520"/>
        <c:crosses val="autoZero"/>
        <c:crossBetween val="midCat"/>
      </c:valAx>
      <c:valAx>
        <c:axId val="189243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3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y=k1(a+b)+k2(mean(b))+Y'</a:t>
            </a:r>
          </a:p>
        </c:rich>
      </c:tx>
      <c:layout>
        <c:manualLayout>
          <c:xMode val="edge"/>
          <c:yMode val="edge"/>
          <c:x val="0.28756112330782868"/>
          <c:y val="4.17961750831901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1579283157374"/>
          <c:y val="0.29763520678685046"/>
          <c:w val="0.78357587596650491"/>
          <c:h val="0.61378761838592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62517511635424"/>
                  <c:y val="3.88037267374020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Data!$X$42:$X$49</c:f>
              <c:numCache>
                <c:formatCode>General</c:formatCode>
                <c:ptCount val="8"/>
                <c:pt idx="0">
                  <c:v>6600</c:v>
                </c:pt>
                <c:pt idx="1">
                  <c:v>6790</c:v>
                </c:pt>
                <c:pt idx="2">
                  <c:v>10810</c:v>
                </c:pt>
                <c:pt idx="3">
                  <c:v>5940</c:v>
                </c:pt>
                <c:pt idx="4">
                  <c:v>6360</c:v>
                </c:pt>
                <c:pt idx="5">
                  <c:v>10340</c:v>
                </c:pt>
                <c:pt idx="6">
                  <c:v>11310</c:v>
                </c:pt>
                <c:pt idx="7">
                  <c:v>7890</c:v>
                </c:pt>
              </c:numCache>
            </c:numRef>
          </c:xVal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30C-40F3-91FA-7CB2C42F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901776"/>
        <c:axId val="756903024"/>
      </c:scatterChart>
      <c:valAx>
        <c:axId val="756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03024"/>
        <c:crosses val="autoZero"/>
        <c:crossBetween val="midCat"/>
      </c:valAx>
      <c:valAx>
        <c:axId val="7569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0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y=(k1+k2)b+k1(mean(a)+Y''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0145002890408"/>
          <c:y val="0.19742054205092305"/>
          <c:w val="0.78990176142925628"/>
          <c:h val="0.610444193389787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Data!$Z$42:$Z$49</c:f>
              <c:numCache>
                <c:formatCode>General</c:formatCode>
                <c:ptCount val="8"/>
                <c:pt idx="0">
                  <c:v>3560</c:v>
                </c:pt>
                <c:pt idx="1">
                  <c:v>3690</c:v>
                </c:pt>
                <c:pt idx="2">
                  <c:v>5720</c:v>
                </c:pt>
                <c:pt idx="3">
                  <c:v>3540</c:v>
                </c:pt>
                <c:pt idx="4">
                  <c:v>3430</c:v>
                </c:pt>
                <c:pt idx="5">
                  <c:v>5470</c:v>
                </c:pt>
                <c:pt idx="6">
                  <c:v>6110</c:v>
                </c:pt>
                <c:pt idx="7">
                  <c:v>4180</c:v>
                </c:pt>
              </c:numCache>
            </c:numRef>
          </c:xVal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A37-49C6-A96C-E79BB54B8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402272"/>
        <c:axId val="1512358416"/>
      </c:scatterChart>
      <c:valAx>
        <c:axId val="151140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358416"/>
        <c:crosses val="autoZero"/>
        <c:crossBetween val="midCat"/>
      </c:valAx>
      <c:valAx>
        <c:axId val="151235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40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上厂拟合对比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拟合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Data!$U$51:$U$58</c:f>
              <c:numCache>
                <c:formatCode>General</c:formatCode>
                <c:ptCount val="8"/>
                <c:pt idx="0">
                  <c:v>57717.378250000002</c:v>
                </c:pt>
                <c:pt idx="1">
                  <c:v>58647.801250000004</c:v>
                </c:pt>
                <c:pt idx="2">
                  <c:v>76254.226250000007</c:v>
                </c:pt>
                <c:pt idx="3">
                  <c:v>55730.876250000001</c:v>
                </c:pt>
                <c:pt idx="4">
                  <c:v>56640.835250000004</c:v>
                </c:pt>
                <c:pt idx="5">
                  <c:v>74159.22325000001</c:v>
                </c:pt>
                <c:pt idx="6">
                  <c:v>78840.927250000008</c:v>
                </c:pt>
                <c:pt idx="7">
                  <c:v>63276.532250000004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A-410D-8944-ED44CA47421B}"/>
            </c:ext>
          </c:extLst>
        </c:ser>
        <c:ser>
          <c:idx val="1"/>
          <c:order val="1"/>
          <c:tx>
            <c:v>原始数据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Data!$AB$42:$AB$49</c:f>
              <c:numCache>
                <c:formatCode>_(* #,##0.00_);_(* \(#,##0.00\);_(* "-"??_);_(@_)</c:formatCode>
                <c:ptCount val="8"/>
                <c:pt idx="0">
                  <c:v>64608.4</c:v>
                </c:pt>
                <c:pt idx="1">
                  <c:v>58910.2</c:v>
                </c:pt>
                <c:pt idx="2">
                  <c:v>74665.899999999994</c:v>
                </c:pt>
                <c:pt idx="3">
                  <c:v>58398</c:v>
                </c:pt>
                <c:pt idx="4">
                  <c:v>61293.7</c:v>
                </c:pt>
                <c:pt idx="5">
                  <c:v>68084.2</c:v>
                </c:pt>
                <c:pt idx="6">
                  <c:v>76349</c:v>
                </c:pt>
                <c:pt idx="7">
                  <c:v>58958.399999999994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7A-410D-8944-ED44CA474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488544"/>
        <c:axId val="1034477728"/>
      </c:scatterChart>
      <c:valAx>
        <c:axId val="103448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77728"/>
        <c:crosses val="autoZero"/>
        <c:crossBetween val="midCat"/>
      </c:valAx>
      <c:valAx>
        <c:axId val="10344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488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11111111111109"/>
          <c:y val="0.44494167395742207"/>
          <c:w val="0.19250383365574242"/>
          <c:h val="0.149739562408951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总产量和总成本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31520074491165"/>
          <c:y val="0.20259600211465356"/>
          <c:w val="0.82165416815372239"/>
          <c:h val="0.7135442689369075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Data!$W$66:$W$73</c:f>
              <c:numCache>
                <c:formatCode>General</c:formatCode>
                <c:ptCount val="8"/>
                <c:pt idx="0">
                  <c:v>13660</c:v>
                </c:pt>
                <c:pt idx="1">
                  <c:v>14940</c:v>
                </c:pt>
                <c:pt idx="2">
                  <c:v>17010</c:v>
                </c:pt>
                <c:pt idx="3">
                  <c:v>15980</c:v>
                </c:pt>
                <c:pt idx="4">
                  <c:v>16430</c:v>
                </c:pt>
                <c:pt idx="5">
                  <c:v>17250</c:v>
                </c:pt>
                <c:pt idx="6">
                  <c:v>16620</c:v>
                </c:pt>
                <c:pt idx="7">
                  <c:v>14840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5D-4742-92B9-7BC49986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36687"/>
        <c:axId val="1502337103"/>
      </c:scatterChart>
      <c:valAx>
        <c:axId val="150233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37103"/>
        <c:crosses val="autoZero"/>
        <c:crossBetween val="midCat"/>
      </c:valAx>
      <c:valAx>
        <c:axId val="15023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3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69045284596057"/>
          <c:y val="6.9462629558951841E-2"/>
          <c:w val="0.8264239200722916"/>
          <c:h val="0.840611223103111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Data!$Y$66:$Y$73</c:f>
              <c:numCache>
                <c:formatCode>General</c:formatCode>
                <c:ptCount val="8"/>
                <c:pt idx="0">
                  <c:v>2720</c:v>
                </c:pt>
                <c:pt idx="1">
                  <c:v>4240</c:v>
                </c:pt>
                <c:pt idx="2">
                  <c:v>4600</c:v>
                </c:pt>
                <c:pt idx="3">
                  <c:v>4560</c:v>
                </c:pt>
                <c:pt idx="4">
                  <c:v>4750</c:v>
                </c:pt>
                <c:pt idx="5">
                  <c:v>4920</c:v>
                </c:pt>
                <c:pt idx="6">
                  <c:v>4920</c:v>
                </c:pt>
                <c:pt idx="7">
                  <c:v>4550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25-4E9A-B64C-03B1DB968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79423"/>
        <c:axId val="1513780671"/>
      </c:scatterChart>
      <c:valAx>
        <c:axId val="151377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80671"/>
        <c:crosses val="autoZero"/>
        <c:crossBetween val="midCat"/>
      </c:valAx>
      <c:valAx>
        <c:axId val="151378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7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36053551759061"/>
          <c:y val="2.7154477976542378E-2"/>
          <c:w val="0.82159212421948624"/>
          <c:h val="0.8452273154092396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Data!$AA$66:$AA$73</c:f>
              <c:numCache>
                <c:formatCode>General</c:formatCode>
                <c:ptCount val="8"/>
                <c:pt idx="0">
                  <c:v>8660</c:v>
                </c:pt>
                <c:pt idx="1">
                  <c:v>8660</c:v>
                </c:pt>
                <c:pt idx="2">
                  <c:v>9990</c:v>
                </c:pt>
                <c:pt idx="3">
                  <c:v>8490</c:v>
                </c:pt>
                <c:pt idx="4">
                  <c:v>9490</c:v>
                </c:pt>
                <c:pt idx="5">
                  <c:v>9990</c:v>
                </c:pt>
                <c:pt idx="6">
                  <c:v>9660</c:v>
                </c:pt>
                <c:pt idx="7">
                  <c:v>8160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4B-45A3-AA6C-1B010C78E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729919"/>
        <c:axId val="1513733247"/>
      </c:scatterChart>
      <c:valAx>
        <c:axId val="15137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33247"/>
        <c:crosses val="autoZero"/>
        <c:crossBetween val="midCat"/>
      </c:valAx>
      <c:valAx>
        <c:axId val="1513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2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9165596144282362"/>
          <c:y val="3.5716972522539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4663449194692"/>
          <c:y val="0.21861037071826978"/>
          <c:w val="0.81110080318702937"/>
          <c:h val="0.6203356129855099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50393700787401"/>
                  <c:y val="0.24090259550889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Data!$V$15:$V$22</c:f>
              <c:numCache>
                <c:formatCode>#,##0</c:formatCode>
                <c:ptCount val="8"/>
                <c:pt idx="0">
                  <c:v>126400</c:v>
                </c:pt>
                <c:pt idx="1">
                  <c:v>141900</c:v>
                </c:pt>
                <c:pt idx="2">
                  <c:v>194800</c:v>
                </c:pt>
                <c:pt idx="3">
                  <c:v>145600</c:v>
                </c:pt>
                <c:pt idx="4">
                  <c:v>160200</c:v>
                </c:pt>
                <c:pt idx="5">
                  <c:v>172500</c:v>
                </c:pt>
                <c:pt idx="6">
                  <c:v>174500</c:v>
                </c:pt>
                <c:pt idx="7">
                  <c:v>137300</c:v>
                </c:pt>
              </c:numCache>
            </c:numRef>
          </c:xVal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9653-4DCD-975B-72509511B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129071"/>
        <c:axId val="464132399"/>
      </c:scatterChart>
      <c:valAx>
        <c:axId val="46412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32399"/>
        <c:crosses val="autoZero"/>
        <c:crossBetween val="midCat"/>
      </c:valAx>
      <c:valAx>
        <c:axId val="4641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129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5870516185476"/>
          <c:y val="0.29613444152814233"/>
          <c:w val="0.84586351706036744"/>
          <c:h val="0.606303587051618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Data!$U$66:$U$73</c:f>
              <c:numCache>
                <c:formatCode>General</c:formatCode>
                <c:ptCount val="8"/>
                <c:pt idx="0">
                  <c:v>106175.85025</c:v>
                </c:pt>
                <c:pt idx="1">
                  <c:v>114303.09024999999</c:v>
                </c:pt>
                <c:pt idx="2">
                  <c:v>125278.17425</c:v>
                </c:pt>
                <c:pt idx="3">
                  <c:v>117769.06624999999</c:v>
                </c:pt>
                <c:pt idx="4">
                  <c:v>122554.86725</c:v>
                </c:pt>
                <c:pt idx="5">
                  <c:v>126903.03825</c:v>
                </c:pt>
                <c:pt idx="6">
                  <c:v>124097.53425</c:v>
                </c:pt>
                <c:pt idx="7">
                  <c:v>113444.27925000001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A0-4133-823A-E3D67359B71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Data!$AG$66:$AG$73</c:f>
              <c:numCache>
                <c:formatCode>General</c:formatCode>
                <c:ptCount val="8"/>
                <c:pt idx="0">
                  <c:v>103107.8</c:v>
                </c:pt>
                <c:pt idx="1">
                  <c:v>119020.4</c:v>
                </c:pt>
                <c:pt idx="2">
                  <c:v>119646.3</c:v>
                </c:pt>
                <c:pt idx="3">
                  <c:v>115637.29999999999</c:v>
                </c:pt>
                <c:pt idx="4">
                  <c:v>129104.79999999999</c:v>
                </c:pt>
                <c:pt idx="5">
                  <c:v>114381.6</c:v>
                </c:pt>
                <c:pt idx="6">
                  <c:v>130617.60000000001</c:v>
                </c:pt>
                <c:pt idx="7">
                  <c:v>119010.1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1A0-4133-823A-E3D67359B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301327"/>
        <c:axId val="1502312143"/>
      </c:scatterChart>
      <c:valAx>
        <c:axId val="150230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12143"/>
        <c:crosses val="autoZero"/>
        <c:crossBetween val="midCat"/>
      </c:valAx>
      <c:valAx>
        <c:axId val="150231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0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售价</a:t>
            </a:r>
            <a:r>
              <a:rPr lang="en-US" altLang="zh-CN"/>
              <a:t>-</a:t>
            </a:r>
            <a:r>
              <a:rPr lang="zh-CN" altLang="en-US"/>
              <a:t>需求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E-2"/>
          <c:y val="0.17171296296296298"/>
          <c:w val="0.8712246281714786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06714785651797"/>
                  <c:y val="-0.20215004374453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Sheet1!$B$20:$B$23</c:f>
              <c:numCache>
                <c:formatCode>General</c:formatCode>
                <c:ptCount val="4"/>
                <c:pt idx="0">
                  <c:v>12</c:v>
                </c:pt>
                <c:pt idx="1">
                  <c:v>10.5</c:v>
                </c:pt>
                <c:pt idx="2">
                  <c:v>9</c:v>
                </c:pt>
                <c:pt idx="3">
                  <c:v>7.5</c:v>
                </c:pt>
              </c:numCache>
            </c:numRef>
          </c:xVal>
          <c:yVal>
            <c:numRef>
              <c:f>Sheet1!$D$20:$D$23</c:f>
              <c:numCache>
                <c:formatCode>General</c:formatCode>
                <c:ptCount val="4"/>
                <c:pt idx="0">
                  <c:v>2.5440680443502757</c:v>
                </c:pt>
                <c:pt idx="1">
                  <c:v>2.6532125137753435</c:v>
                </c:pt>
                <c:pt idx="2">
                  <c:v>2.8129133566428557</c:v>
                </c:pt>
                <c:pt idx="3">
                  <c:v>2.9542425094393248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A-4116-9475-32688AF40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4224"/>
        <c:axId val="1442632976"/>
      </c:scatterChart>
      <c:valAx>
        <c:axId val="14426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2976"/>
        <c:crosses val="autoZero"/>
        <c:crossBetween val="midCat"/>
      </c:valAx>
      <c:valAx>
        <c:axId val="144263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6717038495188102"/>
                  <c:y val="-3.785360163312919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Sheet1!$B$47:$B$50</c:f>
              <c:numCache>
                <c:formatCode>General</c:formatCode>
                <c:ptCount val="4"/>
                <c:pt idx="0">
                  <c:v>12</c:v>
                </c:pt>
                <c:pt idx="1">
                  <c:v>10.5</c:v>
                </c:pt>
                <c:pt idx="2">
                  <c:v>9</c:v>
                </c:pt>
                <c:pt idx="3">
                  <c:v>7.5</c:v>
                </c:pt>
              </c:numCache>
            </c:numRef>
          </c:xVal>
          <c:yVal>
            <c:numRef>
              <c:f>Sheet1!$C$47:$C$50</c:f>
              <c:numCache>
                <c:formatCode>General</c:formatCode>
                <c:ptCount val="4"/>
                <c:pt idx="0">
                  <c:v>350</c:v>
                </c:pt>
                <c:pt idx="1">
                  <c:v>450</c:v>
                </c:pt>
                <c:pt idx="2">
                  <c:v>650</c:v>
                </c:pt>
                <c:pt idx="3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0-4C41-B9E1-5494934A5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181647"/>
        <c:axId val="384178735"/>
      </c:scatterChart>
      <c:valAx>
        <c:axId val="38418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78735"/>
        <c:crosses val="autoZero"/>
        <c:crossBetween val="midCat"/>
      </c:valAx>
      <c:valAx>
        <c:axId val="38417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180975</xdr:colOff>
      <xdr:row>38</xdr:row>
      <xdr:rowOff>19050</xdr:rowOff>
    </xdr:from>
    <xdr:to>
      <xdr:col>48</xdr:col>
      <xdr:colOff>28575</xdr:colOff>
      <xdr:row>55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4FEB9A-DAD1-5BA6-8BAC-5B1EAE71C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163285</xdr:colOff>
      <xdr:row>84</xdr:row>
      <xdr:rowOff>99838</xdr:rowOff>
    </xdr:from>
    <xdr:to>
      <xdr:col>9</xdr:col>
      <xdr:colOff>140567</xdr:colOff>
      <xdr:row>101</xdr:row>
      <xdr:rowOff>19978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CB10F-32FA-9D9D-EB19-1E23A4C27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48199</xdr:rowOff>
    </xdr:from>
    <xdr:to>
      <xdr:col>6</xdr:col>
      <xdr:colOff>367357</xdr:colOff>
      <xdr:row>44</xdr:row>
      <xdr:rowOff>57889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BDDC251-DEC0-4C5F-94DA-84D2FDAC0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547292</xdr:colOff>
      <xdr:row>35</xdr:row>
      <xdr:rowOff>138902</xdr:rowOff>
    </xdr:from>
    <xdr:to>
      <xdr:col>9</xdr:col>
      <xdr:colOff>576531</xdr:colOff>
      <xdr:row>53</xdr:row>
      <xdr:rowOff>175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D69F92-0C27-6EB4-6174-3A3B51DDE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395942</xdr:colOff>
      <xdr:row>60</xdr:row>
      <xdr:rowOff>6394</xdr:rowOff>
    </xdr:from>
    <xdr:to>
      <xdr:col>12</xdr:col>
      <xdr:colOff>610762</xdr:colOff>
      <xdr:row>77</xdr:row>
      <xdr:rowOff>14329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1F3A7896-614F-5B55-A12C-3996043DE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7470</xdr:colOff>
      <xdr:row>42</xdr:row>
      <xdr:rowOff>31187</xdr:rowOff>
    </xdr:from>
    <xdr:to>
      <xdr:col>13</xdr:col>
      <xdr:colOff>217773</xdr:colOff>
      <xdr:row>59</xdr:row>
      <xdr:rowOff>30507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2B899008-9C83-25B5-FF67-349E82472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581666</xdr:colOff>
      <xdr:row>38</xdr:row>
      <xdr:rowOff>68003</xdr:rowOff>
    </xdr:from>
    <xdr:to>
      <xdr:col>17</xdr:col>
      <xdr:colOff>181648</xdr:colOff>
      <xdr:row>55</xdr:row>
      <xdr:rowOff>114406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82A6D8C7-55FB-B914-2CF1-3078F5E4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381908</xdr:colOff>
      <xdr:row>63</xdr:row>
      <xdr:rowOff>139699</xdr:rowOff>
    </xdr:from>
    <xdr:to>
      <xdr:col>18</xdr:col>
      <xdr:colOff>20650</xdr:colOff>
      <xdr:row>80</xdr:row>
      <xdr:rowOff>119848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B4390FC-A41B-87A7-5633-16C647F1A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317640</xdr:colOff>
      <xdr:row>27</xdr:row>
      <xdr:rowOff>12554</xdr:rowOff>
    </xdr:from>
    <xdr:to>
      <xdr:col>17</xdr:col>
      <xdr:colOff>540318</xdr:colOff>
      <xdr:row>43</xdr:row>
      <xdr:rowOff>122305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801C179-6C16-9B3B-EF0F-509654978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48558</xdr:colOff>
      <xdr:row>62</xdr:row>
      <xdr:rowOff>141195</xdr:rowOff>
    </xdr:from>
    <xdr:to>
      <xdr:col>17</xdr:col>
      <xdr:colOff>302558</xdr:colOff>
      <xdr:row>80</xdr:row>
      <xdr:rowOff>8219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3A86C07A-1607-62C8-21B6-CA05EEC15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16542</xdr:colOff>
      <xdr:row>60</xdr:row>
      <xdr:rowOff>62220</xdr:rowOff>
    </xdr:from>
    <xdr:to>
      <xdr:col>7</xdr:col>
      <xdr:colOff>606719</xdr:colOff>
      <xdr:row>77</xdr:row>
      <xdr:rowOff>130949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8F65096C-19D4-0DAA-BDF5-D464CE3BD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398355</xdr:colOff>
      <xdr:row>60</xdr:row>
      <xdr:rowOff>74113</xdr:rowOff>
    </xdr:from>
    <xdr:to>
      <xdr:col>14</xdr:col>
      <xdr:colOff>9861</xdr:colOff>
      <xdr:row>77</xdr:row>
      <xdr:rowOff>41456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2FF3A0DC-609C-BE60-A60A-F4107C87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24</xdr:row>
      <xdr:rowOff>85725</xdr:rowOff>
    </xdr:from>
    <xdr:to>
      <xdr:col>10</xdr:col>
      <xdr:colOff>571500</xdr:colOff>
      <xdr:row>43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05CCD-8D17-55A8-FEB8-A4EC7C6FD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585787</xdr:colOff>
      <xdr:row>51</xdr:row>
      <xdr:rowOff>33337</xdr:rowOff>
    </xdr:from>
    <xdr:to>
      <xdr:col>8</xdr:col>
      <xdr:colOff>252412</xdr:colOff>
      <xdr:row>68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5615D-12F8-8BEB-42EA-6A711F303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99B-AA57-4BFD-929C-FE30AFA62B4F}">
  <dimension ref="A1:G20"/>
  <sheetViews>
    <sheetView workbookViewId="0">
      <selection activeCell="E38" sqref="E38"/>
    </sheetView>
  </sheetViews>
  <sheetFormatPr defaultRowHeight="12.75"/>
  <sheetData>
    <row r="1" spans="1:7">
      <c r="A1" t="s">
        <v>53</v>
      </c>
    </row>
    <row r="3" spans="1:7" ht="13.5" thickBot="1">
      <c r="A3" t="s">
        <v>54</v>
      </c>
    </row>
    <row r="4" spans="1:7">
      <c r="A4" s="44" t="s">
        <v>55</v>
      </c>
      <c r="B4" s="44" t="s">
        <v>56</v>
      </c>
      <c r="C4" s="44" t="s">
        <v>57</v>
      </c>
      <c r="D4" s="44" t="s">
        <v>58</v>
      </c>
      <c r="E4" s="44" t="s">
        <v>59</v>
      </c>
    </row>
    <row r="5" spans="1:7">
      <c r="A5" t="s">
        <v>60</v>
      </c>
      <c r="B5" s="41">
        <v>2</v>
      </c>
      <c r="C5" s="41">
        <v>99655.156000000003</v>
      </c>
      <c r="D5" s="41">
        <v>49827.578000000001</v>
      </c>
      <c r="E5" s="41">
        <v>436945397.99136829</v>
      </c>
    </row>
    <row r="6" spans="1:7">
      <c r="A6" t="s">
        <v>61</v>
      </c>
      <c r="B6" s="41">
        <v>2</v>
      </c>
      <c r="C6" s="41">
        <v>87328.332999999984</v>
      </c>
      <c r="D6" s="41">
        <v>43664.166499999992</v>
      </c>
      <c r="E6" s="41">
        <v>464883074.96624517</v>
      </c>
    </row>
    <row r="7" spans="1:7">
      <c r="A7" t="s">
        <v>62</v>
      </c>
      <c r="B7" s="41">
        <v>2</v>
      </c>
      <c r="C7" s="41">
        <v>101233.30799999999</v>
      </c>
      <c r="D7" s="41">
        <v>50616.653999999995</v>
      </c>
      <c r="E7" s="41">
        <v>1156732466.3370323</v>
      </c>
    </row>
    <row r="8" spans="1:7">
      <c r="A8" t="s">
        <v>63</v>
      </c>
      <c r="B8" s="41">
        <v>2</v>
      </c>
      <c r="C8" s="41">
        <v>89220.858000000007</v>
      </c>
      <c r="D8" s="41">
        <v>44610.429000000004</v>
      </c>
      <c r="E8" s="41">
        <v>380194228.16008139</v>
      </c>
    </row>
    <row r="9" spans="1:7">
      <c r="A9" t="s">
        <v>64</v>
      </c>
      <c r="B9" s="41">
        <v>2</v>
      </c>
      <c r="C9" s="41">
        <v>94102.298999999999</v>
      </c>
      <c r="D9" s="41">
        <v>47051.1495</v>
      </c>
      <c r="E9" s="41">
        <v>405700489.49009991</v>
      </c>
    </row>
    <row r="10" spans="1:7">
      <c r="A10" t="s">
        <v>65</v>
      </c>
      <c r="B10" s="41">
        <v>2</v>
      </c>
      <c r="C10" s="41">
        <v>90164.910999999993</v>
      </c>
      <c r="D10" s="41">
        <v>45082.455499999996</v>
      </c>
      <c r="E10" s="41">
        <v>1058160500.0865607</v>
      </c>
    </row>
    <row r="11" spans="1:7">
      <c r="A11" t="s">
        <v>66</v>
      </c>
      <c r="B11" s="41">
        <v>2</v>
      </c>
      <c r="C11" s="41">
        <v>102012.807</v>
      </c>
      <c r="D11" s="41">
        <v>51006.4035</v>
      </c>
      <c r="E11" s="41">
        <v>1284494394.7236242</v>
      </c>
    </row>
    <row r="12" spans="1:7" ht="13.5" thickBot="1">
      <c r="A12" s="42" t="s">
        <v>67</v>
      </c>
      <c r="B12" s="43">
        <v>2</v>
      </c>
      <c r="C12" s="43">
        <v>82796.001999999979</v>
      </c>
      <c r="D12" s="43">
        <v>41398.000999999989</v>
      </c>
      <c r="E12" s="43">
        <v>616735226.078403</v>
      </c>
    </row>
    <row r="15" spans="1:7" ht="13.5" thickBot="1">
      <c r="A15" t="s">
        <v>68</v>
      </c>
    </row>
    <row r="16" spans="1:7">
      <c r="A16" s="44" t="s">
        <v>69</v>
      </c>
      <c r="B16" s="44" t="s">
        <v>70</v>
      </c>
      <c r="C16" s="44" t="s">
        <v>71</v>
      </c>
      <c r="D16" s="44" t="s">
        <v>72</v>
      </c>
      <c r="E16" s="44" t="s">
        <v>73</v>
      </c>
      <c r="F16" s="44" t="s">
        <v>74</v>
      </c>
      <c r="G16" s="44" t="s">
        <v>75</v>
      </c>
    </row>
    <row r="17" spans="1:7">
      <c r="A17" t="s">
        <v>76</v>
      </c>
      <c r="B17" s="41">
        <v>176171710.56327248</v>
      </c>
      <c r="C17" s="41">
        <v>7</v>
      </c>
      <c r="D17" s="41">
        <v>25167387.223324638</v>
      </c>
      <c r="E17" s="41">
        <v>3.4690635398268173E-2</v>
      </c>
      <c r="F17" s="41">
        <v>0.99989022794488402</v>
      </c>
      <c r="G17" s="41">
        <v>3.500463855044941</v>
      </c>
    </row>
    <row r="18" spans="1:7">
      <c r="A18" t="s">
        <v>77</v>
      </c>
      <c r="B18" s="41">
        <v>5803845777.8334141</v>
      </c>
      <c r="C18" s="41">
        <v>8</v>
      </c>
      <c r="D18" s="41">
        <v>725480722.22917676</v>
      </c>
      <c r="E18" s="41"/>
      <c r="F18" s="41"/>
      <c r="G18" s="41"/>
    </row>
    <row r="19" spans="1:7">
      <c r="A19" s="41"/>
      <c r="B19" s="41"/>
      <c r="C19" s="41"/>
      <c r="D19" s="41"/>
      <c r="E19" s="41"/>
      <c r="F19" s="41"/>
      <c r="G19" s="41"/>
    </row>
    <row r="20" spans="1:7" ht="13.5" thickBot="1">
      <c r="A20" s="42" t="s">
        <v>78</v>
      </c>
      <c r="B20" s="43">
        <v>5980017488.3966866</v>
      </c>
      <c r="C20" s="43">
        <v>15</v>
      </c>
      <c r="D20" s="43"/>
      <c r="E20" s="43"/>
      <c r="F20" s="43"/>
      <c r="G20" s="4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"/>
  <sheetViews>
    <sheetView zoomScale="115" zoomScaleNormal="115" workbookViewId="0">
      <selection activeCell="M12" sqref="M12:M13"/>
    </sheetView>
  </sheetViews>
  <sheetFormatPr defaultColWidth="8.85546875" defaultRowHeight="12.75"/>
  <cols>
    <col min="1" max="1" width="12.140625" style="1" customWidth="1"/>
    <col min="2" max="2" width="9.5703125" style="5" customWidth="1"/>
    <col min="3" max="3" width="10.140625" style="1" customWidth="1"/>
    <col min="4" max="7" width="8.85546875" style="1"/>
    <col min="8" max="8" width="8.85546875" style="1" customWidth="1"/>
    <col min="9" max="9" width="8.85546875" style="1"/>
    <col min="10" max="11" width="9.140625" style="1"/>
    <col min="19" max="19" width="9.140625" style="1"/>
    <col min="20" max="20" width="12.140625" style="1" customWidth="1"/>
    <col min="21" max="21" width="11" customWidth="1"/>
    <col min="22" max="22" width="12" customWidth="1"/>
    <col min="23" max="23" width="14" bestFit="1" customWidth="1"/>
    <col min="24" max="24" width="12.140625" style="1" customWidth="1"/>
    <col min="25" max="25" width="12.85546875" customWidth="1"/>
    <col min="26" max="26" width="11.5703125" customWidth="1"/>
    <col min="27" max="27" width="12.140625" style="1" customWidth="1"/>
    <col min="28" max="28" width="17.28515625" customWidth="1"/>
    <col min="29" max="29" width="16.5703125" customWidth="1"/>
    <col min="30" max="30" width="17.85546875" customWidth="1"/>
    <col min="31" max="31" width="15.85546875" customWidth="1"/>
    <col min="32" max="32" width="16.42578125" customWidth="1"/>
    <col min="33" max="33" width="10.28515625" bestFit="1" customWidth="1"/>
    <col min="35" max="35" width="11.28515625" bestFit="1" customWidth="1"/>
    <col min="36" max="36" width="11.140625" customWidth="1"/>
    <col min="38" max="38" width="11.28515625" bestFit="1" customWidth="1"/>
    <col min="42" max="42" width="11.42578125" customWidth="1"/>
  </cols>
  <sheetData>
    <row r="1" spans="1:36" ht="18">
      <c r="A1" s="6" t="s">
        <v>1</v>
      </c>
      <c r="T1" s="6"/>
      <c r="X1" s="6"/>
      <c r="AA1" s="6"/>
    </row>
    <row r="3" spans="1:36" ht="12.75" customHeight="1">
      <c r="A3" s="15" t="s">
        <v>3</v>
      </c>
      <c r="B3" s="1"/>
      <c r="T3" s="15" t="s">
        <v>9</v>
      </c>
      <c r="U3" s="4"/>
      <c r="V3" s="4"/>
      <c r="X3" s="15" t="s">
        <v>10</v>
      </c>
      <c r="Y3" s="14"/>
      <c r="Z3" s="14"/>
      <c r="AA3" s="15" t="s">
        <v>12</v>
      </c>
      <c r="AB3" s="1"/>
      <c r="AC3" s="1"/>
      <c r="AD3" s="1"/>
      <c r="AE3" s="1"/>
      <c r="AF3" s="1"/>
      <c r="AG3" s="1"/>
    </row>
    <row r="4" spans="1:36" ht="12.75" customHeight="1">
      <c r="A4" s="15"/>
      <c r="B4" s="1"/>
      <c r="T4" s="15"/>
      <c r="X4" s="15" t="s">
        <v>11</v>
      </c>
      <c r="Y4" s="14"/>
      <c r="Z4" s="14"/>
      <c r="AA4" s="15"/>
      <c r="AB4" s="1"/>
      <c r="AC4" s="1"/>
      <c r="AD4" s="1"/>
      <c r="AE4" s="1"/>
      <c r="AF4" s="1"/>
      <c r="AG4" s="1"/>
    </row>
    <row r="5" spans="1:36">
      <c r="A5"/>
      <c r="B5" s="1" t="s">
        <v>4</v>
      </c>
      <c r="J5" s="1" t="s">
        <v>8</v>
      </c>
      <c r="T5"/>
      <c r="U5" s="7" t="s">
        <v>4</v>
      </c>
      <c r="V5" s="7" t="s">
        <v>8</v>
      </c>
      <c r="X5"/>
      <c r="Y5" s="5"/>
      <c r="AA5"/>
      <c r="AB5" s="1" t="s">
        <v>4</v>
      </c>
      <c r="AC5" s="1"/>
      <c r="AD5" s="1"/>
      <c r="AE5" s="1" t="s">
        <v>8</v>
      </c>
      <c r="AF5" s="1"/>
      <c r="AG5" s="1"/>
    </row>
    <row r="6" spans="1:36" ht="14.25" customHeight="1">
      <c r="A6" s="9" t="s">
        <v>0</v>
      </c>
      <c r="B6" s="1" t="s">
        <v>5</v>
      </c>
      <c r="C6" s="1" t="s">
        <v>6</v>
      </c>
      <c r="D6" s="1" t="s">
        <v>23</v>
      </c>
      <c r="E6" s="1" t="s">
        <v>22</v>
      </c>
      <c r="F6" s="1" t="s">
        <v>19</v>
      </c>
      <c r="G6" s="1" t="s">
        <v>24</v>
      </c>
      <c r="H6" s="1" t="s">
        <v>25</v>
      </c>
      <c r="J6" s="1" t="s">
        <v>5</v>
      </c>
      <c r="K6" s="1" t="s">
        <v>6</v>
      </c>
      <c r="L6" s="1" t="s">
        <v>7</v>
      </c>
      <c r="M6" s="1" t="s">
        <v>23</v>
      </c>
      <c r="N6" s="1" t="s">
        <v>22</v>
      </c>
      <c r="O6" s="1" t="s">
        <v>19</v>
      </c>
      <c r="P6" s="1" t="s">
        <v>24</v>
      </c>
      <c r="Q6" s="1" t="s">
        <v>25</v>
      </c>
      <c r="R6" s="1" t="s">
        <v>26</v>
      </c>
      <c r="T6" s="9" t="s">
        <v>0</v>
      </c>
      <c r="U6" s="7"/>
      <c r="V6" s="7"/>
      <c r="X6" s="9" t="s">
        <v>0</v>
      </c>
      <c r="Y6" s="10"/>
      <c r="AA6" s="9" t="s">
        <v>0</v>
      </c>
      <c r="AB6" s="11" t="s">
        <v>5</v>
      </c>
      <c r="AC6" s="11" t="s">
        <v>6</v>
      </c>
      <c r="AD6" s="11"/>
      <c r="AE6" s="11" t="s">
        <v>5</v>
      </c>
      <c r="AF6" s="11" t="s">
        <v>6</v>
      </c>
      <c r="AG6" s="11" t="s">
        <v>7</v>
      </c>
    </row>
    <row r="7" spans="1:36">
      <c r="A7" s="3">
        <v>43955</v>
      </c>
      <c r="B7" s="7">
        <v>3.43</v>
      </c>
      <c r="C7" s="7">
        <v>3.04</v>
      </c>
      <c r="D7" s="30">
        <f>SUM(B7:C7)</f>
        <v>6.4700000000000006</v>
      </c>
      <c r="E7" s="29">
        <f>U7/10000</f>
        <v>7.28</v>
      </c>
      <c r="F7" s="31">
        <f>D7/E7</f>
        <v>0.8887362637362638</v>
      </c>
      <c r="G7" s="31">
        <f>B7/SUM($B7:$C7)</f>
        <v>0.5301391035548686</v>
      </c>
      <c r="H7" s="31">
        <f>C7/SUM($B7:$C7)</f>
        <v>0.46986089644513135</v>
      </c>
      <c r="I7" s="5"/>
      <c r="J7" s="7">
        <v>4.55</v>
      </c>
      <c r="K7" s="7">
        <v>2.4700000000000002</v>
      </c>
      <c r="L7" s="7">
        <v>10.15</v>
      </c>
      <c r="M7" s="30">
        <f>SUM(J7:L7)</f>
        <v>17.170000000000002</v>
      </c>
      <c r="N7" s="29">
        <f>V7/10000</f>
        <v>20.95</v>
      </c>
      <c r="O7" s="31">
        <f>M7/N7</f>
        <v>0.81957040572792372</v>
      </c>
      <c r="P7" s="31">
        <f>J7/SUM($J7:$L7)</f>
        <v>0.26499708794408849</v>
      </c>
      <c r="Q7" s="31">
        <f t="shared" ref="Q7:R7" si="0">K7/SUM($J7:$L7)</f>
        <v>0.14385556202679092</v>
      </c>
      <c r="R7" s="31">
        <f t="shared" si="0"/>
        <v>0.59114735002912056</v>
      </c>
      <c r="T7" s="3">
        <v>43955</v>
      </c>
      <c r="U7" s="8">
        <v>72800</v>
      </c>
      <c r="V7" s="8">
        <v>209500</v>
      </c>
      <c r="X7" s="3">
        <v>43955</v>
      </c>
      <c r="Y7" s="5">
        <v>4.5</v>
      </c>
      <c r="AA7" s="9"/>
      <c r="AB7" s="11"/>
      <c r="AC7" s="11"/>
      <c r="AD7" s="11"/>
      <c r="AE7" s="11"/>
      <c r="AF7" s="11"/>
      <c r="AG7" s="11"/>
    </row>
    <row r="8" spans="1:36">
      <c r="A8" s="3">
        <v>43962</v>
      </c>
      <c r="B8" s="7">
        <v>4.96</v>
      </c>
      <c r="C8" s="7">
        <v>4.21</v>
      </c>
      <c r="D8" s="30">
        <f t="shared" ref="D8:D22" si="1">SUM(B8:C8)</f>
        <v>9.17</v>
      </c>
      <c r="E8" s="29">
        <f t="shared" ref="E8:E22" si="2">U8/10000</f>
        <v>9.86</v>
      </c>
      <c r="F8" s="31">
        <f t="shared" ref="F8:F22" si="3">D8/E8</f>
        <v>0.93002028397565928</v>
      </c>
      <c r="G8" s="31">
        <f t="shared" ref="G8:G22" si="4">B8/SUM($B8:$C8)</f>
        <v>0.54089422028353329</v>
      </c>
      <c r="H8" s="31">
        <f t="shared" ref="H8:H22" si="5">C8/SUM($B8:$C8)</f>
        <v>0.45910577971646677</v>
      </c>
      <c r="I8" s="5"/>
      <c r="J8" s="7">
        <v>4.99</v>
      </c>
      <c r="K8" s="7">
        <v>2.1</v>
      </c>
      <c r="L8" s="7">
        <v>9.49</v>
      </c>
      <c r="M8" s="30">
        <f t="shared" ref="M8:M22" si="6">SUM(J8:L8)</f>
        <v>16.579999999999998</v>
      </c>
      <c r="N8" s="29">
        <f t="shared" ref="N8:N21" si="7">V8/10000</f>
        <v>18.149999999999999</v>
      </c>
      <c r="O8" s="31">
        <f t="shared" ref="O8:O22" si="8">M8/N8</f>
        <v>0.91349862258953163</v>
      </c>
      <c r="P8" s="31">
        <f t="shared" ref="P8:P22" si="9">J8/SUM($J8:$L8)</f>
        <v>0.30096501809408932</v>
      </c>
      <c r="Q8" s="31">
        <f t="shared" ref="Q8:Q22" si="10">K8/SUM($J8:$L8)</f>
        <v>0.12665862484921594</v>
      </c>
      <c r="R8" s="31">
        <f t="shared" ref="R8:R22" si="11">L8/SUM($J8:$L8)</f>
        <v>0.57237635705669487</v>
      </c>
      <c r="T8" s="3">
        <v>43962</v>
      </c>
      <c r="U8" s="8">
        <v>98600</v>
      </c>
      <c r="V8" s="8">
        <v>181500</v>
      </c>
      <c r="X8" s="3">
        <v>43962</v>
      </c>
      <c r="Y8" s="5">
        <v>4.3</v>
      </c>
      <c r="AA8" s="9"/>
      <c r="AB8" s="11"/>
      <c r="AC8" s="11"/>
      <c r="AD8" s="11"/>
      <c r="AE8" s="11"/>
      <c r="AF8" s="11"/>
      <c r="AG8" s="11"/>
    </row>
    <row r="9" spans="1:36">
      <c r="A9" s="3">
        <v>43969</v>
      </c>
      <c r="B9" s="7">
        <v>4.09</v>
      </c>
      <c r="C9" s="7">
        <v>3.69</v>
      </c>
      <c r="D9" s="30">
        <f t="shared" si="1"/>
        <v>7.7799999999999994</v>
      </c>
      <c r="E9" s="29">
        <f t="shared" si="2"/>
        <v>7.2</v>
      </c>
      <c r="F9" s="31">
        <f t="shared" si="3"/>
        <v>1.0805555555555555</v>
      </c>
      <c r="G9" s="31">
        <f t="shared" si="4"/>
        <v>0.52570694087403602</v>
      </c>
      <c r="H9" s="31">
        <f t="shared" si="5"/>
        <v>0.47429305912596403</v>
      </c>
      <c r="I9" s="5"/>
      <c r="J9" s="7">
        <v>3.23</v>
      </c>
      <c r="K9" s="7">
        <v>1.36</v>
      </c>
      <c r="L9" s="7">
        <v>8.16</v>
      </c>
      <c r="M9" s="30">
        <f t="shared" si="6"/>
        <v>12.75</v>
      </c>
      <c r="N9" s="29">
        <f t="shared" si="7"/>
        <v>11.79</v>
      </c>
      <c r="O9" s="31">
        <f t="shared" si="8"/>
        <v>1.0814249363867685</v>
      </c>
      <c r="P9" s="31">
        <f t="shared" si="9"/>
        <v>0.25333333333333335</v>
      </c>
      <c r="Q9" s="31">
        <f t="shared" si="10"/>
        <v>0.10666666666666667</v>
      </c>
      <c r="R9" s="31">
        <f t="shared" si="11"/>
        <v>0.64</v>
      </c>
      <c r="T9" s="3">
        <v>43969</v>
      </c>
      <c r="U9" s="8">
        <v>72000</v>
      </c>
      <c r="V9" s="8">
        <v>117900</v>
      </c>
      <c r="X9" s="3">
        <v>43969</v>
      </c>
      <c r="Y9" s="5">
        <v>3.7</v>
      </c>
      <c r="AA9" s="9"/>
      <c r="AB9" s="11"/>
      <c r="AC9" s="11"/>
      <c r="AD9" s="11"/>
      <c r="AE9" s="11"/>
      <c r="AF9" s="11"/>
      <c r="AG9" s="11"/>
    </row>
    <row r="10" spans="1:36">
      <c r="A10" s="3">
        <v>43976</v>
      </c>
      <c r="B10" s="7">
        <v>4.87</v>
      </c>
      <c r="C10" s="7">
        <v>5.03</v>
      </c>
      <c r="D10" s="30">
        <f t="shared" si="1"/>
        <v>9.9</v>
      </c>
      <c r="E10" s="29">
        <f t="shared" si="2"/>
        <v>10.4</v>
      </c>
      <c r="F10" s="31">
        <f t="shared" si="3"/>
        <v>0.95192307692307687</v>
      </c>
      <c r="G10" s="31">
        <f t="shared" si="4"/>
        <v>0.49191919191919192</v>
      </c>
      <c r="H10" s="31">
        <f t="shared" si="5"/>
        <v>0.50808080808080813</v>
      </c>
      <c r="I10" s="5"/>
      <c r="J10" s="7">
        <v>4.46</v>
      </c>
      <c r="K10" s="7">
        <v>2.4500000000000002</v>
      </c>
      <c r="L10" s="7">
        <v>10.65</v>
      </c>
      <c r="M10" s="30">
        <f t="shared" si="6"/>
        <v>17.560000000000002</v>
      </c>
      <c r="N10" s="29">
        <f t="shared" si="7"/>
        <v>19.170000000000002</v>
      </c>
      <c r="O10" s="31">
        <f t="shared" si="8"/>
        <v>0.91601460615545127</v>
      </c>
      <c r="P10" s="31">
        <f t="shared" si="9"/>
        <v>0.25398633257403186</v>
      </c>
      <c r="Q10" s="31">
        <f t="shared" si="10"/>
        <v>0.13952164009111617</v>
      </c>
      <c r="R10" s="31">
        <f t="shared" si="11"/>
        <v>0.60649202733485186</v>
      </c>
      <c r="T10" s="3">
        <v>43976</v>
      </c>
      <c r="U10" s="8">
        <v>104000</v>
      </c>
      <c r="V10" s="8">
        <v>191700</v>
      </c>
      <c r="X10" s="3">
        <v>43976</v>
      </c>
      <c r="Y10" s="5">
        <v>4.2</v>
      </c>
      <c r="AA10" s="9"/>
      <c r="AB10" s="11"/>
      <c r="AC10" s="11"/>
      <c r="AD10" s="11"/>
      <c r="AE10" s="11"/>
      <c r="AF10" s="11"/>
      <c r="AG10" s="11"/>
    </row>
    <row r="11" spans="1:36">
      <c r="A11" s="3">
        <v>43983</v>
      </c>
      <c r="B11" s="7">
        <v>4.71</v>
      </c>
      <c r="C11" s="7">
        <v>4.26</v>
      </c>
      <c r="D11" s="30">
        <f t="shared" si="1"/>
        <v>8.9699999999999989</v>
      </c>
      <c r="E11" s="29">
        <f t="shared" si="2"/>
        <v>8.52</v>
      </c>
      <c r="F11" s="31">
        <f t="shared" si="3"/>
        <v>1.0528169014084505</v>
      </c>
      <c r="G11" s="31">
        <f t="shared" si="4"/>
        <v>0.52508361204013387</v>
      </c>
      <c r="H11" s="31">
        <f t="shared" si="5"/>
        <v>0.47491638795986624</v>
      </c>
      <c r="I11" s="5"/>
      <c r="J11" s="7">
        <v>3.93</v>
      </c>
      <c r="K11" s="7">
        <v>2.57</v>
      </c>
      <c r="L11" s="7">
        <v>10.82</v>
      </c>
      <c r="M11" s="30">
        <f t="shared" si="6"/>
        <v>17.32</v>
      </c>
      <c r="N11" s="29">
        <f t="shared" si="7"/>
        <v>17.88</v>
      </c>
      <c r="O11" s="31">
        <f t="shared" si="8"/>
        <v>0.9686800894854587</v>
      </c>
      <c r="P11" s="31">
        <f t="shared" si="9"/>
        <v>0.22690531177829099</v>
      </c>
      <c r="Q11" s="31">
        <f t="shared" si="10"/>
        <v>0.14838337182448036</v>
      </c>
      <c r="R11" s="31">
        <f t="shared" si="11"/>
        <v>0.62471131639722866</v>
      </c>
      <c r="T11" s="3">
        <v>43983</v>
      </c>
      <c r="U11" s="8">
        <v>85200</v>
      </c>
      <c r="V11" s="8">
        <v>178800</v>
      </c>
      <c r="X11" s="3">
        <v>43983</v>
      </c>
      <c r="Y11" s="5">
        <v>3.8</v>
      </c>
      <c r="AA11" s="9"/>
      <c r="AB11" s="11"/>
      <c r="AC11" s="11"/>
      <c r="AD11" s="11"/>
      <c r="AE11" s="11"/>
      <c r="AF11" s="11"/>
      <c r="AG11" s="11"/>
    </row>
    <row r="12" spans="1:36">
      <c r="A12" s="3">
        <v>43990</v>
      </c>
      <c r="B12" s="7">
        <v>5.09</v>
      </c>
      <c r="C12" s="7">
        <v>4.37</v>
      </c>
      <c r="D12" s="30">
        <f t="shared" si="1"/>
        <v>9.4600000000000009</v>
      </c>
      <c r="E12" s="29">
        <f t="shared" si="2"/>
        <v>10.41</v>
      </c>
      <c r="F12" s="31">
        <f t="shared" si="3"/>
        <v>0.90874159462055726</v>
      </c>
      <c r="G12" s="31">
        <f t="shared" si="4"/>
        <v>0.53805496828752641</v>
      </c>
      <c r="H12" s="31">
        <f t="shared" si="5"/>
        <v>0.46194503171247353</v>
      </c>
      <c r="I12" s="5"/>
      <c r="J12" s="7">
        <v>4.07</v>
      </c>
      <c r="K12" s="7">
        <v>1.66</v>
      </c>
      <c r="L12" s="7">
        <v>7.66</v>
      </c>
      <c r="M12" s="30">
        <f t="shared" si="6"/>
        <v>13.39</v>
      </c>
      <c r="N12" s="29">
        <f t="shared" si="7"/>
        <v>14.73</v>
      </c>
      <c r="O12" s="31">
        <f t="shared" si="8"/>
        <v>0.90902919212491518</v>
      </c>
      <c r="P12" s="31">
        <f t="shared" si="9"/>
        <v>0.3039581777445855</v>
      </c>
      <c r="Q12" s="31">
        <f t="shared" si="10"/>
        <v>0.12397311426437639</v>
      </c>
      <c r="R12" s="31">
        <f t="shared" si="11"/>
        <v>0.57206870799103804</v>
      </c>
      <c r="T12" s="3">
        <v>43990</v>
      </c>
      <c r="U12" s="8">
        <v>104100</v>
      </c>
      <c r="V12" s="8">
        <v>147300</v>
      </c>
      <c r="X12" s="3">
        <v>43990</v>
      </c>
      <c r="Y12" s="5">
        <v>4.4000000000000004</v>
      </c>
      <c r="AA12" s="9"/>
      <c r="AB12" s="11"/>
      <c r="AC12" s="11"/>
      <c r="AD12" s="11"/>
      <c r="AE12" s="11"/>
      <c r="AF12" s="11"/>
      <c r="AG12" s="11"/>
    </row>
    <row r="13" spans="1:36" ht="13.5" customHeight="1">
      <c r="A13" s="3">
        <v>43997</v>
      </c>
      <c r="B13" s="7">
        <v>4.83</v>
      </c>
      <c r="C13" s="7">
        <v>4.32</v>
      </c>
      <c r="D13" s="30">
        <f t="shared" si="1"/>
        <v>9.15</v>
      </c>
      <c r="E13" s="29">
        <f t="shared" si="2"/>
        <v>9.84</v>
      </c>
      <c r="F13" s="31">
        <f t="shared" si="3"/>
        <v>0.92987804878048785</v>
      </c>
      <c r="G13" s="31">
        <f t="shared" si="4"/>
        <v>0.52786885245901638</v>
      </c>
      <c r="H13" s="31">
        <f t="shared" si="5"/>
        <v>0.47213114754098362</v>
      </c>
      <c r="I13" s="5"/>
      <c r="J13" s="7">
        <v>3.9</v>
      </c>
      <c r="K13" s="7">
        <v>1.81</v>
      </c>
      <c r="L13" s="7">
        <v>7.49</v>
      </c>
      <c r="M13" s="30">
        <f t="shared" si="6"/>
        <v>13.2</v>
      </c>
      <c r="N13" s="29">
        <f t="shared" si="7"/>
        <v>14.19</v>
      </c>
      <c r="O13" s="31">
        <f t="shared" si="8"/>
        <v>0.93023255813953487</v>
      </c>
      <c r="P13" s="31">
        <f t="shared" si="9"/>
        <v>0.29545454545454547</v>
      </c>
      <c r="Q13" s="31">
        <f t="shared" si="10"/>
        <v>0.13712121212121214</v>
      </c>
      <c r="R13" s="31">
        <f t="shared" si="11"/>
        <v>0.5674242424242425</v>
      </c>
      <c r="T13" s="3">
        <v>43997</v>
      </c>
      <c r="U13" s="8">
        <v>98400</v>
      </c>
      <c r="V13" s="8">
        <v>141900</v>
      </c>
      <c r="X13" s="3">
        <v>43997</v>
      </c>
      <c r="Y13" s="5">
        <v>4.3</v>
      </c>
      <c r="AA13" s="9"/>
      <c r="AB13" s="11"/>
      <c r="AC13" s="11"/>
      <c r="AD13" s="11"/>
      <c r="AE13" s="11"/>
      <c r="AF13" s="11"/>
      <c r="AG13" s="11"/>
    </row>
    <row r="14" spans="1:36">
      <c r="A14" s="3">
        <v>44004</v>
      </c>
      <c r="B14" s="7">
        <v>5.34</v>
      </c>
      <c r="C14" s="7">
        <v>4.7</v>
      </c>
      <c r="D14" s="30">
        <f t="shared" si="1"/>
        <v>10.039999999999999</v>
      </c>
      <c r="E14" s="29">
        <f t="shared" si="2"/>
        <v>9.7899999999999991</v>
      </c>
      <c r="F14" s="31">
        <f t="shared" si="3"/>
        <v>1.0255362614913177</v>
      </c>
      <c r="G14" s="31">
        <f t="shared" si="4"/>
        <v>0.53187250996015945</v>
      </c>
      <c r="H14" s="31">
        <f t="shared" si="5"/>
        <v>0.46812749003984072</v>
      </c>
      <c r="I14" s="5"/>
      <c r="J14" s="7">
        <v>3.06</v>
      </c>
      <c r="K14" s="7">
        <v>1.28</v>
      </c>
      <c r="L14" s="7">
        <v>6.82</v>
      </c>
      <c r="M14" s="30">
        <f t="shared" si="6"/>
        <v>11.16</v>
      </c>
      <c r="N14" s="29">
        <f t="shared" si="7"/>
        <v>9.92</v>
      </c>
      <c r="O14" s="31">
        <f t="shared" si="8"/>
        <v>1.125</v>
      </c>
      <c r="P14" s="31">
        <f t="shared" si="9"/>
        <v>0.27419354838709675</v>
      </c>
      <c r="Q14" s="31">
        <f t="shared" si="10"/>
        <v>0.11469534050179211</v>
      </c>
      <c r="R14" s="31">
        <f t="shared" si="11"/>
        <v>0.61111111111111116</v>
      </c>
      <c r="T14" s="3">
        <v>44004</v>
      </c>
      <c r="U14" s="8">
        <v>97900</v>
      </c>
      <c r="V14" s="8">
        <v>99200</v>
      </c>
      <c r="X14" s="3">
        <v>44004</v>
      </c>
      <c r="Y14" s="5">
        <v>3.9</v>
      </c>
      <c r="AA14" s="9"/>
      <c r="AB14" s="11"/>
      <c r="AC14" s="11"/>
      <c r="AD14" s="11"/>
      <c r="AE14" s="11"/>
      <c r="AF14" s="11"/>
      <c r="AG14" s="11"/>
    </row>
    <row r="15" spans="1:36">
      <c r="A15" s="3">
        <v>44081</v>
      </c>
      <c r="B15" s="7">
        <v>3.56</v>
      </c>
      <c r="C15" s="7">
        <v>3.04</v>
      </c>
      <c r="D15" s="30">
        <f t="shared" si="1"/>
        <v>6.6</v>
      </c>
      <c r="E15" s="29">
        <f t="shared" si="2"/>
        <v>6.1</v>
      </c>
      <c r="F15" s="31">
        <f t="shared" si="3"/>
        <v>1.0819672131147542</v>
      </c>
      <c r="G15" s="31">
        <f t="shared" si="4"/>
        <v>0.53939393939393943</v>
      </c>
      <c r="H15" s="31">
        <f t="shared" si="5"/>
        <v>0.46060606060606063</v>
      </c>
      <c r="I15" s="5"/>
      <c r="J15" s="7">
        <v>2.72</v>
      </c>
      <c r="K15" s="7">
        <v>2.2799999999999998</v>
      </c>
      <c r="L15" s="7">
        <v>8.66</v>
      </c>
      <c r="M15" s="30">
        <f t="shared" si="6"/>
        <v>13.66</v>
      </c>
      <c r="N15" s="29">
        <f t="shared" si="7"/>
        <v>12.64</v>
      </c>
      <c r="O15" s="31">
        <f t="shared" si="8"/>
        <v>1.0806962025316456</v>
      </c>
      <c r="P15" s="31">
        <f t="shared" si="9"/>
        <v>0.19912152269399708</v>
      </c>
      <c r="Q15" s="31">
        <f t="shared" si="10"/>
        <v>0.16691068814055635</v>
      </c>
      <c r="R15" s="31">
        <f t="shared" si="11"/>
        <v>0.6339677891654466</v>
      </c>
      <c r="T15" s="3">
        <v>44081</v>
      </c>
      <c r="U15" s="8">
        <v>61000</v>
      </c>
      <c r="V15" s="8">
        <v>126400</v>
      </c>
      <c r="X15" s="3">
        <v>44081</v>
      </c>
      <c r="Y15" s="5">
        <v>3.7</v>
      </c>
      <c r="AA15" s="3">
        <v>44081</v>
      </c>
      <c r="AB15" s="12">
        <v>10.89</v>
      </c>
      <c r="AC15" s="12">
        <v>8.5</v>
      </c>
      <c r="AD15" s="12"/>
      <c r="AE15" s="12">
        <v>11.37</v>
      </c>
      <c r="AF15" s="12">
        <v>6.78</v>
      </c>
      <c r="AG15" s="12">
        <v>6.55</v>
      </c>
      <c r="AI15" s="1"/>
      <c r="AJ15" s="1"/>
    </row>
    <row r="16" spans="1:36">
      <c r="A16" s="3">
        <v>44088</v>
      </c>
      <c r="B16" s="7">
        <v>3.69</v>
      </c>
      <c r="C16" s="7">
        <v>3.1</v>
      </c>
      <c r="D16" s="30">
        <f t="shared" si="1"/>
        <v>6.79</v>
      </c>
      <c r="E16" s="29">
        <f t="shared" si="2"/>
        <v>6.45</v>
      </c>
      <c r="F16" s="31">
        <f t="shared" si="3"/>
        <v>1.0527131782945736</v>
      </c>
      <c r="G16" s="31">
        <f t="shared" si="4"/>
        <v>0.54344624447717227</v>
      </c>
      <c r="H16" s="31">
        <f t="shared" si="5"/>
        <v>0.45655375552282768</v>
      </c>
      <c r="I16" s="5"/>
      <c r="J16" s="7">
        <v>4.24</v>
      </c>
      <c r="K16" s="7">
        <v>2.04</v>
      </c>
      <c r="L16" s="7">
        <v>8.66</v>
      </c>
      <c r="M16" s="30">
        <f t="shared" si="6"/>
        <v>14.940000000000001</v>
      </c>
      <c r="N16" s="29">
        <f t="shared" si="7"/>
        <v>14.19</v>
      </c>
      <c r="O16" s="31">
        <f t="shared" si="8"/>
        <v>1.0528541226215646</v>
      </c>
      <c r="P16" s="31">
        <f t="shared" si="9"/>
        <v>0.28380187416331992</v>
      </c>
      <c r="Q16" s="31">
        <f t="shared" si="10"/>
        <v>0.1365461847389558</v>
      </c>
      <c r="R16" s="31">
        <f t="shared" si="11"/>
        <v>0.57965194109772422</v>
      </c>
      <c r="T16" s="3">
        <v>44088</v>
      </c>
      <c r="U16" s="8">
        <v>64500</v>
      </c>
      <c r="V16" s="8">
        <v>141900</v>
      </c>
      <c r="X16" s="3">
        <v>44088</v>
      </c>
      <c r="Y16" s="5">
        <v>3.8</v>
      </c>
      <c r="AA16" s="3">
        <v>44088</v>
      </c>
      <c r="AB16" s="12">
        <v>9.58</v>
      </c>
      <c r="AC16" s="12">
        <v>7.6</v>
      </c>
      <c r="AD16" s="12"/>
      <c r="AE16" s="12">
        <v>8.42</v>
      </c>
      <c r="AF16" s="12">
        <v>8.75</v>
      </c>
      <c r="AG16" s="12">
        <v>7.56</v>
      </c>
      <c r="AI16" s="11"/>
      <c r="AJ16" s="11"/>
    </row>
    <row r="17" spans="1:46">
      <c r="A17" s="3">
        <v>44095</v>
      </c>
      <c r="B17" s="7">
        <v>5.72</v>
      </c>
      <c r="C17" s="7">
        <v>5.09</v>
      </c>
      <c r="D17" s="30">
        <f t="shared" si="1"/>
        <v>10.809999999999999</v>
      </c>
      <c r="E17" s="29">
        <f t="shared" si="2"/>
        <v>11.08</v>
      </c>
      <c r="F17" s="31">
        <f t="shared" si="3"/>
        <v>0.97563176895306847</v>
      </c>
      <c r="G17" s="31">
        <f t="shared" si="4"/>
        <v>0.52913968547641077</v>
      </c>
      <c r="H17" s="31">
        <f t="shared" si="5"/>
        <v>0.47086031452358929</v>
      </c>
      <c r="I17" s="5"/>
      <c r="J17" s="7">
        <v>4.5999999999999996</v>
      </c>
      <c r="K17" s="7">
        <v>2.42</v>
      </c>
      <c r="L17" s="7">
        <v>9.99</v>
      </c>
      <c r="M17" s="30">
        <f t="shared" si="6"/>
        <v>17.009999999999998</v>
      </c>
      <c r="N17" s="29">
        <f t="shared" si="7"/>
        <v>19.48</v>
      </c>
      <c r="O17" s="31">
        <f t="shared" si="8"/>
        <v>0.87320328542094439</v>
      </c>
      <c r="P17" s="31">
        <f t="shared" si="9"/>
        <v>0.27042915931804823</v>
      </c>
      <c r="Q17" s="31">
        <f t="shared" si="10"/>
        <v>0.1422692533803645</v>
      </c>
      <c r="R17" s="31">
        <f t="shared" si="11"/>
        <v>0.58730158730158744</v>
      </c>
      <c r="T17" s="3">
        <v>44095</v>
      </c>
      <c r="U17" s="8">
        <v>110800</v>
      </c>
      <c r="V17" s="8">
        <v>194800</v>
      </c>
      <c r="X17" s="3">
        <v>44095</v>
      </c>
      <c r="Y17" s="5">
        <v>4.0999999999999996</v>
      </c>
      <c r="AA17" s="3">
        <v>44095</v>
      </c>
      <c r="AB17" s="12">
        <v>7.83</v>
      </c>
      <c r="AC17" s="12">
        <v>5.87</v>
      </c>
      <c r="AD17" s="12"/>
      <c r="AE17" s="12">
        <v>7.8</v>
      </c>
      <c r="AF17" s="12">
        <v>7.41</v>
      </c>
      <c r="AG17" s="12">
        <v>6.59</v>
      </c>
      <c r="AI17" s="11"/>
      <c r="AJ17" s="11"/>
    </row>
    <row r="18" spans="1:46">
      <c r="A18" s="3">
        <v>44102</v>
      </c>
      <c r="B18" s="7">
        <v>3.54</v>
      </c>
      <c r="C18" s="7">
        <v>2.4</v>
      </c>
      <c r="D18" s="30">
        <f t="shared" si="1"/>
        <v>5.9399999999999995</v>
      </c>
      <c r="E18" s="29">
        <f t="shared" si="2"/>
        <v>5.35</v>
      </c>
      <c r="F18" s="31">
        <f t="shared" si="3"/>
        <v>1.1102803738317757</v>
      </c>
      <c r="G18" s="31">
        <f t="shared" si="4"/>
        <v>0.59595959595959602</v>
      </c>
      <c r="H18" s="31">
        <f t="shared" si="5"/>
        <v>0.40404040404040403</v>
      </c>
      <c r="I18" s="5"/>
      <c r="J18" s="7">
        <v>4.5599999999999996</v>
      </c>
      <c r="K18" s="7">
        <v>2.93</v>
      </c>
      <c r="L18" s="7">
        <v>8.49</v>
      </c>
      <c r="M18" s="30">
        <f t="shared" si="6"/>
        <v>15.98</v>
      </c>
      <c r="N18" s="29">
        <f t="shared" si="7"/>
        <v>14.56</v>
      </c>
      <c r="O18" s="31">
        <f t="shared" si="8"/>
        <v>1.0975274725274726</v>
      </c>
      <c r="P18" s="31">
        <f t="shared" si="9"/>
        <v>0.28535669586983725</v>
      </c>
      <c r="Q18" s="31">
        <f t="shared" si="10"/>
        <v>0.18335419274092615</v>
      </c>
      <c r="R18" s="31">
        <f t="shared" si="11"/>
        <v>0.53128911138923651</v>
      </c>
      <c r="T18" s="3">
        <v>44102</v>
      </c>
      <c r="U18" s="8">
        <v>53500</v>
      </c>
      <c r="V18" s="8">
        <v>145600</v>
      </c>
      <c r="X18" s="3">
        <v>44102</v>
      </c>
      <c r="Y18" s="5">
        <v>3.6</v>
      </c>
      <c r="AA18" s="3">
        <v>44102</v>
      </c>
      <c r="AB18" s="12">
        <v>9.9</v>
      </c>
      <c r="AC18" s="12">
        <v>9.73</v>
      </c>
      <c r="AD18" s="12"/>
      <c r="AE18" s="12">
        <v>7.61</v>
      </c>
      <c r="AF18" s="12">
        <v>5.92</v>
      </c>
      <c r="AG18" s="12">
        <v>7.49</v>
      </c>
      <c r="AI18" s="11"/>
      <c r="AJ18" s="11"/>
    </row>
    <row r="19" spans="1:46">
      <c r="A19" s="3">
        <v>44109</v>
      </c>
      <c r="B19" s="7">
        <v>3.43</v>
      </c>
      <c r="C19" s="7">
        <v>2.93</v>
      </c>
      <c r="D19" s="30">
        <f t="shared" si="1"/>
        <v>6.36</v>
      </c>
      <c r="E19" s="29">
        <f t="shared" si="2"/>
        <v>6.2</v>
      </c>
      <c r="F19" s="31">
        <f t="shared" si="3"/>
        <v>1.0258064516129033</v>
      </c>
      <c r="G19" s="31">
        <f t="shared" si="4"/>
        <v>0.53930817610062898</v>
      </c>
      <c r="H19" s="31">
        <f t="shared" si="5"/>
        <v>0.46069182389937108</v>
      </c>
      <c r="I19" s="5"/>
      <c r="J19" s="7">
        <v>4.75</v>
      </c>
      <c r="K19" s="7">
        <v>2.19</v>
      </c>
      <c r="L19" s="7">
        <v>9.49</v>
      </c>
      <c r="M19" s="30">
        <f t="shared" si="6"/>
        <v>16.43</v>
      </c>
      <c r="N19" s="29">
        <f t="shared" si="7"/>
        <v>16.02</v>
      </c>
      <c r="O19" s="31">
        <f t="shared" si="8"/>
        <v>1.0255930087390761</v>
      </c>
      <c r="P19" s="31">
        <f t="shared" si="9"/>
        <v>0.28910529519172246</v>
      </c>
      <c r="Q19" s="31">
        <f t="shared" si="10"/>
        <v>0.13329275715155203</v>
      </c>
      <c r="R19" s="31">
        <f t="shared" si="11"/>
        <v>0.57760194765672557</v>
      </c>
      <c r="T19" s="3">
        <v>44109</v>
      </c>
      <c r="U19" s="8">
        <v>62000</v>
      </c>
      <c r="V19" s="8">
        <v>160200</v>
      </c>
      <c r="X19" s="3">
        <v>44109</v>
      </c>
      <c r="Y19" s="5">
        <v>3.9</v>
      </c>
      <c r="AA19" s="3">
        <v>44109</v>
      </c>
      <c r="AB19" s="12">
        <v>10.72</v>
      </c>
      <c r="AC19" s="12">
        <v>8.3699999999999992</v>
      </c>
      <c r="AD19" s="12"/>
      <c r="AE19" s="12">
        <v>8.16</v>
      </c>
      <c r="AF19" s="12">
        <v>8.84</v>
      </c>
      <c r="AG19" s="12">
        <v>7.48</v>
      </c>
      <c r="AI19" s="11"/>
      <c r="AJ19" s="11"/>
    </row>
    <row r="20" spans="1:46">
      <c r="A20" s="3">
        <v>44116</v>
      </c>
      <c r="B20" s="7">
        <v>5.47</v>
      </c>
      <c r="C20" s="7">
        <v>4.87</v>
      </c>
      <c r="D20" s="30">
        <f t="shared" si="1"/>
        <v>10.34</v>
      </c>
      <c r="E20" s="29">
        <f t="shared" si="2"/>
        <v>10.34</v>
      </c>
      <c r="F20" s="31">
        <f t="shared" si="3"/>
        <v>1</v>
      </c>
      <c r="G20" s="31">
        <f t="shared" si="4"/>
        <v>0.52901353965183751</v>
      </c>
      <c r="H20" s="31">
        <f t="shared" si="5"/>
        <v>0.47098646034816249</v>
      </c>
      <c r="I20" s="5"/>
      <c r="J20" s="7">
        <v>4.92</v>
      </c>
      <c r="K20" s="7">
        <v>2.34</v>
      </c>
      <c r="L20" s="7">
        <v>9.99</v>
      </c>
      <c r="M20" s="30">
        <f t="shared" si="6"/>
        <v>17.25</v>
      </c>
      <c r="N20" s="29">
        <f t="shared" si="7"/>
        <v>17.25</v>
      </c>
      <c r="O20" s="31">
        <f t="shared" si="8"/>
        <v>1</v>
      </c>
      <c r="P20" s="31">
        <f t="shared" si="9"/>
        <v>0.28521739130434781</v>
      </c>
      <c r="Q20" s="31">
        <f t="shared" si="10"/>
        <v>0.13565217391304346</v>
      </c>
      <c r="R20" s="31">
        <f t="shared" si="11"/>
        <v>0.57913043478260873</v>
      </c>
      <c r="T20" s="3">
        <v>44116</v>
      </c>
      <c r="U20" s="8">
        <v>103400</v>
      </c>
      <c r="V20" s="8">
        <v>172500</v>
      </c>
      <c r="X20" s="3">
        <v>44116</v>
      </c>
      <c r="Y20" s="5">
        <v>4</v>
      </c>
      <c r="AA20" s="3">
        <v>44116</v>
      </c>
      <c r="AB20" s="12">
        <v>7.47</v>
      </c>
      <c r="AC20" s="12">
        <v>5.59</v>
      </c>
      <c r="AD20" s="12"/>
      <c r="AE20" s="12">
        <v>6.97</v>
      </c>
      <c r="AF20" s="12">
        <v>7.33</v>
      </c>
      <c r="AG20" s="12">
        <v>6.3</v>
      </c>
      <c r="AI20" s="11"/>
      <c r="AJ20" s="11"/>
    </row>
    <row r="21" spans="1:46">
      <c r="A21" s="3">
        <v>44123</v>
      </c>
      <c r="B21" s="7">
        <v>6.11</v>
      </c>
      <c r="C21" s="7">
        <v>5.2</v>
      </c>
      <c r="D21" s="30">
        <f t="shared" si="1"/>
        <v>11.31</v>
      </c>
      <c r="E21" s="29">
        <f t="shared" si="2"/>
        <v>11.88</v>
      </c>
      <c r="F21" s="31">
        <f t="shared" si="3"/>
        <v>0.95202020202020199</v>
      </c>
      <c r="G21" s="31">
        <f t="shared" si="4"/>
        <v>0.54022988505747127</v>
      </c>
      <c r="H21" s="31">
        <f t="shared" si="5"/>
        <v>0.45977011494252873</v>
      </c>
      <c r="I21" s="5"/>
      <c r="J21" s="7">
        <v>4.92</v>
      </c>
      <c r="K21" s="7">
        <v>2.04</v>
      </c>
      <c r="L21" s="7">
        <v>9.66</v>
      </c>
      <c r="M21" s="30">
        <f t="shared" si="6"/>
        <v>16.62</v>
      </c>
      <c r="N21" s="29">
        <f t="shared" si="7"/>
        <v>17.45</v>
      </c>
      <c r="O21" s="31">
        <f t="shared" si="8"/>
        <v>0.95243553008595994</v>
      </c>
      <c r="P21" s="31">
        <f t="shared" si="9"/>
        <v>0.29602888086642598</v>
      </c>
      <c r="Q21" s="31">
        <f t="shared" si="10"/>
        <v>0.12274368231046931</v>
      </c>
      <c r="R21" s="31">
        <f t="shared" si="11"/>
        <v>0.58122743682310463</v>
      </c>
      <c r="T21" s="3">
        <v>44123</v>
      </c>
      <c r="U21" s="8">
        <v>118800</v>
      </c>
      <c r="V21" s="8">
        <v>174500</v>
      </c>
      <c r="X21" s="3">
        <v>44123</v>
      </c>
      <c r="Y21" s="5">
        <v>4.2</v>
      </c>
      <c r="AA21" s="3">
        <v>44123</v>
      </c>
      <c r="AB21" s="12">
        <v>7.5</v>
      </c>
      <c r="AC21" s="12">
        <v>5.87</v>
      </c>
      <c r="AD21" s="12"/>
      <c r="AE21" s="12">
        <v>7.96</v>
      </c>
      <c r="AF21" s="12">
        <v>9.6</v>
      </c>
      <c r="AG21" s="12">
        <v>7.44</v>
      </c>
      <c r="AI21" s="11"/>
      <c r="AJ21" s="11"/>
    </row>
    <row r="22" spans="1:46">
      <c r="A22" s="3">
        <v>44130</v>
      </c>
      <c r="B22" s="7">
        <v>4.18</v>
      </c>
      <c r="C22" s="7">
        <v>3.71</v>
      </c>
      <c r="D22" s="30">
        <f t="shared" si="1"/>
        <v>7.89</v>
      </c>
      <c r="E22" s="29">
        <f t="shared" si="2"/>
        <v>7.3</v>
      </c>
      <c r="F22" s="31">
        <f t="shared" si="3"/>
        <v>1.0808219178082192</v>
      </c>
      <c r="G22" s="31">
        <f t="shared" si="4"/>
        <v>0.52978453738910014</v>
      </c>
      <c r="H22" s="31">
        <f t="shared" si="5"/>
        <v>0.47021546261089991</v>
      </c>
      <c r="I22" s="5"/>
      <c r="J22" s="7">
        <v>4.55</v>
      </c>
      <c r="K22" s="7">
        <v>2.13</v>
      </c>
      <c r="L22" s="7">
        <v>8.16</v>
      </c>
      <c r="M22" s="30">
        <f t="shared" si="6"/>
        <v>14.84</v>
      </c>
      <c r="N22" s="29">
        <f>V22/10000</f>
        <v>13.73</v>
      </c>
      <c r="O22" s="31">
        <f t="shared" si="8"/>
        <v>1.0808448652585578</v>
      </c>
      <c r="P22" s="31">
        <f t="shared" si="9"/>
        <v>0.30660377358490565</v>
      </c>
      <c r="Q22" s="31">
        <f t="shared" si="10"/>
        <v>0.14353099730458221</v>
      </c>
      <c r="R22" s="31">
        <f t="shared" si="11"/>
        <v>0.54986522911051217</v>
      </c>
      <c r="T22" s="3">
        <v>44130</v>
      </c>
      <c r="U22" s="8">
        <v>73000</v>
      </c>
      <c r="V22" s="8">
        <v>137300</v>
      </c>
      <c r="X22" s="3">
        <v>44130</v>
      </c>
      <c r="Y22" s="5">
        <v>3.7</v>
      </c>
      <c r="AA22" s="3">
        <v>44130</v>
      </c>
      <c r="AB22" s="12">
        <v>8.4600000000000009</v>
      </c>
      <c r="AC22" s="12">
        <v>6.36</v>
      </c>
      <c r="AD22" s="12"/>
      <c r="AE22" s="12">
        <v>7.85</v>
      </c>
      <c r="AF22" s="12">
        <v>8.3800000000000008</v>
      </c>
      <c r="AG22" s="12">
        <v>8.02</v>
      </c>
      <c r="AI22" s="11"/>
      <c r="AJ22" s="11"/>
    </row>
    <row r="23" spans="1:46" ht="15" customHeight="1">
      <c r="A23" s="3"/>
      <c r="E23" s="7"/>
      <c r="F23" s="1">
        <f>CORREL(F7:F22,Y7:Y22)</f>
        <v>-0.99850245379736735</v>
      </c>
      <c r="T23" s="3"/>
      <c r="X23" s="3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46">
      <c r="A24" s="2" t="s">
        <v>2</v>
      </c>
      <c r="B24" s="7">
        <f>AVERAGE(B7:B23)</f>
        <v>4.5637500000000006</v>
      </c>
      <c r="C24" s="7">
        <f>AVERAGE(C7:C23)</f>
        <v>3.9974999999999996</v>
      </c>
      <c r="F24" s="47">
        <f>AVERAGE(F7:F22)</f>
        <v>1.002965568257929</v>
      </c>
      <c r="G24" s="7"/>
      <c r="H24" s="7"/>
      <c r="I24" s="7"/>
      <c r="J24" s="7">
        <f t="shared" ref="J24:L24" si="12">AVERAGE(J7:J23)</f>
        <v>4.2156250000000002</v>
      </c>
      <c r="K24" s="7">
        <f t="shared" si="12"/>
        <v>2.129375</v>
      </c>
      <c r="L24" s="7">
        <f t="shared" si="12"/>
        <v>9.0212499999999984</v>
      </c>
      <c r="M24" s="7"/>
      <c r="N24" s="7"/>
      <c r="O24" s="32">
        <f>AVERAGE(O7:O22)</f>
        <v>0.98916280611217522</v>
      </c>
      <c r="P24" s="32"/>
      <c r="Q24" s="32"/>
      <c r="R24" s="32"/>
      <c r="T24" s="2" t="s">
        <v>2</v>
      </c>
      <c r="U24" s="8">
        <f>AVERAGE(U7:U23)</f>
        <v>86250</v>
      </c>
      <c r="V24" s="8">
        <f>AVERAGE(V7:V23)</f>
        <v>157562.5</v>
      </c>
      <c r="X24" s="2" t="s">
        <v>2</v>
      </c>
      <c r="Y24" s="7">
        <f>AVERAGE(Y7:Y23)</f>
        <v>4.0062500000000005</v>
      </c>
      <c r="AA24" s="3" t="s">
        <v>2</v>
      </c>
      <c r="AB24" s="12">
        <v>9.0437499999999993</v>
      </c>
      <c r="AC24" s="12">
        <v>7.2362499999999992</v>
      </c>
      <c r="AD24" s="12"/>
      <c r="AE24" s="12">
        <v>8.2675000000000001</v>
      </c>
      <c r="AF24" s="12">
        <v>7.8762500000000006</v>
      </c>
      <c r="AG24" s="12">
        <v>7.1787499999999991</v>
      </c>
    </row>
    <row r="25" spans="1:46" ht="13.5" thickBot="1">
      <c r="B25" s="7">
        <f>SUM(B24:C24)</f>
        <v>8.5612500000000011</v>
      </c>
      <c r="C25" s="7"/>
      <c r="D25" s="7">
        <f>35.7*AB24+30.34*AC24</f>
        <v>542.40969999999993</v>
      </c>
      <c r="E25" s="7"/>
      <c r="F25" s="7"/>
      <c r="G25" s="7" t="s">
        <v>113</v>
      </c>
      <c r="H25" s="7" t="s">
        <v>114</v>
      </c>
      <c r="I25" s="7" t="s">
        <v>115</v>
      </c>
      <c r="J25" s="7"/>
      <c r="K25" s="7"/>
      <c r="L25" s="4"/>
      <c r="M25" s="4"/>
      <c r="N25" s="4"/>
      <c r="O25" s="4"/>
      <c r="P25" s="4"/>
      <c r="Q25" s="4"/>
      <c r="R25" s="4"/>
      <c r="V25" s="8">
        <f>SUM(U24:V24)</f>
        <v>243812.5</v>
      </c>
      <c r="AA25" s="3"/>
      <c r="AQ25" t="s">
        <v>15</v>
      </c>
      <c r="AR25" t="s">
        <v>17</v>
      </c>
      <c r="AT25" t="s">
        <v>18</v>
      </c>
    </row>
    <row r="26" spans="1:46" ht="15.75" thickBot="1">
      <c r="B26" s="5">
        <f>B24*52</f>
        <v>237.31500000000003</v>
      </c>
      <c r="C26" s="1">
        <f>C24*52</f>
        <v>207.86999999999998</v>
      </c>
      <c r="G26" s="5">
        <f>B26+J26</f>
        <v>456.52750000000003</v>
      </c>
      <c r="H26" s="1">
        <f>K26+C26</f>
        <v>318.59749999999997</v>
      </c>
      <c r="I26" s="1">
        <f>L26</f>
        <v>469.1049999999999</v>
      </c>
      <c r="J26" s="1">
        <f>J24*52</f>
        <v>219.21250000000001</v>
      </c>
      <c r="K26" s="1">
        <f>K24*52</f>
        <v>110.72750000000001</v>
      </c>
      <c r="L26" s="1">
        <f>L24*52</f>
        <v>469.1049999999999</v>
      </c>
      <c r="U26" s="8">
        <f>SUM(U7:U22)</f>
        <v>1380000</v>
      </c>
      <c r="V26" s="8">
        <f>SUM(V7:V22)</f>
        <v>2521000</v>
      </c>
      <c r="W26" s="17"/>
      <c r="X26" s="18" t="s">
        <v>5</v>
      </c>
      <c r="Y26" s="18" t="s">
        <v>6</v>
      </c>
      <c r="Z26" s="18" t="s">
        <v>7</v>
      </c>
      <c r="AA26" s="3"/>
      <c r="AN26">
        <f>AR26*Y15</f>
        <v>166411.20000000001</v>
      </c>
      <c r="AP26" s="3">
        <v>44081</v>
      </c>
      <c r="AQ26">
        <v>167716.20000000001</v>
      </c>
      <c r="AR26">
        <v>44976</v>
      </c>
      <c r="AS26">
        <f>AQ26-AR26</f>
        <v>122740.20000000001</v>
      </c>
      <c r="AT26" s="24">
        <f>1-AR26/AQ26</f>
        <v>0.73183270310202597</v>
      </c>
    </row>
    <row r="27" spans="1:46" ht="15.75" thickBot="1">
      <c r="J27" s="8"/>
      <c r="W27" s="19" t="s">
        <v>4</v>
      </c>
      <c r="X27" s="20">
        <v>0.6</v>
      </c>
      <c r="Y27" s="20">
        <v>0.4</v>
      </c>
      <c r="Z27" s="21" t="s">
        <v>14</v>
      </c>
      <c r="AA27" s="3"/>
      <c r="AN27">
        <f t="shared" ref="AN27:AN32" si="13">AR27*Y16</f>
        <v>188236.79999999999</v>
      </c>
      <c r="AP27" s="3">
        <v>44088</v>
      </c>
      <c r="AQ27">
        <v>177930.60000000003</v>
      </c>
      <c r="AR27">
        <v>49536</v>
      </c>
      <c r="AS27">
        <f t="shared" ref="AS27:AS33" si="14">AQ27-AR27</f>
        <v>128394.60000000003</v>
      </c>
      <c r="AT27" s="24">
        <f t="shared" ref="AT27:AT33" si="15">1-AR27/AQ27</f>
        <v>0.72159932018438655</v>
      </c>
    </row>
    <row r="28" spans="1:46" ht="15.75" thickBot="1">
      <c r="J28" s="8"/>
      <c r="U28" s="8">
        <f>SUM(U26:V26)</f>
        <v>3901000</v>
      </c>
      <c r="W28" s="19" t="s">
        <v>8</v>
      </c>
      <c r="X28" s="20">
        <v>0.3</v>
      </c>
      <c r="Y28" s="20">
        <v>0.25</v>
      </c>
      <c r="Z28" s="20">
        <v>0.45</v>
      </c>
      <c r="AA28" s="3"/>
      <c r="AN28">
        <f t="shared" si="13"/>
        <v>300710.39999999997</v>
      </c>
      <c r="AP28" s="3">
        <v>44095</v>
      </c>
      <c r="AQ28">
        <v>194312.19999999998</v>
      </c>
      <c r="AR28">
        <v>73344</v>
      </c>
      <c r="AS28">
        <f t="shared" si="14"/>
        <v>120968.19999999998</v>
      </c>
      <c r="AT28" s="24">
        <f t="shared" si="15"/>
        <v>0.62254557356666229</v>
      </c>
    </row>
    <row r="29" spans="1:46">
      <c r="J29" s="8"/>
      <c r="U29" s="16">
        <f>U28*24</f>
        <v>93624000</v>
      </c>
      <c r="AA29" s="3"/>
      <c r="AN29">
        <f t="shared" si="13"/>
        <v>172022.39999999999</v>
      </c>
      <c r="AP29" s="3">
        <v>44102</v>
      </c>
      <c r="AQ29">
        <v>174035.30000000002</v>
      </c>
      <c r="AR29">
        <v>47784</v>
      </c>
      <c r="AS29">
        <f t="shared" si="14"/>
        <v>126251.30000000002</v>
      </c>
      <c r="AT29" s="24">
        <f t="shared" si="15"/>
        <v>0.72543501232221286</v>
      </c>
    </row>
    <row r="30" spans="1:46">
      <c r="J30" s="8"/>
      <c r="U30" t="s">
        <v>13</v>
      </c>
      <c r="V30" s="1" t="s">
        <v>4</v>
      </c>
      <c r="X30" s="34" t="s">
        <v>37</v>
      </c>
      <c r="Y30" s="33" t="s">
        <v>36</v>
      </c>
      <c r="AA30" s="34" t="s">
        <v>35</v>
      </c>
      <c r="AB30" s="33" t="s">
        <v>34</v>
      </c>
      <c r="AC30" s="34" t="s">
        <v>30</v>
      </c>
      <c r="AD30" s="33" t="s">
        <v>27</v>
      </c>
      <c r="AE30" s="33" t="s">
        <v>28</v>
      </c>
      <c r="AF30" s="33" t="s">
        <v>29</v>
      </c>
      <c r="AG30" s="1" t="s">
        <v>8</v>
      </c>
      <c r="AH30" s="1"/>
      <c r="AI30" s="1"/>
      <c r="AN30">
        <f t="shared" si="13"/>
        <v>207979.19999999998</v>
      </c>
      <c r="AP30" s="3">
        <v>44109</v>
      </c>
      <c r="AQ30">
        <v>190398.5</v>
      </c>
      <c r="AR30">
        <v>53328</v>
      </c>
      <c r="AS30">
        <f t="shared" si="14"/>
        <v>137070.5</v>
      </c>
      <c r="AT30" s="24">
        <f t="shared" si="15"/>
        <v>0.71991375982478856</v>
      </c>
    </row>
    <row r="31" spans="1:46">
      <c r="J31" s="8"/>
      <c r="AG31" s="11" t="s">
        <v>5</v>
      </c>
      <c r="AH31" s="11" t="s">
        <v>6</v>
      </c>
      <c r="AI31" s="11" t="s">
        <v>7</v>
      </c>
      <c r="AL31" t="s">
        <v>16</v>
      </c>
      <c r="AN31">
        <f t="shared" si="13"/>
        <v>264864</v>
      </c>
      <c r="AP31" s="3">
        <v>44116</v>
      </c>
      <c r="AQ31">
        <v>182465.8</v>
      </c>
      <c r="AR31">
        <v>66216</v>
      </c>
      <c r="AS31">
        <f t="shared" si="14"/>
        <v>116249.79999999999</v>
      </c>
      <c r="AT31" s="24">
        <f t="shared" si="15"/>
        <v>0.63710459713546319</v>
      </c>
    </row>
    <row r="32" spans="1:46">
      <c r="J32" s="8"/>
      <c r="T32" s="11" t="s">
        <v>5</v>
      </c>
      <c r="U32" s="11" t="s">
        <v>6</v>
      </c>
      <c r="Y32">
        <f>AC32/AC43</f>
        <v>0.8539325842696629</v>
      </c>
      <c r="Z32">
        <f>AA32*AB32</f>
        <v>65811.680000000008</v>
      </c>
      <c r="AA32" s="8">
        <v>61000</v>
      </c>
      <c r="AB32" s="35">
        <f>(-0.2476*Y15+ 1.995)</f>
        <v>1.0788800000000001</v>
      </c>
      <c r="AC32">
        <f>C15*1000</f>
        <v>3040</v>
      </c>
      <c r="AD32">
        <f>H15*U15*0.26</f>
        <v>7305.2121212121219</v>
      </c>
      <c r="AE32">
        <f>AF32-AD32</f>
        <v>18534.78787878788</v>
      </c>
      <c r="AF32">
        <f>AC15*C15*1000</f>
        <v>25840</v>
      </c>
      <c r="AG32">
        <f t="shared" ref="AG32:AI39" si="16">AE15*J15</f>
        <v>30.926400000000001</v>
      </c>
      <c r="AH32">
        <f t="shared" si="16"/>
        <v>15.458399999999999</v>
      </c>
      <c r="AI32">
        <f t="shared" si="16"/>
        <v>56.722999999999999</v>
      </c>
      <c r="AL32" s="23">
        <f t="shared" ref="AL32:AL39" si="17">AJ32-AD52</f>
        <v>-64608.4</v>
      </c>
      <c r="AN32">
        <f t="shared" si="13"/>
        <v>295646.40000000002</v>
      </c>
      <c r="AP32" s="3">
        <v>44123</v>
      </c>
      <c r="AQ32">
        <v>206966.60000000003</v>
      </c>
      <c r="AR32">
        <v>70392</v>
      </c>
      <c r="AS32">
        <f t="shared" si="14"/>
        <v>136574.60000000003</v>
      </c>
      <c r="AT32" s="24">
        <f t="shared" si="15"/>
        <v>0.65988715087361927</v>
      </c>
    </row>
    <row r="33" spans="1:46">
      <c r="J33" s="8"/>
      <c r="T33">
        <f t="shared" ref="T33:U40" si="18">AB15*B15</f>
        <v>38.7684</v>
      </c>
      <c r="U33">
        <f t="shared" si="18"/>
        <v>25.84</v>
      </c>
      <c r="X33"/>
      <c r="Y33">
        <f t="shared" ref="Y33:Y39" si="19">AC33/AC44</f>
        <v>0.84010840108401086</v>
      </c>
      <c r="Z33">
        <f t="shared" ref="Z33:Z39" si="20">AA33*AB33</f>
        <v>67990.740000000005</v>
      </c>
      <c r="AA33" s="8">
        <v>64500</v>
      </c>
      <c r="AB33" s="35">
        <f t="shared" ref="AB33:AB39" si="21">(-0.2476*Y16+ 1.995)</f>
        <v>1.0541200000000002</v>
      </c>
      <c r="AC33">
        <f t="shared" ref="AC33:AC39" si="22">C16*1000</f>
        <v>3100</v>
      </c>
      <c r="AD33">
        <f t="shared" ref="AD33:AD39" si="23">H16*U16*0.26</f>
        <v>7656.4064801178201</v>
      </c>
      <c r="AE33">
        <f t="shared" ref="AE33:AE39" si="24">AF33-AD33</f>
        <v>15903.593519882179</v>
      </c>
      <c r="AF33">
        <f t="shared" ref="AF33:AF39" si="25">AC16*C16*1000</f>
        <v>23560</v>
      </c>
      <c r="AG33">
        <f t="shared" si="16"/>
        <v>35.700800000000001</v>
      </c>
      <c r="AH33">
        <f t="shared" si="16"/>
        <v>17.850000000000001</v>
      </c>
      <c r="AI33">
        <f t="shared" si="16"/>
        <v>65.4696</v>
      </c>
      <c r="AL33" s="23">
        <f t="shared" si="17"/>
        <v>-58910.2</v>
      </c>
      <c r="AN33">
        <f>AR33*Y22</f>
        <v>186746.40000000002</v>
      </c>
      <c r="AP33" s="3">
        <v>44130</v>
      </c>
      <c r="AQ33">
        <v>177968.5</v>
      </c>
      <c r="AR33">
        <v>50472</v>
      </c>
      <c r="AS33">
        <f t="shared" si="14"/>
        <v>127496.5</v>
      </c>
      <c r="AT33" s="24">
        <f t="shared" si="15"/>
        <v>0.71639925042914898</v>
      </c>
    </row>
    <row r="34" spans="1:46">
      <c r="J34" s="8"/>
      <c r="T34">
        <f t="shared" si="18"/>
        <v>35.350200000000001</v>
      </c>
      <c r="U34">
        <f t="shared" si="18"/>
        <v>23.56</v>
      </c>
      <c r="Y34">
        <f t="shared" si="19"/>
        <v>0.8898601398601399</v>
      </c>
      <c r="Z34">
        <f t="shared" si="20"/>
        <v>108566.27200000003</v>
      </c>
      <c r="AA34" s="8">
        <v>110800</v>
      </c>
      <c r="AB34" s="35">
        <f t="shared" si="21"/>
        <v>0.97984000000000027</v>
      </c>
      <c r="AC34">
        <f t="shared" si="22"/>
        <v>5090</v>
      </c>
      <c r="AD34">
        <f t="shared" si="23"/>
        <v>13564.54394079556</v>
      </c>
      <c r="AE34">
        <f t="shared" si="24"/>
        <v>16313.756059204439</v>
      </c>
      <c r="AF34">
        <f t="shared" si="25"/>
        <v>29878.3</v>
      </c>
      <c r="AG34">
        <f t="shared" si="16"/>
        <v>35.879999999999995</v>
      </c>
      <c r="AH34">
        <f t="shared" si="16"/>
        <v>17.932199999999998</v>
      </c>
      <c r="AI34">
        <f t="shared" si="16"/>
        <v>65.834100000000007</v>
      </c>
      <c r="AL34" s="23">
        <f t="shared" si="17"/>
        <v>-74665.899999999994</v>
      </c>
    </row>
    <row r="35" spans="1:46">
      <c r="J35" s="8"/>
      <c r="T35">
        <f t="shared" si="18"/>
        <v>44.787599999999998</v>
      </c>
      <c r="U35">
        <f t="shared" si="18"/>
        <v>29.878299999999999</v>
      </c>
      <c r="Y35">
        <f t="shared" si="19"/>
        <v>0.67796610169491522</v>
      </c>
      <c r="Z35">
        <f t="shared" si="20"/>
        <v>59044.740000000013</v>
      </c>
      <c r="AA35" s="8">
        <v>53500</v>
      </c>
      <c r="AB35" s="35">
        <f t="shared" si="21"/>
        <v>1.1036400000000002</v>
      </c>
      <c r="AC35">
        <f t="shared" si="22"/>
        <v>2400</v>
      </c>
      <c r="AD35">
        <f t="shared" si="23"/>
        <v>5620.2020202020203</v>
      </c>
      <c r="AE35">
        <f t="shared" si="24"/>
        <v>17731.797979797979</v>
      </c>
      <c r="AF35">
        <f t="shared" si="25"/>
        <v>23352</v>
      </c>
      <c r="AG35">
        <f t="shared" si="16"/>
        <v>34.701599999999999</v>
      </c>
      <c r="AH35">
        <f t="shared" si="16"/>
        <v>17.345600000000001</v>
      </c>
      <c r="AI35">
        <f t="shared" si="16"/>
        <v>63.590100000000007</v>
      </c>
      <c r="AL35" s="23">
        <f t="shared" si="17"/>
        <v>-58398</v>
      </c>
      <c r="AT35">
        <f>CORREL(AT26:AT33,Y15:Y22)</f>
        <v>-0.83171220969704462</v>
      </c>
    </row>
    <row r="36" spans="1:46">
      <c r="J36" s="8"/>
      <c r="T36">
        <f t="shared" si="18"/>
        <v>35.045999999999999</v>
      </c>
      <c r="U36">
        <f t="shared" si="18"/>
        <v>23.352</v>
      </c>
      <c r="Y36">
        <f t="shared" si="19"/>
        <v>0.85422740524781338</v>
      </c>
      <c r="Z36">
        <f t="shared" si="20"/>
        <v>63820.32</v>
      </c>
      <c r="AA36" s="8">
        <v>62000</v>
      </c>
      <c r="AB36" s="35">
        <f t="shared" si="21"/>
        <v>1.0293600000000001</v>
      </c>
      <c r="AC36">
        <f t="shared" si="22"/>
        <v>2930</v>
      </c>
      <c r="AD36">
        <f t="shared" si="23"/>
        <v>7426.3522012578615</v>
      </c>
      <c r="AE36">
        <f t="shared" si="24"/>
        <v>17097.747798742141</v>
      </c>
      <c r="AF36">
        <f t="shared" si="25"/>
        <v>24524.100000000002</v>
      </c>
      <c r="AG36">
        <f t="shared" si="16"/>
        <v>38.76</v>
      </c>
      <c r="AH36">
        <f t="shared" si="16"/>
        <v>19.3596</v>
      </c>
      <c r="AI36">
        <f t="shared" si="16"/>
        <v>70.985200000000006</v>
      </c>
      <c r="AL36" s="23">
        <f t="shared" si="17"/>
        <v>-61293.7</v>
      </c>
    </row>
    <row r="37" spans="1:46">
      <c r="J37" s="8"/>
      <c r="T37">
        <f t="shared" si="18"/>
        <v>36.769600000000004</v>
      </c>
      <c r="U37">
        <f t="shared" si="18"/>
        <v>24.524100000000001</v>
      </c>
      <c r="Y37">
        <f t="shared" si="19"/>
        <v>0.89031078610603287</v>
      </c>
      <c r="Z37">
        <f t="shared" si="20"/>
        <v>103875.64000000001</v>
      </c>
      <c r="AA37" s="8">
        <v>103400</v>
      </c>
      <c r="AB37" s="35">
        <f t="shared" si="21"/>
        <v>1.0046000000000002</v>
      </c>
      <c r="AC37">
        <f t="shared" si="22"/>
        <v>4870</v>
      </c>
      <c r="AD37">
        <f t="shared" si="23"/>
        <v>12662</v>
      </c>
      <c r="AE37">
        <f t="shared" si="24"/>
        <v>14561.3</v>
      </c>
      <c r="AF37">
        <f t="shared" si="25"/>
        <v>27223.3</v>
      </c>
      <c r="AG37">
        <f t="shared" si="16"/>
        <v>34.292400000000001</v>
      </c>
      <c r="AH37">
        <f t="shared" si="16"/>
        <v>17.152200000000001</v>
      </c>
      <c r="AI37">
        <f t="shared" si="16"/>
        <v>62.936999999999998</v>
      </c>
      <c r="AL37" s="23">
        <f t="shared" si="17"/>
        <v>-68084.2</v>
      </c>
    </row>
    <row r="38" spans="1:46">
      <c r="J38" s="8"/>
      <c r="T38">
        <f t="shared" si="18"/>
        <v>40.860899999999994</v>
      </c>
      <c r="U38">
        <f t="shared" si="18"/>
        <v>27.223299999999998</v>
      </c>
      <c r="Y38">
        <f t="shared" si="19"/>
        <v>0.85106382978723405</v>
      </c>
      <c r="Z38">
        <f t="shared" si="20"/>
        <v>113463.50400000002</v>
      </c>
      <c r="AA38" s="8">
        <v>118800</v>
      </c>
      <c r="AB38" s="35">
        <f t="shared" si="21"/>
        <v>0.95508000000000015</v>
      </c>
      <c r="AC38">
        <f t="shared" si="22"/>
        <v>5200</v>
      </c>
      <c r="AD38">
        <f t="shared" si="23"/>
        <v>14201.379310344828</v>
      </c>
      <c r="AE38">
        <f t="shared" si="24"/>
        <v>16322.620689655172</v>
      </c>
      <c r="AF38">
        <f t="shared" si="25"/>
        <v>30524</v>
      </c>
      <c r="AG38">
        <f t="shared" si="16"/>
        <v>39.163199999999996</v>
      </c>
      <c r="AH38">
        <f t="shared" si="16"/>
        <v>19.584</v>
      </c>
      <c r="AI38">
        <f t="shared" si="16"/>
        <v>71.870400000000004</v>
      </c>
      <c r="AL38" s="23">
        <f t="shared" si="17"/>
        <v>-76349</v>
      </c>
    </row>
    <row r="39" spans="1:46">
      <c r="J39" s="8"/>
      <c r="T39">
        <f t="shared" si="18"/>
        <v>45.825000000000003</v>
      </c>
      <c r="U39">
        <f t="shared" si="18"/>
        <v>30.524000000000001</v>
      </c>
      <c r="W39" s="1" t="s">
        <v>42</v>
      </c>
      <c r="X39" s="1">
        <v>5.8083</v>
      </c>
      <c r="Y39">
        <f t="shared" si="19"/>
        <v>0.88755980861244022</v>
      </c>
      <c r="Z39">
        <f t="shared" si="20"/>
        <v>78758.240000000005</v>
      </c>
      <c r="AA39" s="8">
        <v>73000</v>
      </c>
      <c r="AB39" s="35">
        <f t="shared" si="21"/>
        <v>1.0788800000000001</v>
      </c>
      <c r="AC39">
        <f t="shared" si="22"/>
        <v>3710</v>
      </c>
      <c r="AD39">
        <f t="shared" si="23"/>
        <v>8924.6894803548803</v>
      </c>
      <c r="AE39">
        <f t="shared" si="24"/>
        <v>14670.910519645122</v>
      </c>
      <c r="AF39">
        <f t="shared" si="25"/>
        <v>23595.600000000002</v>
      </c>
      <c r="AG39">
        <f t="shared" si="16"/>
        <v>35.717499999999994</v>
      </c>
      <c r="AH39">
        <f t="shared" si="16"/>
        <v>17.849399999999999</v>
      </c>
      <c r="AI39">
        <f t="shared" si="16"/>
        <v>65.443200000000004</v>
      </c>
      <c r="AL39" s="23">
        <f t="shared" si="17"/>
        <v>-58958.399999999994</v>
      </c>
    </row>
    <row r="40" spans="1:46">
      <c r="J40" s="8"/>
      <c r="T40">
        <f t="shared" si="18"/>
        <v>35.3628</v>
      </c>
      <c r="U40">
        <f t="shared" si="18"/>
        <v>23.595600000000001</v>
      </c>
      <c r="W40" s="1" t="s">
        <v>43</v>
      </c>
      <c r="X40" s="1">
        <v>2.9224000000000001</v>
      </c>
      <c r="Y40">
        <f>AVERAGE(Y32:Y39)</f>
        <v>0.84312863208278133</v>
      </c>
    </row>
    <row r="41" spans="1:46">
      <c r="J41" s="8"/>
      <c r="V41" s="33"/>
      <c r="X41" s="33" t="s">
        <v>40</v>
      </c>
      <c r="Y41" t="s">
        <v>39</v>
      </c>
      <c r="Z41" s="33" t="s">
        <v>31</v>
      </c>
      <c r="AA41" t="s">
        <v>38</v>
      </c>
      <c r="AB41" s="33" t="s">
        <v>41</v>
      </c>
      <c r="AC41" s="34" t="s">
        <v>31</v>
      </c>
      <c r="AD41" s="33" t="s">
        <v>32</v>
      </c>
      <c r="AE41" s="33"/>
      <c r="AI41" s="1"/>
    </row>
    <row r="42" spans="1:46">
      <c r="J42" s="8"/>
      <c r="V42" s="38"/>
      <c r="W42">
        <f>X40</f>
        <v>2.9224000000000001</v>
      </c>
      <c r="X42">
        <f t="shared" ref="X42:X49" si="26">AC32+AC43</f>
        <v>6600</v>
      </c>
      <c r="Y42">
        <f>X39-X40</f>
        <v>2.8858999999999999</v>
      </c>
      <c r="Z42">
        <f>B15*1000</f>
        <v>3560</v>
      </c>
      <c r="AB42" s="37">
        <f t="shared" ref="AB42:AB49" si="27">AD52</f>
        <v>64608.4</v>
      </c>
      <c r="AI42" s="11"/>
    </row>
    <row r="43" spans="1:46">
      <c r="J43" s="8"/>
      <c r="V43" s="38"/>
      <c r="X43">
        <f t="shared" si="26"/>
        <v>6790</v>
      </c>
      <c r="Z43">
        <f t="shared" ref="Z43:Z49" si="28">B16*1000</f>
        <v>3690</v>
      </c>
      <c r="AB43" s="37">
        <f t="shared" si="27"/>
        <v>58910.2</v>
      </c>
      <c r="AC43">
        <f>B15*1000</f>
        <v>3560</v>
      </c>
      <c r="AD43">
        <f t="shared" ref="AD43:AD50" si="29">AB15*AC43</f>
        <v>38768.400000000001</v>
      </c>
    </row>
    <row r="44" spans="1:46">
      <c r="J44" s="8"/>
      <c r="V44" s="38"/>
      <c r="X44">
        <f t="shared" si="26"/>
        <v>10810</v>
      </c>
      <c r="Z44">
        <f t="shared" si="28"/>
        <v>5720</v>
      </c>
      <c r="AB44" s="37">
        <f t="shared" si="27"/>
        <v>74665.899999999994</v>
      </c>
      <c r="AC44">
        <f t="shared" ref="AC44:AC50" si="30">B16*1000</f>
        <v>3690</v>
      </c>
      <c r="AD44">
        <f t="shared" si="29"/>
        <v>35350.199999999997</v>
      </c>
    </row>
    <row r="45" spans="1:46">
      <c r="C45" s="26" t="s">
        <v>20</v>
      </c>
      <c r="D45" s="26" t="s">
        <v>21</v>
      </c>
      <c r="J45" s="8"/>
      <c r="V45" s="38"/>
      <c r="X45">
        <f t="shared" si="26"/>
        <v>5940</v>
      </c>
      <c r="Z45">
        <f t="shared" si="28"/>
        <v>3540</v>
      </c>
      <c r="AB45" s="37">
        <f t="shared" si="27"/>
        <v>58398</v>
      </c>
      <c r="AC45">
        <f t="shared" si="30"/>
        <v>5720</v>
      </c>
      <c r="AD45">
        <f t="shared" si="29"/>
        <v>44787.6</v>
      </c>
    </row>
    <row r="46" spans="1:46">
      <c r="A46" s="3"/>
      <c r="B46" s="8"/>
      <c r="C46" s="27">
        <v>4</v>
      </c>
      <c r="D46" s="28">
        <f>-0.2476*C46+1.995</f>
        <v>1.0046000000000002</v>
      </c>
      <c r="E46" s="8"/>
      <c r="F46" s="8"/>
      <c r="G46" s="8"/>
      <c r="H46" s="8"/>
      <c r="I46" s="8"/>
      <c r="J46" s="8"/>
      <c r="V46" s="38"/>
      <c r="X46">
        <f t="shared" si="26"/>
        <v>6360</v>
      </c>
      <c r="Z46">
        <f t="shared" si="28"/>
        <v>3430</v>
      </c>
      <c r="AB46" s="37">
        <f t="shared" si="27"/>
        <v>61293.7</v>
      </c>
      <c r="AC46">
        <f t="shared" si="30"/>
        <v>3540</v>
      </c>
      <c r="AD46">
        <f t="shared" si="29"/>
        <v>35046</v>
      </c>
    </row>
    <row r="47" spans="1:46">
      <c r="B47" s="7"/>
      <c r="C47" s="7"/>
      <c r="D47" s="7"/>
      <c r="E47" s="7"/>
      <c r="F47" s="7"/>
      <c r="G47" s="7"/>
      <c r="H47" s="7"/>
      <c r="I47" s="7"/>
      <c r="J47" s="8"/>
      <c r="K47"/>
      <c r="V47" s="38"/>
      <c r="X47">
        <f t="shared" si="26"/>
        <v>10340</v>
      </c>
      <c r="Z47">
        <f t="shared" si="28"/>
        <v>5470</v>
      </c>
      <c r="AB47" s="37">
        <f t="shared" si="27"/>
        <v>68084.2</v>
      </c>
      <c r="AC47">
        <f t="shared" si="30"/>
        <v>3430</v>
      </c>
      <c r="AD47">
        <f t="shared" si="29"/>
        <v>36769.600000000006</v>
      </c>
    </row>
    <row r="48" spans="1:46" ht="12.75" customHeight="1">
      <c r="S48" s="1">
        <v>4.5</v>
      </c>
      <c r="T48" s="25">
        <v>0.8887362637362638</v>
      </c>
      <c r="V48" s="38"/>
      <c r="X48">
        <f t="shared" si="26"/>
        <v>11310</v>
      </c>
      <c r="Z48">
        <f t="shared" si="28"/>
        <v>6110</v>
      </c>
      <c r="AB48" s="37">
        <f t="shared" si="27"/>
        <v>76349</v>
      </c>
      <c r="AC48">
        <f t="shared" si="30"/>
        <v>5470</v>
      </c>
      <c r="AD48">
        <f t="shared" si="29"/>
        <v>40860.9</v>
      </c>
    </row>
    <row r="49" spans="10:37">
      <c r="S49" s="1">
        <v>4.3</v>
      </c>
      <c r="T49" s="25">
        <v>0.93002028397565928</v>
      </c>
      <c r="V49" s="38"/>
      <c r="X49">
        <f t="shared" si="26"/>
        <v>7890</v>
      </c>
      <c r="Z49">
        <f t="shared" si="28"/>
        <v>4180</v>
      </c>
      <c r="AB49" s="37">
        <f t="shared" si="27"/>
        <v>58958.399999999994</v>
      </c>
      <c r="AC49">
        <f t="shared" si="30"/>
        <v>6110</v>
      </c>
      <c r="AD49">
        <f t="shared" si="29"/>
        <v>45825</v>
      </c>
    </row>
    <row r="50" spans="10:37">
      <c r="O50" t="s">
        <v>49</v>
      </c>
      <c r="Q50" s="1">
        <f>CORREL(X42:X49,AB42:AB49)</f>
        <v>0.89721294747354141</v>
      </c>
      <c r="R50">
        <f>CORREL(Z42:Z49,AB42:AB49)</f>
        <v>0.90066175256649583</v>
      </c>
      <c r="S50" s="1">
        <v>3.7</v>
      </c>
      <c r="T50" s="25">
        <v>1.0805555555555555</v>
      </c>
      <c r="U50" s="33" t="s">
        <v>48</v>
      </c>
      <c r="W50">
        <f>AVERAGE(W42:W49)</f>
        <v>2.9224000000000001</v>
      </c>
      <c r="Y50">
        <f>AVERAGE(Y42:Y49)</f>
        <v>2.8858999999999999</v>
      </c>
      <c r="AB50" t="s">
        <v>46</v>
      </c>
      <c r="AC50">
        <f t="shared" si="30"/>
        <v>4180</v>
      </c>
      <c r="AD50">
        <f t="shared" si="29"/>
        <v>35362.800000000003</v>
      </c>
    </row>
    <row r="51" spans="10:37">
      <c r="S51" s="1">
        <v>4.2</v>
      </c>
      <c r="T51" s="25">
        <v>0.95192307692307687</v>
      </c>
      <c r="U51">
        <f>$W$50*(Z42+AC32)+$Y$50*Z42+$AB$51</f>
        <v>57717.378250000002</v>
      </c>
      <c r="X51" s="1">
        <f t="shared" ref="X51:X58" si="31">X42*$W$50</f>
        <v>19287.84</v>
      </c>
      <c r="Z51">
        <f>Z42*$Y$50</f>
        <v>10273.804</v>
      </c>
      <c r="AA51" s="1">
        <f>X51+Z51</f>
        <v>29561.644</v>
      </c>
      <c r="AB51" s="38" cm="1">
        <f t="array" ref="AB51">AVERAGE(AB42:AB49-AA51:AA58)</f>
        <v>28155.734250000001</v>
      </c>
      <c r="AD51" t="s">
        <v>15</v>
      </c>
      <c r="AE51" s="36"/>
    </row>
    <row r="52" spans="10:37">
      <c r="S52" s="1">
        <v>3.8</v>
      </c>
      <c r="T52" s="25">
        <v>1.0528169014084505</v>
      </c>
      <c r="U52">
        <f t="shared" ref="U52:U58" si="32">$W$50*(Z43+AC33)+$Y$50*Z43+$AB$51</f>
        <v>58647.801250000004</v>
      </c>
      <c r="X52" s="1">
        <f t="shared" si="31"/>
        <v>19843.096000000001</v>
      </c>
      <c r="Z52">
        <f t="shared" ref="Z52:Z58" si="33">Z43*$Y$50</f>
        <v>10648.971</v>
      </c>
      <c r="AA52" s="1">
        <f t="shared" ref="AA52:AA58" si="34">X52+Z52</f>
        <v>30492.067000000003</v>
      </c>
      <c r="AC52" s="40">
        <f t="shared" ref="AC52:AC59" si="35">AB42-AA51</f>
        <v>35046.756000000001</v>
      </c>
      <c r="AD52" s="22">
        <f t="shared" ref="AD52:AD59" si="36">AB15*1000*B15+C15*1000*AC15</f>
        <v>64608.4</v>
      </c>
      <c r="AE52" s="11"/>
      <c r="AI52" s="4">
        <f>ABS((AL32-AL33)/(AN26-AN27))</f>
        <v>0.26107873323070202</v>
      </c>
      <c r="AJ52">
        <f>AI52*AR26</f>
        <v>11742.277105784055</v>
      </c>
      <c r="AK52">
        <f>AS26-AJ52</f>
        <v>110997.92289421595</v>
      </c>
    </row>
    <row r="53" spans="10:37">
      <c r="S53" s="1">
        <v>4.4000000000000004</v>
      </c>
      <c r="T53" s="25">
        <v>0.90874159462055726</v>
      </c>
      <c r="U53">
        <f t="shared" si="32"/>
        <v>76254.226250000007</v>
      </c>
      <c r="X53" s="1">
        <f t="shared" si="31"/>
        <v>31591.144</v>
      </c>
      <c r="Z53">
        <f t="shared" si="33"/>
        <v>16507.347999999998</v>
      </c>
      <c r="AA53" s="1">
        <f t="shared" si="34"/>
        <v>48098.491999999998</v>
      </c>
      <c r="AC53" s="40">
        <f t="shared" si="35"/>
        <v>28418.132999999994</v>
      </c>
      <c r="AD53" s="22">
        <f t="shared" si="36"/>
        <v>58910.2</v>
      </c>
      <c r="AE53" s="11"/>
      <c r="AI53" s="4">
        <f t="shared" ref="AI53:AI57" si="37">ABS((AL33-AL34)/(AN27-AN28))</f>
        <v>0.14008353960396039</v>
      </c>
      <c r="AJ53">
        <f t="shared" ref="AJ53:AJ57" si="38">AI53*AR27</f>
        <v>6939.1782178217818</v>
      </c>
      <c r="AK53">
        <f t="shared" ref="AK53:AK57" si="39">AS27-AJ53</f>
        <v>121455.42178217825</v>
      </c>
    </row>
    <row r="54" spans="10:37">
      <c r="S54" s="1">
        <v>4.3</v>
      </c>
      <c r="T54" s="25">
        <v>0.92987804878048785</v>
      </c>
      <c r="U54">
        <f t="shared" si="32"/>
        <v>55730.876250000001</v>
      </c>
      <c r="X54" s="1">
        <f t="shared" si="31"/>
        <v>17359.056</v>
      </c>
      <c r="Z54">
        <f t="shared" si="33"/>
        <v>10216.085999999999</v>
      </c>
      <c r="AA54" s="1">
        <f t="shared" si="34"/>
        <v>27575.142</v>
      </c>
      <c r="AC54" s="40">
        <f t="shared" si="35"/>
        <v>26567.407999999996</v>
      </c>
      <c r="AD54" s="22">
        <f t="shared" si="36"/>
        <v>74665.899999999994</v>
      </c>
      <c r="AE54" s="11"/>
      <c r="AI54" s="4">
        <f t="shared" si="37"/>
        <v>0.12641349620788261</v>
      </c>
      <c r="AJ54">
        <f t="shared" si="38"/>
        <v>9271.6714658709425</v>
      </c>
      <c r="AK54">
        <f t="shared" si="39"/>
        <v>111696.52853412904</v>
      </c>
    </row>
    <row r="55" spans="10:37">
      <c r="S55" s="1">
        <v>3.9</v>
      </c>
      <c r="T55" s="25">
        <v>1.0255362614913177</v>
      </c>
      <c r="U55">
        <f t="shared" si="32"/>
        <v>56640.835250000004</v>
      </c>
      <c r="X55" s="1">
        <f t="shared" si="31"/>
        <v>18586.464</v>
      </c>
      <c r="Z55">
        <f t="shared" si="33"/>
        <v>9898.6369999999988</v>
      </c>
      <c r="AA55" s="1">
        <f t="shared" si="34"/>
        <v>28485.100999999999</v>
      </c>
      <c r="AC55" s="40">
        <f t="shared" si="35"/>
        <v>30822.858</v>
      </c>
      <c r="AD55" s="22">
        <f t="shared" si="36"/>
        <v>58398</v>
      </c>
      <c r="AE55" s="11"/>
      <c r="AI55" s="4">
        <f t="shared" si="37"/>
        <v>8.0532750411604986E-2</v>
      </c>
      <c r="AJ55">
        <f t="shared" si="38"/>
        <v>3848.1769456681327</v>
      </c>
      <c r="AK55">
        <f t="shared" si="39"/>
        <v>122403.12305433188</v>
      </c>
    </row>
    <row r="56" spans="10:37">
      <c r="S56" s="1">
        <v>3.7</v>
      </c>
      <c r="T56" s="25">
        <v>1.0819672131147542</v>
      </c>
      <c r="U56">
        <f t="shared" si="32"/>
        <v>74159.22325000001</v>
      </c>
      <c r="X56" s="1">
        <f t="shared" si="31"/>
        <v>30217.616000000002</v>
      </c>
      <c r="Z56">
        <f t="shared" si="33"/>
        <v>15785.873</v>
      </c>
      <c r="AA56" s="1">
        <f t="shared" si="34"/>
        <v>46003.489000000001</v>
      </c>
      <c r="AC56" s="40">
        <f t="shared" si="35"/>
        <v>32808.599000000002</v>
      </c>
      <c r="AD56" s="22">
        <f t="shared" si="36"/>
        <v>61293.7</v>
      </c>
      <c r="AE56" s="11"/>
      <c r="AI56" s="4">
        <f t="shared" si="37"/>
        <v>0.11937283773521218</v>
      </c>
      <c r="AJ56">
        <f t="shared" si="38"/>
        <v>6365.9146907433951</v>
      </c>
      <c r="AK56">
        <f t="shared" si="39"/>
        <v>130704.58530925661</v>
      </c>
    </row>
    <row r="57" spans="10:37">
      <c r="S57" s="1">
        <v>3.8</v>
      </c>
      <c r="T57" s="25">
        <v>1.0527131782945736</v>
      </c>
      <c r="U57">
        <f t="shared" si="32"/>
        <v>78840.927250000008</v>
      </c>
      <c r="X57" s="1">
        <f t="shared" si="31"/>
        <v>33052.344000000005</v>
      </c>
      <c r="Z57">
        <f t="shared" si="33"/>
        <v>17632.848999999998</v>
      </c>
      <c r="AA57" s="1">
        <f t="shared" si="34"/>
        <v>50685.192999999999</v>
      </c>
      <c r="AC57" s="40">
        <f t="shared" si="35"/>
        <v>22080.710999999996</v>
      </c>
      <c r="AD57" s="22">
        <f t="shared" si="36"/>
        <v>68084.2</v>
      </c>
      <c r="AI57" s="4">
        <f t="shared" si="37"/>
        <v>0.26849108581527098</v>
      </c>
      <c r="AJ57">
        <f t="shared" si="38"/>
        <v>17778.405738343983</v>
      </c>
      <c r="AK57">
        <f t="shared" si="39"/>
        <v>98471.394261656009</v>
      </c>
    </row>
    <row r="58" spans="10:37">
      <c r="S58" s="1">
        <v>4.0999999999999996</v>
      </c>
      <c r="T58" s="25">
        <v>0.97563176895306847</v>
      </c>
      <c r="U58">
        <f t="shared" si="32"/>
        <v>63276.532250000004</v>
      </c>
      <c r="X58" s="1">
        <f t="shared" si="31"/>
        <v>23057.736000000001</v>
      </c>
      <c r="Z58">
        <f t="shared" si="33"/>
        <v>12063.062</v>
      </c>
      <c r="AA58" s="1">
        <f t="shared" si="34"/>
        <v>35120.798000000003</v>
      </c>
      <c r="AC58" s="40">
        <f t="shared" si="35"/>
        <v>25663.807000000001</v>
      </c>
      <c r="AD58" s="22">
        <f t="shared" si="36"/>
        <v>76349</v>
      </c>
    </row>
    <row r="59" spans="10:37">
      <c r="S59" s="1">
        <v>3.6</v>
      </c>
      <c r="T59" s="25">
        <v>1.1102803738317757</v>
      </c>
      <c r="W59" t="s">
        <v>45</v>
      </c>
      <c r="X59" s="1" t="s">
        <v>44</v>
      </c>
      <c r="AC59" s="40">
        <f t="shared" si="35"/>
        <v>23837.601999999992</v>
      </c>
      <c r="AD59" s="22">
        <f t="shared" si="36"/>
        <v>58958.399999999994</v>
      </c>
      <c r="AI59">
        <f>AVERAGEA(AI52:AI57)</f>
        <v>0.16599540716743888</v>
      </c>
      <c r="AJ59">
        <f t="shared" ref="AJ59:AK59" si="40">AVERAGEA(AJ52:AJ57)</f>
        <v>9324.2706940387143</v>
      </c>
      <c r="AK59">
        <f t="shared" si="40"/>
        <v>115954.82930596128</v>
      </c>
    </row>
    <row r="60" spans="10:37">
      <c r="S60" s="1">
        <v>3.9</v>
      </c>
      <c r="T60" s="25">
        <v>1.0258064516129033</v>
      </c>
      <c r="U60">
        <f>$W$50*(B24+C24)*1000+$Y$50*B24*1000+$AB$51</f>
        <v>66345.65737500001</v>
      </c>
      <c r="W60">
        <f>AVERAGE(AC32:AC39)</f>
        <v>3792.5</v>
      </c>
      <c r="X60" s="1">
        <f>AVERAGE(AC43:AC50)</f>
        <v>4462.5</v>
      </c>
      <c r="AC60" s="33" t="s">
        <v>52</v>
      </c>
    </row>
    <row r="61" spans="10:37">
      <c r="S61" s="1">
        <v>4</v>
      </c>
      <c r="T61" s="25">
        <v>1</v>
      </c>
      <c r="AC61" s="1"/>
    </row>
    <row r="62" spans="10:37">
      <c r="S62" s="1">
        <v>4.2</v>
      </c>
      <c r="T62" s="25">
        <v>0.95202020202020199</v>
      </c>
      <c r="V62" s="33" t="s">
        <v>47</v>
      </c>
      <c r="W62" t="s">
        <v>79</v>
      </c>
      <c r="AA62" s="33"/>
    </row>
    <row r="63" spans="10:37">
      <c r="J63" s="13"/>
      <c r="K63" s="13"/>
      <c r="L63" s="13"/>
      <c r="M63" s="13"/>
      <c r="N63" s="13"/>
      <c r="O63" s="13"/>
      <c r="P63" s="13"/>
      <c r="Q63" s="13"/>
      <c r="R63" s="13"/>
      <c r="S63" s="1">
        <v>3.7</v>
      </c>
      <c r="T63" s="25">
        <v>1.0808219178082192</v>
      </c>
      <c r="V63" s="33" t="s">
        <v>87</v>
      </c>
      <c r="W63" s="1" t="s">
        <v>39</v>
      </c>
      <c r="X63" t="s">
        <v>80</v>
      </c>
      <c r="Y63" t="s">
        <v>38</v>
      </c>
    </row>
    <row r="64" spans="10:37">
      <c r="J64" s="13"/>
      <c r="K64" s="13"/>
      <c r="L64" s="13"/>
      <c r="M64" s="13"/>
      <c r="N64" s="13"/>
      <c r="O64" s="13"/>
      <c r="P64" s="13"/>
      <c r="Q64" s="13"/>
      <c r="R64" s="13"/>
      <c r="V64">
        <v>2.9224000000000001</v>
      </c>
      <c r="W64" s="1">
        <v>2.8858999999999999</v>
      </c>
      <c r="X64">
        <v>2.9224000000000001</v>
      </c>
      <c r="Y64">
        <v>33098.234249999994</v>
      </c>
    </row>
    <row r="65" spans="1:33">
      <c r="J65" s="13"/>
      <c r="K65" s="13"/>
      <c r="L65" s="13"/>
      <c r="M65" s="13"/>
      <c r="N65" s="13"/>
      <c r="O65" s="13"/>
      <c r="P65" s="13"/>
      <c r="Q65" s="13"/>
      <c r="R65" s="13"/>
      <c r="U65" s="33" t="s">
        <v>85</v>
      </c>
      <c r="W65" s="39" t="s">
        <v>81</v>
      </c>
      <c r="Y65" s="33" t="s">
        <v>82</v>
      </c>
      <c r="AA65" s="34" t="s">
        <v>83</v>
      </c>
      <c r="AC65" s="33" t="s">
        <v>86</v>
      </c>
      <c r="AD65" s="33" t="s">
        <v>33</v>
      </c>
      <c r="AE65" s="33" t="s">
        <v>50</v>
      </c>
      <c r="AF65" s="33" t="s">
        <v>51</v>
      </c>
      <c r="AG65" s="33" t="s">
        <v>41</v>
      </c>
    </row>
    <row r="66" spans="1:33">
      <c r="J66" s="13"/>
      <c r="K66" s="13"/>
      <c r="L66" s="13"/>
      <c r="M66" s="13"/>
      <c r="N66" s="13"/>
      <c r="O66" s="13"/>
      <c r="P66" s="13"/>
      <c r="Q66" s="13"/>
      <c r="R66" s="13"/>
      <c r="U66">
        <f t="shared" ref="U66:U73" si="41">$V$64*W66+$W$64*Y66+$X$64*AA66+$Y$64</f>
        <v>106175.85025</v>
      </c>
      <c r="V66" s="33"/>
      <c r="W66">
        <f t="shared" ref="W66:W73" si="42">SUM(AD66:AF66)</f>
        <v>13660</v>
      </c>
      <c r="Y66">
        <f t="shared" ref="Y66:Y73" si="43">AD66</f>
        <v>2720</v>
      </c>
      <c r="AA66" s="1">
        <f t="shared" ref="AA66:AA73" si="44">AF66</f>
        <v>8660</v>
      </c>
      <c r="AC66">
        <f>AG66-U66</f>
        <v>-3068.0502500000002</v>
      </c>
      <c r="AD66">
        <f t="shared" ref="AD66:AF73" si="45">J15*1000</f>
        <v>2720</v>
      </c>
      <c r="AE66">
        <f t="shared" si="45"/>
        <v>2280</v>
      </c>
      <c r="AF66">
        <f t="shared" si="45"/>
        <v>8660</v>
      </c>
      <c r="AG66" cm="1">
        <f t="array" ref="AG66">SUM(AE15:AG15*AD66:AF66)</f>
        <v>103107.8</v>
      </c>
    </row>
    <row r="67" spans="1:33">
      <c r="J67" s="13"/>
      <c r="K67" s="13"/>
      <c r="L67" s="13"/>
      <c r="M67" s="13"/>
      <c r="N67" s="13"/>
      <c r="O67" s="13"/>
      <c r="P67" s="13"/>
      <c r="Q67" s="13"/>
      <c r="R67" s="13"/>
      <c r="U67">
        <f t="shared" si="41"/>
        <v>114303.09024999999</v>
      </c>
      <c r="V67" s="33"/>
      <c r="W67">
        <f t="shared" si="42"/>
        <v>14940</v>
      </c>
      <c r="Y67">
        <f t="shared" si="43"/>
        <v>4240</v>
      </c>
      <c r="AA67" s="1">
        <f t="shared" si="44"/>
        <v>8660</v>
      </c>
      <c r="AC67">
        <f t="shared" ref="AC67:AC73" si="46">AG67-U67</f>
        <v>4717.3097500000003</v>
      </c>
      <c r="AD67">
        <f t="shared" si="45"/>
        <v>4240</v>
      </c>
      <c r="AE67">
        <f t="shared" si="45"/>
        <v>2040</v>
      </c>
      <c r="AF67">
        <f t="shared" si="45"/>
        <v>8660</v>
      </c>
      <c r="AG67" cm="1">
        <f t="array" ref="AG67">SUM(AE16:AG16*AD67:AF67)</f>
        <v>119020.4</v>
      </c>
    </row>
    <row r="68" spans="1:33">
      <c r="A68" s="3"/>
      <c r="C68"/>
      <c r="D68"/>
      <c r="E68"/>
      <c r="F68"/>
      <c r="G68"/>
      <c r="H68"/>
      <c r="I68"/>
      <c r="J68" s="13"/>
      <c r="K68" s="13"/>
      <c r="L68" s="13"/>
      <c r="M68" s="13"/>
      <c r="N68" s="13"/>
      <c r="O68" s="13"/>
      <c r="P68" s="13"/>
      <c r="Q68" s="13"/>
      <c r="R68" s="13"/>
      <c r="T68" s="3"/>
      <c r="U68">
        <f t="shared" si="41"/>
        <v>125278.17425</v>
      </c>
      <c r="V68" s="33"/>
      <c r="W68">
        <f t="shared" si="42"/>
        <v>17010</v>
      </c>
      <c r="Y68">
        <f t="shared" si="43"/>
        <v>4600</v>
      </c>
      <c r="AA68" s="1">
        <f t="shared" si="44"/>
        <v>9990</v>
      </c>
      <c r="AC68">
        <f t="shared" si="46"/>
        <v>-5631.8742499999935</v>
      </c>
      <c r="AD68">
        <f t="shared" si="45"/>
        <v>4600</v>
      </c>
      <c r="AE68">
        <f t="shared" si="45"/>
        <v>2420</v>
      </c>
      <c r="AF68">
        <f t="shared" si="45"/>
        <v>9990</v>
      </c>
      <c r="AG68" cm="1">
        <f t="array" ref="AG68">SUM(AE17:AG17*AD68:AF68)</f>
        <v>119646.3</v>
      </c>
    </row>
    <row r="69" spans="1:33">
      <c r="U69">
        <f t="shared" si="41"/>
        <v>117769.06624999999</v>
      </c>
      <c r="W69">
        <f t="shared" si="42"/>
        <v>15980</v>
      </c>
      <c r="Y69">
        <f t="shared" si="43"/>
        <v>4560</v>
      </c>
      <c r="AA69" s="1">
        <f t="shared" si="44"/>
        <v>8490</v>
      </c>
      <c r="AC69">
        <f t="shared" si="46"/>
        <v>-2131.7662500000006</v>
      </c>
      <c r="AD69">
        <f t="shared" si="45"/>
        <v>4560</v>
      </c>
      <c r="AE69">
        <f t="shared" si="45"/>
        <v>2930</v>
      </c>
      <c r="AF69">
        <f t="shared" si="45"/>
        <v>8490</v>
      </c>
      <c r="AG69" cm="1">
        <f t="array" ref="AG69">SUM(AE18:AG18*AD69:AF69)</f>
        <v>115637.29999999999</v>
      </c>
    </row>
    <row r="70" spans="1:33">
      <c r="T70" s="14"/>
      <c r="U70">
        <f t="shared" si="41"/>
        <v>122554.86725</v>
      </c>
      <c r="W70">
        <f t="shared" si="42"/>
        <v>16430</v>
      </c>
      <c r="X70" s="14"/>
      <c r="Y70">
        <f t="shared" si="43"/>
        <v>4750</v>
      </c>
      <c r="AA70" s="1">
        <f t="shared" si="44"/>
        <v>9490</v>
      </c>
      <c r="AC70">
        <f t="shared" si="46"/>
        <v>6549.9327499999927</v>
      </c>
      <c r="AD70">
        <f t="shared" si="45"/>
        <v>4750</v>
      </c>
      <c r="AE70">
        <f t="shared" si="45"/>
        <v>2190</v>
      </c>
      <c r="AF70">
        <f t="shared" si="45"/>
        <v>9490</v>
      </c>
      <c r="AG70" cm="1">
        <f t="array" ref="AG70">SUM(AE19:AG19*AD70:AF70)</f>
        <v>129104.79999999999</v>
      </c>
    </row>
    <row r="71" spans="1:33">
      <c r="U71">
        <f t="shared" si="41"/>
        <v>126903.03825</v>
      </c>
      <c r="W71">
        <f t="shared" si="42"/>
        <v>17250</v>
      </c>
      <c r="Y71">
        <f t="shared" si="43"/>
        <v>4920</v>
      </c>
      <c r="AA71" s="1">
        <f t="shared" si="44"/>
        <v>9990</v>
      </c>
      <c r="AC71">
        <f t="shared" si="46"/>
        <v>-12521.438249999992</v>
      </c>
      <c r="AD71">
        <f t="shared" si="45"/>
        <v>4920</v>
      </c>
      <c r="AE71">
        <f t="shared" si="45"/>
        <v>2340</v>
      </c>
      <c r="AF71">
        <f t="shared" si="45"/>
        <v>9990</v>
      </c>
      <c r="AG71" cm="1">
        <f t="array" ref="AG71">SUM(AE20:AG20*AD71:AF71)</f>
        <v>114381.6</v>
      </c>
    </row>
    <row r="72" spans="1:33">
      <c r="T72" s="9"/>
      <c r="U72">
        <f t="shared" si="41"/>
        <v>124097.53425</v>
      </c>
      <c r="W72">
        <f t="shared" si="42"/>
        <v>16620</v>
      </c>
      <c r="X72" s="9"/>
      <c r="Y72">
        <f t="shared" si="43"/>
        <v>4920</v>
      </c>
      <c r="AA72" s="1">
        <f t="shared" si="44"/>
        <v>9660</v>
      </c>
      <c r="AC72">
        <f t="shared" si="46"/>
        <v>6520.0657500000088</v>
      </c>
      <c r="AD72">
        <f t="shared" si="45"/>
        <v>4920</v>
      </c>
      <c r="AE72">
        <f t="shared" si="45"/>
        <v>2040</v>
      </c>
      <c r="AF72">
        <f t="shared" si="45"/>
        <v>9660</v>
      </c>
      <c r="AG72" cm="1">
        <f t="array" ref="AG72">SUM(AE21:AG21*AD72:AF72)</f>
        <v>130617.60000000001</v>
      </c>
    </row>
    <row r="73" spans="1:33">
      <c r="T73" s="3"/>
      <c r="U73">
        <f t="shared" si="41"/>
        <v>113444.27925000001</v>
      </c>
      <c r="W73">
        <f t="shared" si="42"/>
        <v>14840</v>
      </c>
      <c r="X73" s="3"/>
      <c r="Y73">
        <f t="shared" si="43"/>
        <v>4550</v>
      </c>
      <c r="AA73" s="1">
        <f t="shared" si="44"/>
        <v>8160</v>
      </c>
      <c r="AC73">
        <f t="shared" si="46"/>
        <v>5565.820749999999</v>
      </c>
      <c r="AD73">
        <f t="shared" si="45"/>
        <v>4550</v>
      </c>
      <c r="AE73">
        <f t="shared" si="45"/>
        <v>2130</v>
      </c>
      <c r="AF73">
        <f t="shared" si="45"/>
        <v>8160</v>
      </c>
      <c r="AG73" cm="1">
        <f t="array" ref="AG73">SUM(AE22:AG22*AD73:AF73)</f>
        <v>119010.1</v>
      </c>
    </row>
    <row r="74" spans="1:33">
      <c r="T74" s="3"/>
      <c r="V74" s="33" t="s">
        <v>84</v>
      </c>
      <c r="W74">
        <f>CORREL(W66:W73,(AG66:AG73))</f>
        <v>0.57545290307567554</v>
      </c>
      <c r="X74" s="3"/>
      <c r="Y74">
        <f>CORREL(Y66:Y73,AG66:AG73)</f>
        <v>0.7720245810977312</v>
      </c>
      <c r="AA74" s="1">
        <f>CORREL(AA66:AA73,AG66:AG73)</f>
        <v>0.36465471076217038</v>
      </c>
    </row>
    <row r="75" spans="1:33">
      <c r="T75" s="3"/>
      <c r="W75">
        <f>CORREL(W66:W73,U66:U73)</f>
        <v>0.99326323678261408</v>
      </c>
      <c r="X75" s="3"/>
      <c r="Y75">
        <f>CORREL(Y66:Y73,U66:U73)</f>
        <v>0.84940577636983372</v>
      </c>
      <c r="AA75" s="1">
        <f>CORREL(AA66:AA73,U66:U73)</f>
        <v>0.84155911323200383</v>
      </c>
    </row>
    <row r="76" spans="1:33">
      <c r="T76" s="3"/>
      <c r="U76" t="s">
        <v>88</v>
      </c>
      <c r="V76" cm="1">
        <f t="array" ref="V76">STDEVP(U66:U73)+SUM((AC66:AC73)^2)/8</f>
        <v>42644953.971111581</v>
      </c>
      <c r="X76" s="3"/>
    </row>
    <row r="77" spans="1:33">
      <c r="T77" s="3"/>
      <c r="V77" t="s">
        <v>101</v>
      </c>
      <c r="X77" s="3"/>
      <c r="AA77" s="3"/>
    </row>
    <row r="78" spans="1:33">
      <c r="T78" s="3"/>
      <c r="X78" s="3"/>
    </row>
    <row r="79" spans="1:33">
      <c r="T79" s="3"/>
      <c r="U79" s="14"/>
      <c r="X79" s="3"/>
    </row>
    <row r="80" spans="1:33">
      <c r="T80" s="3"/>
      <c r="X80" s="3"/>
    </row>
    <row r="81" spans="1:27">
      <c r="AA81" s="9"/>
    </row>
    <row r="82" spans="1:27">
      <c r="AA82" s="3"/>
    </row>
    <row r="83" spans="1:27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T83" s="13"/>
      <c r="X83" s="13"/>
      <c r="AA83" s="3"/>
    </row>
    <row r="84" spans="1:27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T84" s="13"/>
      <c r="X84" s="13"/>
      <c r="AA84" s="3"/>
    </row>
    <row r="85" spans="1:27">
      <c r="AA85" s="3"/>
    </row>
    <row r="86" spans="1:27">
      <c r="AA86" s="3"/>
    </row>
    <row r="87" spans="1:27">
      <c r="AA87" s="3"/>
    </row>
    <row r="88" spans="1:27">
      <c r="AA88" s="3"/>
    </row>
    <row r="89" spans="1:27">
      <c r="AA89" s="3"/>
    </row>
    <row r="92" spans="1:27">
      <c r="AA92" s="13"/>
    </row>
    <row r="93" spans="1:27">
      <c r="AA93" s="13"/>
    </row>
  </sheetData>
  <phoneticPr fontId="8" type="noConversion"/>
  <pageMargins left="0.75" right="0.75" top="1" bottom="1" header="0.5" footer="0.5"/>
  <pageSetup paperSize="9" orientation="portrait" horizontalDpi="1200" verticalDpi="1200" r:id="rId1"/>
  <ignoredErrors>
    <ignoredError sqref="D7:D8 D9:D2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BD28-A6E1-4896-8EDA-02CAC265D235}">
  <dimension ref="A1:Z56"/>
  <sheetViews>
    <sheetView topLeftCell="A7" workbookViewId="0">
      <selection activeCell="N38" sqref="N38"/>
    </sheetView>
  </sheetViews>
  <sheetFormatPr defaultRowHeight="12.75"/>
  <cols>
    <col min="5" max="5" width="13.7109375" customWidth="1"/>
    <col min="6" max="6" width="10.85546875" customWidth="1"/>
    <col min="7" max="7" width="12.42578125" customWidth="1"/>
    <col min="16" max="16" width="15.140625" customWidth="1"/>
    <col min="17" max="17" width="11.28515625" bestFit="1" customWidth="1"/>
    <col min="26" max="26" width="12.85546875" bestFit="1" customWidth="1"/>
  </cols>
  <sheetData>
    <row r="1" spans="1:11">
      <c r="A1" s="33" t="s">
        <v>47</v>
      </c>
      <c r="B1" t="s">
        <v>104</v>
      </c>
      <c r="G1" t="s">
        <v>108</v>
      </c>
      <c r="H1" t="s">
        <v>109</v>
      </c>
      <c r="I1" t="s">
        <v>110</v>
      </c>
      <c r="J1" t="s">
        <v>91</v>
      </c>
      <c r="K1" t="s">
        <v>92</v>
      </c>
    </row>
    <row r="2" spans="1:11">
      <c r="A2" t="s">
        <v>99</v>
      </c>
      <c r="B2" t="s">
        <v>98</v>
      </c>
      <c r="F2">
        <f>(2.9224+28155.73/(G2+H2))*G2</f>
        <v>28346.092667104687</v>
      </c>
      <c r="G2">
        <f>4.56375*1000</f>
        <v>4563.75</v>
      </c>
      <c r="H2">
        <f>3.9975*1000</f>
        <v>3997.5</v>
      </c>
      <c r="K2">
        <v>6000000</v>
      </c>
    </row>
    <row r="3" spans="1:11">
      <c r="A3" t="s">
        <v>100</v>
      </c>
      <c r="B3" t="s">
        <v>105</v>
      </c>
      <c r="F3">
        <f>(2.9224+2.8859+28155.73/(G3+H3))*H3</f>
        <v>21817.080738228917</v>
      </c>
      <c r="G3">
        <f>4.215625*1000</f>
        <v>4215.625</v>
      </c>
      <c r="H3">
        <f>2.129375*1000</f>
        <v>2129.375</v>
      </c>
      <c r="I3">
        <f>9.02125*1000</f>
        <v>9021.25</v>
      </c>
    </row>
    <row r="4" spans="1:11">
      <c r="A4" s="33"/>
    </row>
    <row r="5" spans="1:11">
      <c r="B5" t="s">
        <v>89</v>
      </c>
    </row>
    <row r="7" spans="1:11">
      <c r="B7" t="s">
        <v>101</v>
      </c>
      <c r="J7" t="s">
        <v>90</v>
      </c>
      <c r="K7" t="s">
        <v>92</v>
      </c>
    </row>
    <row r="8" spans="1:11">
      <c r="A8" t="s">
        <v>99</v>
      </c>
      <c r="B8" t="s">
        <v>102</v>
      </c>
      <c r="K8">
        <v>9000000</v>
      </c>
    </row>
    <row r="9" spans="1:11">
      <c r="A9" t="s">
        <v>100</v>
      </c>
      <c r="B9" t="s">
        <v>106</v>
      </c>
    </row>
    <row r="10" spans="1:11">
      <c r="A10" t="s">
        <v>103</v>
      </c>
      <c r="B10" t="s">
        <v>107</v>
      </c>
    </row>
    <row r="12" spans="1:11" ht="13.5" thickBot="1"/>
    <row r="13" spans="1:11" ht="12.75" customHeight="1" thickBot="1">
      <c r="B13" s="17"/>
      <c r="C13" s="18" t="s">
        <v>93</v>
      </c>
      <c r="D13" s="18" t="s">
        <v>94</v>
      </c>
    </row>
    <row r="14" spans="1:11" ht="15.75" thickBot="1">
      <c r="B14" s="19" t="s">
        <v>5</v>
      </c>
      <c r="C14" s="21">
        <v>450</v>
      </c>
      <c r="D14" s="21">
        <v>10.5</v>
      </c>
    </row>
    <row r="15" spans="1:11" ht="15.75" thickBot="1">
      <c r="B15" s="19" t="s">
        <v>6</v>
      </c>
      <c r="C15" s="21">
        <v>300</v>
      </c>
      <c r="D15" s="21">
        <v>7</v>
      </c>
    </row>
    <row r="16" spans="1:11" ht="15.75" thickBot="1">
      <c r="B16" s="19" t="s">
        <v>7</v>
      </c>
      <c r="C16" s="21">
        <v>450</v>
      </c>
      <c r="D16" s="21">
        <v>7</v>
      </c>
    </row>
    <row r="18" spans="2:14" ht="13.5" thickBot="1"/>
    <row r="19" spans="2:14" ht="12.75" customHeight="1" thickBot="1">
      <c r="B19" s="45" t="s">
        <v>95</v>
      </c>
      <c r="C19" s="18" t="s">
        <v>93</v>
      </c>
    </row>
    <row r="20" spans="2:14" ht="15.75" thickBot="1">
      <c r="B20" s="46">
        <v>12</v>
      </c>
      <c r="C20" s="21">
        <v>350</v>
      </c>
      <c r="D20">
        <f>LOG(C20)</f>
        <v>2.5440680443502757</v>
      </c>
    </row>
    <row r="21" spans="2:14" ht="15.75" thickBot="1">
      <c r="B21" s="46">
        <v>10.5</v>
      </c>
      <c r="C21" s="21">
        <v>450</v>
      </c>
      <c r="D21">
        <f t="shared" ref="D21:D23" si="0">LOG(C21)</f>
        <v>2.6532125137753435</v>
      </c>
    </row>
    <row r="22" spans="2:14" ht="15.75" thickBot="1">
      <c r="B22" s="46">
        <v>9</v>
      </c>
      <c r="C22" s="21">
        <v>650</v>
      </c>
      <c r="D22">
        <f t="shared" si="0"/>
        <v>2.8129133566428557</v>
      </c>
    </row>
    <row r="23" spans="2:14" ht="15.75" thickBot="1">
      <c r="B23" s="46">
        <v>7.5</v>
      </c>
      <c r="C23" s="21">
        <v>900</v>
      </c>
      <c r="D23">
        <f t="shared" si="0"/>
        <v>2.9542425094393248</v>
      </c>
    </row>
    <row r="24" spans="2:14">
      <c r="D24">
        <f>CORREL(B20:B23,D20:D23)</f>
        <v>-0.99744085380823466</v>
      </c>
    </row>
    <row r="30" spans="2:14" ht="14.25" customHeight="1">
      <c r="M30" s="48" t="s">
        <v>96</v>
      </c>
      <c r="N30" s="48" t="s">
        <v>97</v>
      </c>
    </row>
    <row r="31" spans="2:14">
      <c r="M31" s="48">
        <v>10.5</v>
      </c>
      <c r="N31" s="48">
        <f>2.4691*M31^3 - 55.556*M31^2 + 244.44*M31 + 1150</f>
        <v>449.86288749999994</v>
      </c>
    </row>
    <row r="36" spans="2:26" ht="13.5" thickBot="1">
      <c r="M36" t="s">
        <v>111</v>
      </c>
      <c r="T36" s="15" t="s">
        <v>116</v>
      </c>
      <c r="V36" s="15" t="s">
        <v>117</v>
      </c>
    </row>
    <row r="37" spans="2:26">
      <c r="M37" s="49" t="s">
        <v>99</v>
      </c>
      <c r="N37" s="50" t="s">
        <v>100</v>
      </c>
      <c r="O37" s="50"/>
      <c r="P37" s="50" t="s">
        <v>99</v>
      </c>
      <c r="Q37" s="50" t="s">
        <v>100</v>
      </c>
      <c r="R37" s="51" t="s">
        <v>103</v>
      </c>
      <c r="T37" s="49" t="s">
        <v>99</v>
      </c>
      <c r="U37" s="50" t="s">
        <v>100</v>
      </c>
      <c r="V37" s="50" t="s">
        <v>99</v>
      </c>
      <c r="W37" s="50" t="s">
        <v>100</v>
      </c>
      <c r="X37" s="51" t="s">
        <v>103</v>
      </c>
    </row>
    <row r="38" spans="2:26" ht="13.5" thickBot="1">
      <c r="L38" t="s">
        <v>119</v>
      </c>
      <c r="M38" s="52">
        <v>9.0969552781427936</v>
      </c>
      <c r="N38" s="42">
        <v>6.2110552781427941</v>
      </c>
      <c r="O38" s="42"/>
      <c r="P38" s="42">
        <v>7.9622565118360047</v>
      </c>
      <c r="Q38" s="42">
        <v>5.0763565118360043</v>
      </c>
      <c r="R38" s="53">
        <v>7.9987565118360049</v>
      </c>
      <c r="T38" s="52">
        <v>237.31500000000003</v>
      </c>
      <c r="U38" s="42">
        <v>207.86999999999998</v>
      </c>
      <c r="V38" s="42">
        <v>219.21250000000001</v>
      </c>
      <c r="W38" s="42">
        <v>110.72750000000001</v>
      </c>
      <c r="X38" s="53">
        <v>469.1049999999999</v>
      </c>
    </row>
    <row r="39" spans="2:26">
      <c r="L39" t="s">
        <v>118</v>
      </c>
      <c r="M39">
        <f>M38*1000</f>
        <v>9096.9552781427938</v>
      </c>
      <c r="N39">
        <f t="shared" ref="N39:R39" si="1">N38*1000</f>
        <v>6211.0552781427941</v>
      </c>
      <c r="P39">
        <f t="shared" si="1"/>
        <v>7962.2565118360044</v>
      </c>
      <c r="Q39">
        <f t="shared" si="1"/>
        <v>5076.3565118360048</v>
      </c>
      <c r="R39">
        <f t="shared" si="1"/>
        <v>7998.7565118360053</v>
      </c>
    </row>
    <row r="41" spans="2:26" ht="13.5" thickBot="1">
      <c r="M41" t="s">
        <v>112</v>
      </c>
    </row>
    <row r="42" spans="2:26">
      <c r="M42" s="49" t="s">
        <v>99</v>
      </c>
      <c r="N42" s="50" t="s">
        <v>100</v>
      </c>
      <c r="O42" s="50"/>
      <c r="P42" s="50" t="s">
        <v>99</v>
      </c>
      <c r="Q42" s="50" t="s">
        <v>100</v>
      </c>
      <c r="R42" s="51" t="s">
        <v>103</v>
      </c>
      <c r="T42" t="s">
        <v>120</v>
      </c>
      <c r="Z42" t="s">
        <v>121</v>
      </c>
    </row>
    <row r="43" spans="2:26" ht="13.5" thickBot="1">
      <c r="L43" t="s">
        <v>119</v>
      </c>
      <c r="M43" s="52">
        <f>O49-M38</f>
        <v>1.4030447218572064</v>
      </c>
      <c r="N43" s="42">
        <f>O50-N38</f>
        <v>0.78894472185720588</v>
      </c>
      <c r="O43" s="42"/>
      <c r="P43" s="42">
        <f>O49-P38</f>
        <v>2.5377434881639953</v>
      </c>
      <c r="Q43" s="42">
        <f>O50-Q38</f>
        <v>1.9236434881639957</v>
      </c>
      <c r="R43" s="53">
        <f>O51-R38</f>
        <v>-0.99875651183600489</v>
      </c>
      <c r="T43">
        <f>T38*M39</f>
        <v>2158843.9418324572</v>
      </c>
      <c r="U43">
        <f t="shared" ref="U43" si="2">U38*N39</f>
        <v>1291092.0606675425</v>
      </c>
      <c r="W43">
        <f>V38*P39</f>
        <v>1745426.1556008502</v>
      </c>
      <c r="X43">
        <f>W38*Q39</f>
        <v>562092.26566432125</v>
      </c>
      <c r="Y43">
        <f>X38*R39</f>
        <v>3752256.6734848283</v>
      </c>
      <c r="Z43" s="54">
        <f>SUM(T43:Y43)</f>
        <v>9509711.0972499996</v>
      </c>
    </row>
    <row r="44" spans="2:26">
      <c r="L44" t="s">
        <v>118</v>
      </c>
      <c r="M44">
        <f>M43*1000</f>
        <v>1403.0447218572065</v>
      </c>
      <c r="N44">
        <f t="shared" ref="N44:R44" si="3">N43*1000</f>
        <v>788.94472185720588</v>
      </c>
      <c r="P44">
        <f t="shared" si="3"/>
        <v>2537.7434881639952</v>
      </c>
      <c r="Q44">
        <f t="shared" si="3"/>
        <v>1923.6434881639957</v>
      </c>
      <c r="R44">
        <f t="shared" si="3"/>
        <v>-998.75651183600485</v>
      </c>
    </row>
    <row r="46" spans="2:26" ht="14.25" customHeight="1"/>
    <row r="47" spans="2:26" ht="15.75" thickBot="1">
      <c r="B47" s="46">
        <v>12</v>
      </c>
      <c r="C47" s="21">
        <v>350</v>
      </c>
    </row>
    <row r="48" spans="2:26" ht="24.75" customHeight="1" thickBot="1">
      <c r="B48" s="46">
        <v>10.5</v>
      </c>
      <c r="C48" s="21">
        <v>450</v>
      </c>
      <c r="M48" s="17"/>
      <c r="N48" s="18" t="s">
        <v>93</v>
      </c>
      <c r="O48" s="18" t="s">
        <v>94</v>
      </c>
      <c r="P48" t="s">
        <v>123</v>
      </c>
      <c r="Q48" t="s">
        <v>122</v>
      </c>
    </row>
    <row r="49" spans="2:17" ht="15.75" thickBot="1">
      <c r="B49" s="46">
        <v>9</v>
      </c>
      <c r="C49" s="21">
        <v>650</v>
      </c>
      <c r="M49" s="19" t="s">
        <v>5</v>
      </c>
      <c r="N49" s="56">
        <f>2.4691*O49^3 - 55.556*O49^2 + 244.44*O49 + 1150</f>
        <v>449.86288749999994</v>
      </c>
      <c r="O49" s="55">
        <v>10.5</v>
      </c>
      <c r="P49">
        <f t="shared" ref="P49:P51" si="4">N49*O49*1000</f>
        <v>4723560.3187499996</v>
      </c>
    </row>
    <row r="50" spans="2:17" ht="15.75" thickBot="1">
      <c r="B50" s="46">
        <v>7.5</v>
      </c>
      <c r="C50" s="21">
        <v>900</v>
      </c>
      <c r="M50" s="19" t="s">
        <v>6</v>
      </c>
      <c r="N50" s="21">
        <v>300</v>
      </c>
      <c r="O50" s="21">
        <v>7</v>
      </c>
      <c r="P50">
        <f t="shared" si="4"/>
        <v>2100000</v>
      </c>
    </row>
    <row r="51" spans="2:17" ht="15.75" thickBot="1">
      <c r="M51" s="19" t="s">
        <v>7</v>
      </c>
      <c r="N51" s="21">
        <v>450</v>
      </c>
      <c r="O51" s="21">
        <v>7</v>
      </c>
      <c r="P51">
        <f t="shared" si="4"/>
        <v>3150000</v>
      </c>
      <c r="Q51" t="s">
        <v>124</v>
      </c>
    </row>
    <row r="52" spans="2:17">
      <c r="O52" t="s">
        <v>121</v>
      </c>
      <c r="P52" s="54">
        <f>SUM(P49:P51)</f>
        <v>9973560.3187499996</v>
      </c>
      <c r="Q52" s="54">
        <f>P52-Z43</f>
        <v>463849.22149999999</v>
      </c>
    </row>
    <row r="56" spans="2:17">
      <c r="O56" t="s">
        <v>125</v>
      </c>
    </row>
  </sheetData>
  <phoneticPr fontId="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254A-6139-4106-BE64-028AE148950B}">
  <dimension ref="A1:AH52"/>
  <sheetViews>
    <sheetView tabSelected="1" topLeftCell="A22" workbookViewId="0">
      <selection activeCell="G48" sqref="G48"/>
    </sheetView>
  </sheetViews>
  <sheetFormatPr defaultRowHeight="12.75"/>
  <cols>
    <col min="2" max="2" width="13.42578125" bestFit="1" customWidth="1"/>
    <col min="3" max="3" width="12.85546875" bestFit="1" customWidth="1"/>
    <col min="4" max="5" width="13" customWidth="1"/>
    <col min="6" max="6" width="15.7109375" customWidth="1"/>
    <col min="17" max="18" width="14.28515625" customWidth="1"/>
  </cols>
  <sheetData>
    <row r="1" spans="1:34" ht="13.5" thickBot="1">
      <c r="A1" t="s">
        <v>111</v>
      </c>
      <c r="I1" s="15" t="s">
        <v>116</v>
      </c>
      <c r="K1" s="15" t="s">
        <v>117</v>
      </c>
      <c r="AG1" t="s">
        <v>91</v>
      </c>
      <c r="AH1" t="s">
        <v>92</v>
      </c>
    </row>
    <row r="2" spans="1:34">
      <c r="A2" s="49" t="s">
        <v>99</v>
      </c>
      <c r="B2" s="50" t="s">
        <v>100</v>
      </c>
      <c r="C2" s="50"/>
      <c r="D2" s="50" t="s">
        <v>99</v>
      </c>
      <c r="E2" s="50"/>
      <c r="F2" s="50" t="s">
        <v>100</v>
      </c>
      <c r="G2" s="51" t="s">
        <v>103</v>
      </c>
      <c r="I2" s="49" t="s">
        <v>99</v>
      </c>
      <c r="J2" s="50" t="s">
        <v>100</v>
      </c>
      <c r="K2" s="50" t="s">
        <v>99</v>
      </c>
      <c r="L2" s="50" t="s">
        <v>100</v>
      </c>
      <c r="M2" s="51" t="s">
        <v>103</v>
      </c>
      <c r="AH2">
        <v>6000000</v>
      </c>
    </row>
    <row r="3" spans="1:34" ht="13.5" thickBot="1">
      <c r="A3" s="52">
        <v>9.0969552781427936</v>
      </c>
      <c r="B3" s="42">
        <v>6.2110552781427941</v>
      </c>
      <c r="C3" s="42"/>
      <c r="D3" s="42">
        <v>7.9622565118360047</v>
      </c>
      <c r="E3" s="42"/>
      <c r="F3" s="42">
        <v>5.0763565118360043</v>
      </c>
      <c r="G3" s="53">
        <v>7.9987565118360049</v>
      </c>
      <c r="I3" s="52">
        <v>237.31500000000003</v>
      </c>
      <c r="J3" s="42">
        <v>207.86999999999998</v>
      </c>
      <c r="K3" s="42">
        <v>219.21250000000001</v>
      </c>
      <c r="L3" s="42">
        <v>110.72750000000001</v>
      </c>
      <c r="M3" s="53">
        <v>469.1049999999999</v>
      </c>
    </row>
    <row r="4" spans="1:34">
      <c r="A4">
        <f>A3*1000</f>
        <v>9096.9552781427938</v>
      </c>
      <c r="B4">
        <f t="shared" ref="B4:G4" si="0">B3*1000</f>
        <v>6211.0552781427941</v>
      </c>
      <c r="D4">
        <f t="shared" si="0"/>
        <v>7962.2565118360044</v>
      </c>
      <c r="F4">
        <f t="shared" si="0"/>
        <v>5076.3565118360048</v>
      </c>
      <c r="G4">
        <f t="shared" si="0"/>
        <v>7998.7565118360053</v>
      </c>
      <c r="I4" t="s">
        <v>126</v>
      </c>
      <c r="K4" t="s">
        <v>127</v>
      </c>
    </row>
    <row r="6" spans="1:34" ht="13.5" thickBot="1">
      <c r="A6" t="s">
        <v>112</v>
      </c>
    </row>
    <row r="7" spans="1:34">
      <c r="A7" s="49" t="s">
        <v>99</v>
      </c>
      <c r="B7" s="50" t="s">
        <v>100</v>
      </c>
      <c r="C7" s="50"/>
      <c r="D7" s="50" t="s">
        <v>99</v>
      </c>
      <c r="E7" s="50"/>
      <c r="F7" s="50" t="s">
        <v>100</v>
      </c>
      <c r="G7" s="51" t="s">
        <v>103</v>
      </c>
      <c r="I7" t="s">
        <v>120</v>
      </c>
      <c r="Q7" t="s">
        <v>121</v>
      </c>
    </row>
    <row r="8" spans="1:34" ht="13.5" thickBot="1">
      <c r="A8" s="52">
        <f>C14-A3</f>
        <v>1.4030447218572064</v>
      </c>
      <c r="B8" s="42">
        <f>C15-B3</f>
        <v>0.78894472185720588</v>
      </c>
      <c r="C8" s="42"/>
      <c r="D8" s="42">
        <f>C14-D3</f>
        <v>2.5377434881639953</v>
      </c>
      <c r="E8" s="42"/>
      <c r="F8" s="42">
        <f>C15-F3</f>
        <v>1.9236434881639957</v>
      </c>
      <c r="G8" s="53">
        <f>C16-G3</f>
        <v>-0.99875651183600489</v>
      </c>
      <c r="I8">
        <f>I3*A4</f>
        <v>2158843.9418324572</v>
      </c>
      <c r="J8">
        <f t="shared" ref="J8" si="1">J3*B4</f>
        <v>1291092.0606675425</v>
      </c>
      <c r="L8">
        <f>K3*D4</f>
        <v>1745426.1556008502</v>
      </c>
      <c r="M8">
        <f>L3*F4</f>
        <v>562092.26566432125</v>
      </c>
      <c r="N8">
        <f>M3*G4</f>
        <v>3752256.6734848283</v>
      </c>
      <c r="Q8" s="54">
        <f>SUM(I8:N8)</f>
        <v>9509711.0972499996</v>
      </c>
      <c r="R8" s="54"/>
      <c r="AG8" t="s">
        <v>90</v>
      </c>
      <c r="AH8" t="s">
        <v>92</v>
      </c>
    </row>
    <row r="9" spans="1:34">
      <c r="A9">
        <f>A8*1000</f>
        <v>1403.0447218572065</v>
      </c>
      <c r="B9">
        <f t="shared" ref="B9:G9" si="2">B8*1000</f>
        <v>788.94472185720588</v>
      </c>
      <c r="D9">
        <f t="shared" si="2"/>
        <v>2537.7434881639952</v>
      </c>
      <c r="F9">
        <f t="shared" si="2"/>
        <v>1923.6434881639957</v>
      </c>
      <c r="G9">
        <f t="shared" si="2"/>
        <v>-998.75651183600485</v>
      </c>
      <c r="AH9">
        <v>9000000</v>
      </c>
    </row>
    <row r="12" spans="1:34" ht="13.5" thickBot="1"/>
    <row r="13" spans="1:34" ht="23.25" customHeight="1" thickBot="1">
      <c r="A13" s="17"/>
      <c r="B13" s="18" t="s">
        <v>93</v>
      </c>
      <c r="C13" s="18" t="s">
        <v>94</v>
      </c>
      <c r="D13" t="s">
        <v>123</v>
      </c>
      <c r="F13" t="s">
        <v>122</v>
      </c>
    </row>
    <row r="14" spans="1:34" ht="15.75" thickBot="1">
      <c r="A14" s="19" t="s">
        <v>5</v>
      </c>
      <c r="B14" s="56">
        <f>2.4691*C14^3 - 55.556*C14^2 + 244.44*C14 + 1150</f>
        <v>449.86288749999994</v>
      </c>
      <c r="C14" s="55">
        <v>10.5</v>
      </c>
      <c r="D14">
        <f t="shared" ref="D14:D16" si="3">B14*C14*1000</f>
        <v>4723560.3187499996</v>
      </c>
    </row>
    <row r="15" spans="1:34" ht="15.75" thickBot="1">
      <c r="A15" s="19" t="s">
        <v>6</v>
      </c>
      <c r="B15" s="21">
        <v>300</v>
      </c>
      <c r="C15" s="21">
        <v>7</v>
      </c>
      <c r="D15">
        <f t="shared" si="3"/>
        <v>2100000</v>
      </c>
    </row>
    <row r="16" spans="1:34" ht="15.75" thickBot="1">
      <c r="A16" s="19" t="s">
        <v>7</v>
      </c>
      <c r="B16" s="21">
        <v>450</v>
      </c>
      <c r="C16" s="21">
        <v>7</v>
      </c>
      <c r="D16">
        <f t="shared" si="3"/>
        <v>3150000</v>
      </c>
      <c r="F16" t="s">
        <v>124</v>
      </c>
    </row>
    <row r="17" spans="1:19">
      <c r="C17" t="s">
        <v>121</v>
      </c>
      <c r="D17" s="54">
        <f>SUM(D14:D16)</f>
        <v>9973560.3187499996</v>
      </c>
      <c r="E17" s="54"/>
      <c r="F17" s="54">
        <f>D17-Q8</f>
        <v>463849.22149999999</v>
      </c>
    </row>
    <row r="21" spans="1:19">
      <c r="C21" t="s">
        <v>125</v>
      </c>
    </row>
    <row r="25" spans="1:19" ht="13.5" thickBot="1">
      <c r="A25" s="15" t="s">
        <v>116</v>
      </c>
      <c r="C25" s="15" t="s">
        <v>117</v>
      </c>
    </row>
    <row r="26" spans="1:19">
      <c r="A26" s="49" t="s">
        <v>99</v>
      </c>
      <c r="B26" s="50" t="s">
        <v>100</v>
      </c>
      <c r="C26" s="50" t="s">
        <v>99</v>
      </c>
      <c r="D26" s="50" t="s">
        <v>100</v>
      </c>
      <c r="E26" s="50"/>
      <c r="F26" s="51" t="s">
        <v>103</v>
      </c>
    </row>
    <row r="27" spans="1:19" ht="13.5" thickBot="1">
      <c r="A27" s="58">
        <v>237.31500000000003</v>
      </c>
      <c r="B27" s="59">
        <v>207.86999999999998</v>
      </c>
      <c r="C27" s="59">
        <v>219.21250000000001</v>
      </c>
      <c r="D27" s="59">
        <v>110.72750000000001</v>
      </c>
      <c r="E27" s="59"/>
      <c r="F27" s="60">
        <v>469.1049999999999</v>
      </c>
    </row>
    <row r="29" spans="1:19">
      <c r="I29" s="33" t="s">
        <v>147</v>
      </c>
      <c r="J29" s="33" t="s">
        <v>148</v>
      </c>
    </row>
    <row r="30" spans="1:19">
      <c r="A30" s="63" t="s">
        <v>47</v>
      </c>
      <c r="B30" s="15" t="s">
        <v>104</v>
      </c>
      <c r="C30" s="15"/>
      <c r="D30" s="15"/>
      <c r="E30" s="15"/>
      <c r="F30" s="15"/>
      <c r="G30" s="15" t="s">
        <v>142</v>
      </c>
      <c r="H30" s="15" t="s">
        <v>141</v>
      </c>
      <c r="I30" s="15" t="s">
        <v>128</v>
      </c>
      <c r="J30" s="15" t="s">
        <v>129</v>
      </c>
      <c r="K30" s="15" t="s">
        <v>130</v>
      </c>
      <c r="L30" s="15" t="s">
        <v>135</v>
      </c>
      <c r="M30" s="15" t="s">
        <v>136</v>
      </c>
      <c r="N30" s="15" t="s">
        <v>137</v>
      </c>
      <c r="O30" s="15" t="s">
        <v>138</v>
      </c>
      <c r="P30" s="15" t="s">
        <v>139</v>
      </c>
      <c r="Q30" s="15" t="s">
        <v>140</v>
      </c>
      <c r="R30" s="15" t="s">
        <v>144</v>
      </c>
    </row>
    <row r="31" spans="1:19">
      <c r="A31" s="33"/>
      <c r="I31">
        <f>ROUND(L31,2)*1000</f>
        <v>4450</v>
      </c>
      <c r="J31">
        <f>ROUND(M31,2)*1000</f>
        <v>4810</v>
      </c>
      <c r="K31">
        <f>ROUND(N31,2)*1000</f>
        <v>0</v>
      </c>
      <c r="L31">
        <f>O31/52</f>
        <v>4.4546856012163767</v>
      </c>
      <c r="M31">
        <f>P31/52</f>
        <v>4.814245781138883</v>
      </c>
      <c r="O31" s="48">
        <v>231.64365126325157</v>
      </c>
      <c r="P31" s="48">
        <v>250.34078061922193</v>
      </c>
      <c r="R31">
        <f>SUM(O31:P31)</f>
        <v>481.98443188247347</v>
      </c>
      <c r="S31" s="62" t="s">
        <v>126</v>
      </c>
    </row>
    <row r="32" spans="1:19">
      <c r="A32" s="15" t="s">
        <v>100</v>
      </c>
      <c r="B32" t="s">
        <v>98</v>
      </c>
      <c r="G32">
        <f>H32*52</f>
        <v>1379832.5524406047</v>
      </c>
      <c r="H32">
        <f>(2.9224+28155.73/(I31+J31))*I31</f>
        <v>26535.241393088552</v>
      </c>
    </row>
    <row r="33" spans="1:19">
      <c r="A33" s="15" t="s">
        <v>99</v>
      </c>
      <c r="B33" t="s">
        <v>105</v>
      </c>
      <c r="G33">
        <f>H33*52</f>
        <v>2213280.7635593954</v>
      </c>
      <c r="H33">
        <f>(2.9224+2.8859+28155.73/(I31+J31))*J31</f>
        <v>42563.091606911446</v>
      </c>
    </row>
    <row r="34" spans="1:19">
      <c r="A34" s="63"/>
    </row>
    <row r="35" spans="1:19">
      <c r="A35" s="15"/>
      <c r="B35" t="s">
        <v>89</v>
      </c>
    </row>
    <row r="36" spans="1:19">
      <c r="A36" s="15"/>
    </row>
    <row r="37" spans="1:19">
      <c r="B37" t="s">
        <v>101</v>
      </c>
      <c r="I37">
        <f>ROUND(L37,2)*1000</f>
        <v>1310</v>
      </c>
      <c r="J37">
        <f t="shared" ref="J37:K37" si="4">ROUND(M37,2)*1000</f>
        <v>1910</v>
      </c>
      <c r="K37">
        <f t="shared" si="4"/>
        <v>8650</v>
      </c>
      <c r="L37">
        <f>O37/52</f>
        <v>1.314726675043294</v>
      </c>
      <c r="M37">
        <f>P37/52</f>
        <v>1.9145397254144463</v>
      </c>
      <c r="N37">
        <f>Q37/52</f>
        <v>8.6545139833038505</v>
      </c>
      <c r="O37" s="48">
        <v>68.365787102251289</v>
      </c>
      <c r="P37" s="48">
        <v>99.556065721551207</v>
      </c>
      <c r="Q37" s="48">
        <v>450.03472713180025</v>
      </c>
      <c r="R37">
        <f>SUM(O37:Q37)</f>
        <v>617.95657995560282</v>
      </c>
      <c r="S37" s="62" t="s">
        <v>127</v>
      </c>
    </row>
    <row r="38" spans="1:19">
      <c r="A38" s="15" t="s">
        <v>100</v>
      </c>
      <c r="B38" t="s">
        <v>102</v>
      </c>
      <c r="G38">
        <f>H38*52</f>
        <v>360655.04449536651</v>
      </c>
      <c r="H38">
        <f>(2.9224+28155.73/(I37+J37+K37))*I37</f>
        <v>6935.673932603202</v>
      </c>
    </row>
    <row r="39" spans="1:19">
      <c r="A39" s="15" t="s">
        <v>149</v>
      </c>
      <c r="B39" t="s">
        <v>106</v>
      </c>
      <c r="G39">
        <f>H39*52</f>
        <v>812468.14905812975</v>
      </c>
      <c r="H39">
        <f>(2.9224+2.8859+28155.73/(I37+J37+K37))*J37</f>
        <v>15624.38748188711</v>
      </c>
    </row>
    <row r="40" spans="1:19">
      <c r="A40" s="15" t="s">
        <v>103</v>
      </c>
      <c r="B40" t="s">
        <v>107</v>
      </c>
      <c r="G40">
        <f t="shared" ref="G40" si="5">H40*52</f>
        <v>3695920.0504465038</v>
      </c>
      <c r="H40">
        <f>(2*2.9224+28155.73/(I37+J37+K37))*K37</f>
        <v>71075.385585509692</v>
      </c>
    </row>
    <row r="41" spans="1:19">
      <c r="N41" s="15" t="s">
        <v>145</v>
      </c>
      <c r="O41">
        <f>SUM(O37,O31)</f>
        <v>300.00943836550289</v>
      </c>
      <c r="P41">
        <f>SUM(P37,P31)</f>
        <v>349.89684634077315</v>
      </c>
      <c r="Q41">
        <f>SUM(Q37,Q31)</f>
        <v>450.03472713180025</v>
      </c>
      <c r="R41">
        <f>SUM(R31,R37)</f>
        <v>1099.9410118380763</v>
      </c>
    </row>
    <row r="42" spans="1:19">
      <c r="A42" s="15" t="s">
        <v>131</v>
      </c>
      <c r="B42" s="15"/>
      <c r="C42" s="15"/>
      <c r="D42" s="15"/>
      <c r="E42" s="15"/>
      <c r="F42" s="15" t="s">
        <v>132</v>
      </c>
    </row>
    <row r="43" spans="1:19" ht="13.5" thickBot="1">
      <c r="A43" s="15" t="s">
        <v>100</v>
      </c>
      <c r="B43" s="15" t="s">
        <v>99</v>
      </c>
      <c r="C43" s="15" t="s">
        <v>103</v>
      </c>
      <c r="D43" s="15"/>
      <c r="E43" s="15"/>
      <c r="F43" s="15" t="s">
        <v>133</v>
      </c>
      <c r="G43" s="15" t="s">
        <v>99</v>
      </c>
      <c r="H43" s="15" t="s">
        <v>103</v>
      </c>
    </row>
    <row r="44" spans="1:19" ht="15.75" thickBot="1">
      <c r="A44" s="57">
        <v>7</v>
      </c>
      <c r="B44" s="56">
        <v>11.999999999999998</v>
      </c>
      <c r="C44" s="57">
        <v>7</v>
      </c>
      <c r="F44" s="57">
        <v>300</v>
      </c>
      <c r="G44" s="61">
        <f>2.4691*B44^3 - 55.556*B44^2 + 244.44*B44 + 1150</f>
        <v>349.82080000000133</v>
      </c>
      <c r="H44" s="57">
        <v>450</v>
      </c>
    </row>
    <row r="47" spans="1:19">
      <c r="B47" t="s">
        <v>100</v>
      </c>
      <c r="C47" t="s">
        <v>99</v>
      </c>
      <c r="D47" t="s">
        <v>103</v>
      </c>
      <c r="F47" t="s">
        <v>121</v>
      </c>
    </row>
    <row r="48" spans="1:19">
      <c r="A48" s="15" t="s">
        <v>123</v>
      </c>
      <c r="B48" s="64">
        <f>IF(F44&gt;O41,A44*O41*1000,A44*F44*1000)</f>
        <v>2100000</v>
      </c>
      <c r="C48" s="64">
        <f>IF(G44&gt;P41,B44*P41*1000,B44*G44*1000)</f>
        <v>4197849.6000000155</v>
      </c>
      <c r="D48" s="64">
        <f>IF(H44&gt;Q41,C44*Q41*1000,C44*H44*1000)</f>
        <v>3150000</v>
      </c>
      <c r="E48" s="54"/>
      <c r="F48" s="66">
        <f>SUM(B48:D48)</f>
        <v>9447849.6000000164</v>
      </c>
    </row>
    <row r="49" spans="1:6">
      <c r="A49" s="15"/>
      <c r="B49" s="64"/>
      <c r="C49" s="65"/>
      <c r="D49" s="64"/>
      <c r="E49" s="54" t="s">
        <v>146</v>
      </c>
      <c r="F49" s="66"/>
    </row>
    <row r="50" spans="1:6">
      <c r="A50" s="15" t="s">
        <v>134</v>
      </c>
      <c r="B50" s="64">
        <f>SUM(G32,G38)</f>
        <v>1740487.5969359712</v>
      </c>
      <c r="C50" s="64">
        <f>G33+G39</f>
        <v>3025748.9126175251</v>
      </c>
      <c r="D50" s="64">
        <f>G40</f>
        <v>3695920.0504465038</v>
      </c>
      <c r="E50" s="54">
        <f>IF(R41&gt;=1200,(R41-1200)*0.24*1000,0)</f>
        <v>0</v>
      </c>
      <c r="F50" s="66">
        <f>SUM(B50:E50)</f>
        <v>8462156.5599999987</v>
      </c>
    </row>
    <row r="51" spans="1:6">
      <c r="A51" s="15"/>
      <c r="B51" s="64"/>
      <c r="C51" s="64"/>
      <c r="D51" s="64"/>
      <c r="E51" s="54"/>
      <c r="F51" s="66"/>
    </row>
    <row r="52" spans="1:6">
      <c r="A52" s="15" t="s">
        <v>124</v>
      </c>
      <c r="B52" s="64">
        <f>C48-B50</f>
        <v>2457362.0030640443</v>
      </c>
      <c r="C52" s="64">
        <f>B48-C50</f>
        <v>-925748.91261752509</v>
      </c>
      <c r="D52" s="64">
        <f>D48-D50</f>
        <v>-545920.0504465038</v>
      </c>
      <c r="E52" s="54"/>
      <c r="F52" s="67">
        <f>SUM(B52:D52)-E50</f>
        <v>985693.0400000154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DEF-9801-48B6-8CE1-CC2ABE459578}">
  <dimension ref="A1:R23"/>
  <sheetViews>
    <sheetView workbookViewId="0">
      <selection activeCell="F23" sqref="F23"/>
    </sheetView>
  </sheetViews>
  <sheetFormatPr defaultRowHeight="12.75"/>
  <sheetData>
    <row r="1" spans="1:18">
      <c r="A1" s="33" t="s">
        <v>47</v>
      </c>
      <c r="B1" t="s">
        <v>104</v>
      </c>
      <c r="F1" t="s">
        <v>142</v>
      </c>
      <c r="G1" t="s">
        <v>141</v>
      </c>
      <c r="H1" t="s">
        <v>128</v>
      </c>
      <c r="I1" t="s">
        <v>129</v>
      </c>
      <c r="J1" t="s">
        <v>130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</row>
    <row r="2" spans="1:18">
      <c r="A2" s="33"/>
      <c r="H2">
        <f>ROUND(K2,2)*1000</f>
        <v>4560</v>
      </c>
      <c r="I2">
        <f>ROUND(L2,2)*1000</f>
        <v>4000</v>
      </c>
      <c r="J2">
        <f>ROUND(M2,2)*1000</f>
        <v>0</v>
      </c>
      <c r="K2">
        <f>N2/52</f>
        <v>4.5637500000000006</v>
      </c>
      <c r="L2">
        <f>O2/52</f>
        <v>3.9974999999999996</v>
      </c>
      <c r="N2" s="48">
        <v>237.31500000000003</v>
      </c>
      <c r="O2" s="48">
        <v>207.86999999999998</v>
      </c>
      <c r="Q2">
        <f>SUM(N2:O2)</f>
        <v>445.185</v>
      </c>
      <c r="R2" s="62" t="s">
        <v>126</v>
      </c>
    </row>
    <row r="3" spans="1:18">
      <c r="A3" t="s">
        <v>99</v>
      </c>
      <c r="B3" t="s">
        <v>98</v>
      </c>
      <c r="F3">
        <f>G3*52</f>
        <v>1292017.1252336449</v>
      </c>
      <c r="G3">
        <f>(2.9224+28155.73/(H2+I2))*I2</f>
        <v>24846.483177570091</v>
      </c>
    </row>
    <row r="4" spans="1:18">
      <c r="A4" t="s">
        <v>100</v>
      </c>
      <c r="B4" t="s">
        <v>105</v>
      </c>
      <c r="F4">
        <f>G4*52</f>
        <v>1892284.3252336448</v>
      </c>
      <c r="G4">
        <f>(2.9224+2.8859+28155.73/(H2+I2))*I2</f>
        <v>36390.083177570094</v>
      </c>
    </row>
    <row r="5" spans="1:18">
      <c r="A5" s="33"/>
    </row>
    <row r="6" spans="1:18">
      <c r="B6" t="s">
        <v>89</v>
      </c>
    </row>
    <row r="8" spans="1:18">
      <c r="B8" t="s">
        <v>101</v>
      </c>
      <c r="H8">
        <f>ROUND(K8,2)*1000</f>
        <v>4220</v>
      </c>
      <c r="I8">
        <f t="shared" ref="I8:J8" si="0">ROUND(L8,2)*1000</f>
        <v>2130</v>
      </c>
      <c r="J8">
        <f t="shared" si="0"/>
        <v>9020</v>
      </c>
      <c r="K8">
        <f>N8/52</f>
        <v>4.2156250000000002</v>
      </c>
      <c r="L8">
        <f t="shared" ref="L8:M8" si="1">O8/52</f>
        <v>2.129375</v>
      </c>
      <c r="M8">
        <f t="shared" si="1"/>
        <v>9.0212499999999984</v>
      </c>
      <c r="N8" s="48">
        <v>219.21250000000001</v>
      </c>
      <c r="O8" s="48">
        <v>110.72750000000001</v>
      </c>
      <c r="P8" s="48">
        <v>469.1049999999999</v>
      </c>
      <c r="Q8">
        <f>SUM(N8:P8)</f>
        <v>799.04499999999985</v>
      </c>
      <c r="R8" s="62" t="s">
        <v>127</v>
      </c>
    </row>
    <row r="9" spans="1:18">
      <c r="A9" t="s">
        <v>99</v>
      </c>
      <c r="B9" t="s">
        <v>102</v>
      </c>
      <c r="F9">
        <f t="shared" ref="F9:F11" si="2">G9*52</f>
        <v>1043275.4111854262</v>
      </c>
      <c r="G9">
        <f>(2.9224+28155.73/(H8+I8+J8))*H8</f>
        <v>20062.98867664281</v>
      </c>
    </row>
    <row r="10" spans="1:18">
      <c r="A10" t="s">
        <v>100</v>
      </c>
      <c r="B10" t="s">
        <v>106</v>
      </c>
      <c r="F10">
        <f t="shared" si="2"/>
        <v>846224.42282107996</v>
      </c>
      <c r="G10">
        <f>(2.9224+2.8859+28155.73/(H8+I8+J8))*I8</f>
        <v>16273.546592713077</v>
      </c>
    </row>
    <row r="11" spans="1:18">
      <c r="A11" t="s">
        <v>103</v>
      </c>
      <c r="B11" t="s">
        <v>107</v>
      </c>
      <c r="F11">
        <f t="shared" si="2"/>
        <v>3600661.881993494</v>
      </c>
      <c r="G11">
        <f>(2*2.9224+28155.73/(H8+I8+J8))*J8</f>
        <v>69243.497730644114</v>
      </c>
    </row>
    <row r="12" spans="1:18">
      <c r="M12" t="s">
        <v>143</v>
      </c>
      <c r="N12">
        <f>SUM(N8,N2)</f>
        <v>456.52750000000003</v>
      </c>
      <c r="O12">
        <f t="shared" ref="O12:P12" si="3">SUM(O8,O2)</f>
        <v>318.59749999999997</v>
      </c>
      <c r="P12">
        <f t="shared" si="3"/>
        <v>469.1049999999999</v>
      </c>
    </row>
    <row r="13" spans="1:18">
      <c r="A13" t="s">
        <v>131</v>
      </c>
      <c r="E13" t="s">
        <v>132</v>
      </c>
    </row>
    <row r="14" spans="1:18" ht="13.5" thickBot="1">
      <c r="A14" t="s">
        <v>99</v>
      </c>
      <c r="B14" t="s">
        <v>100</v>
      </c>
      <c r="C14" t="s">
        <v>103</v>
      </c>
      <c r="E14" t="s">
        <v>99</v>
      </c>
      <c r="F14" t="s">
        <v>133</v>
      </c>
      <c r="G14" t="s">
        <v>103</v>
      </c>
    </row>
    <row r="15" spans="1:18" ht="15.75" thickBot="1">
      <c r="A15" s="56">
        <v>10.5</v>
      </c>
      <c r="B15" s="57">
        <v>7</v>
      </c>
      <c r="C15" s="57">
        <v>7</v>
      </c>
      <c r="E15" s="61">
        <f>2.4691*A15^3 - 55.556*A15^2 + 244.44*A15 + 1150</f>
        <v>449.86288749999994</v>
      </c>
      <c r="F15" s="57">
        <v>300</v>
      </c>
      <c r="G15" s="57">
        <v>450</v>
      </c>
    </row>
    <row r="18" spans="1:5">
      <c r="B18" t="s">
        <v>99</v>
      </c>
      <c r="C18" t="s">
        <v>100</v>
      </c>
      <c r="D18" t="s">
        <v>103</v>
      </c>
      <c r="E18" t="s">
        <v>121</v>
      </c>
    </row>
    <row r="19" spans="1:5">
      <c r="A19" t="s">
        <v>123</v>
      </c>
      <c r="B19">
        <f>A15*E15*1000</f>
        <v>4723560.3187499996</v>
      </c>
      <c r="C19">
        <f>B15*F15*1000</f>
        <v>2100000</v>
      </c>
      <c r="D19">
        <f>C15*G15*1000</f>
        <v>3150000</v>
      </c>
      <c r="E19">
        <f>SUM(B19:D19)</f>
        <v>9973560.3187499996</v>
      </c>
    </row>
    <row r="21" spans="1:5">
      <c r="A21" t="s">
        <v>134</v>
      </c>
      <c r="B21">
        <f>SUM(F3,F9)</f>
        <v>2335292.5364190713</v>
      </c>
      <c r="C21">
        <f>SUM(F4,F10)</f>
        <v>2738508.7480547247</v>
      </c>
      <c r="D21">
        <f>F11</f>
        <v>3600661.881993494</v>
      </c>
      <c r="E21">
        <f>SUM(F9:F11,F3:F4)</f>
        <v>8674463.1664672904</v>
      </c>
    </row>
    <row r="23" spans="1:5">
      <c r="A23" t="s">
        <v>124</v>
      </c>
      <c r="B23">
        <f>B19-B21</f>
        <v>2388267.7823309284</v>
      </c>
      <c r="C23">
        <f>C19-C21</f>
        <v>-638508.74805472465</v>
      </c>
      <c r="D23">
        <f>D19-D21</f>
        <v>-450661.881993494</v>
      </c>
      <c r="E23">
        <f>SUM(B23:D23)</f>
        <v>1299097.1522827097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Data</vt:lpstr>
      <vt:lpstr>Sheet1</vt:lpstr>
      <vt:lpstr>optim</vt:lpstr>
      <vt:lpstr>opti_backup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Clive</dc:creator>
  <cp:keywords/>
  <dc:description/>
  <cp:lastModifiedBy>Jimmy Li</cp:lastModifiedBy>
  <dcterms:created xsi:type="dcterms:W3CDTF">2017-03-07T18:54:57Z</dcterms:created>
  <dcterms:modified xsi:type="dcterms:W3CDTF">2022-05-23T12:23:50Z</dcterms:modified>
  <cp:category/>
</cp:coreProperties>
</file>