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Q\ĐẠI HỌC\NCKH\"/>
    </mc:Choice>
  </mc:AlternateContent>
  <xr:revisionPtr revIDLastSave="0" documentId="13_ncr:1_{85D0AB97-A3AA-4E46-AB35-9AC99D01E552}" xr6:coauthVersionLast="47" xr6:coauthVersionMax="47" xr10:uidLastSave="{00000000-0000-0000-0000-000000000000}"/>
  <bookViews>
    <workbookView xWindow="-120" yWindow="-120" windowWidth="20730" windowHeight="11760" activeTab="1" xr2:uid="{D44485AC-7E9F-4AAF-A3C3-489F13147612}"/>
  </bookViews>
  <sheets>
    <sheet name="Tính" sheetId="1" r:id="rId1"/>
    <sheet name="Công thức" sheetId="2" r:id="rId2"/>
    <sheet name="Bước chạ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2" i="1" l="1"/>
  <c r="N4" i="1" l="1"/>
  <c r="M4" i="1"/>
  <c r="L4" i="1"/>
  <c r="L372" i="1"/>
  <c r="L373" i="1"/>
  <c r="L374" i="1"/>
  <c r="L375" i="1"/>
  <c r="L371" i="1"/>
  <c r="K361" i="1"/>
  <c r="M361" i="1"/>
  <c r="M362" i="1"/>
  <c r="M363" i="1"/>
  <c r="M364" i="1"/>
  <c r="M360" i="1"/>
  <c r="B367" i="1"/>
  <c r="B366" i="1"/>
  <c r="N364" i="1"/>
  <c r="J364" i="1"/>
  <c r="N363" i="1"/>
  <c r="J363" i="1"/>
  <c r="N362" i="1"/>
  <c r="J362" i="1"/>
  <c r="N361" i="1"/>
  <c r="J361" i="1"/>
  <c r="N360" i="1"/>
  <c r="J360" i="1"/>
  <c r="K360" i="1" s="1"/>
  <c r="N343" i="1"/>
  <c r="N344" i="1"/>
  <c r="M342" i="1"/>
  <c r="N342" i="1"/>
  <c r="M343" i="1"/>
  <c r="M344" i="1"/>
  <c r="M345" i="1"/>
  <c r="N345" i="1"/>
  <c r="M341" i="1"/>
  <c r="N341" i="1"/>
  <c r="J345" i="1"/>
  <c r="K345" i="1" s="1"/>
  <c r="J344" i="1"/>
  <c r="K344" i="1" s="1"/>
  <c r="L344" i="1" s="1"/>
  <c r="J343" i="1"/>
  <c r="K343" i="1" s="1"/>
  <c r="J342" i="1"/>
  <c r="K342" i="1" s="1"/>
  <c r="J341" i="1"/>
  <c r="K341" i="1" s="1"/>
  <c r="B348" i="1"/>
  <c r="B347" i="1"/>
  <c r="M323" i="1"/>
  <c r="M324" i="1"/>
  <c r="M325" i="1"/>
  <c r="M326" i="1"/>
  <c r="M322" i="1"/>
  <c r="N323" i="1"/>
  <c r="N324" i="1"/>
  <c r="N326" i="1"/>
  <c r="B329" i="1"/>
  <c r="B328" i="1"/>
  <c r="J326" i="1"/>
  <c r="N325" i="1"/>
  <c r="J325" i="1"/>
  <c r="J324" i="1"/>
  <c r="J323" i="1"/>
  <c r="N322" i="1"/>
  <c r="J322" i="1"/>
  <c r="M304" i="1"/>
  <c r="M305" i="1"/>
  <c r="M306" i="1"/>
  <c r="M307" i="1"/>
  <c r="M303" i="1"/>
  <c r="M284" i="1"/>
  <c r="B310" i="1"/>
  <c r="B309" i="1"/>
  <c r="K307" i="1"/>
  <c r="K303" i="1"/>
  <c r="L303" i="1" s="1"/>
  <c r="N304" i="1"/>
  <c r="N305" i="1"/>
  <c r="N306" i="1"/>
  <c r="N307" i="1"/>
  <c r="N303" i="1"/>
  <c r="J307" i="1"/>
  <c r="J306" i="1"/>
  <c r="K306" i="1" s="1"/>
  <c r="J305" i="1"/>
  <c r="K305" i="1" s="1"/>
  <c r="L305" i="1" s="1"/>
  <c r="J304" i="1"/>
  <c r="K304" i="1" s="1"/>
  <c r="J303" i="1"/>
  <c r="K287" i="1"/>
  <c r="M285" i="1"/>
  <c r="M286" i="1"/>
  <c r="M287" i="1"/>
  <c r="M288" i="1"/>
  <c r="N288" i="1"/>
  <c r="J288" i="1"/>
  <c r="K288" i="1" s="1"/>
  <c r="L288" i="1" s="1"/>
  <c r="N287" i="1"/>
  <c r="J287" i="1"/>
  <c r="N286" i="1"/>
  <c r="J286" i="1"/>
  <c r="N285" i="1"/>
  <c r="J285" i="1"/>
  <c r="K286" i="1" s="1"/>
  <c r="N284" i="1"/>
  <c r="J284" i="1"/>
  <c r="K284" i="1" s="1"/>
  <c r="B291" i="1"/>
  <c r="B290" i="1"/>
  <c r="M229" i="1"/>
  <c r="M230" i="1"/>
  <c r="M231" i="1"/>
  <c r="M232" i="1"/>
  <c r="M228" i="1"/>
  <c r="M247" i="1"/>
  <c r="M248" i="1"/>
  <c r="M249" i="1"/>
  <c r="M250" i="1"/>
  <c r="M251" i="1"/>
  <c r="M267" i="1"/>
  <c r="M268" i="1"/>
  <c r="M269" i="1"/>
  <c r="M270" i="1"/>
  <c r="M266" i="1"/>
  <c r="B273" i="1"/>
  <c r="B272" i="1"/>
  <c r="N268" i="1"/>
  <c r="N269" i="1"/>
  <c r="N270" i="1"/>
  <c r="J270" i="1"/>
  <c r="K270" i="1" s="1"/>
  <c r="J269" i="1"/>
  <c r="K269" i="1" s="1"/>
  <c r="J268" i="1"/>
  <c r="K268" i="1" s="1"/>
  <c r="N267" i="1"/>
  <c r="J267" i="1"/>
  <c r="N266" i="1"/>
  <c r="J266" i="1"/>
  <c r="K266" i="1" s="1"/>
  <c r="J247" i="1"/>
  <c r="N247" i="1"/>
  <c r="N248" i="1"/>
  <c r="N250" i="1"/>
  <c r="N251" i="1"/>
  <c r="J251" i="1"/>
  <c r="K251" i="1" s="1"/>
  <c r="J250" i="1"/>
  <c r="N249" i="1"/>
  <c r="J249" i="1"/>
  <c r="K249" i="1" s="1"/>
  <c r="J248" i="1"/>
  <c r="B254" i="1"/>
  <c r="B253" i="1"/>
  <c r="K231" i="1"/>
  <c r="M209" i="1"/>
  <c r="N209" i="1"/>
  <c r="M210" i="1"/>
  <c r="N210" i="1"/>
  <c r="M211" i="1"/>
  <c r="N211" i="1"/>
  <c r="M212" i="1"/>
  <c r="N212" i="1"/>
  <c r="M213" i="1"/>
  <c r="N213" i="1"/>
  <c r="E194" i="1"/>
  <c r="D194" i="1"/>
  <c r="C194" i="1"/>
  <c r="E193" i="1"/>
  <c r="D193" i="1"/>
  <c r="C193" i="1"/>
  <c r="J186" i="1"/>
  <c r="K186" i="1"/>
  <c r="I186" i="1"/>
  <c r="J185" i="1"/>
  <c r="K185" i="1"/>
  <c r="I185" i="1"/>
  <c r="M172" i="1"/>
  <c r="N172" i="1"/>
  <c r="N173" i="1"/>
  <c r="N174" i="1"/>
  <c r="M171" i="1"/>
  <c r="N232" i="1"/>
  <c r="J232" i="1"/>
  <c r="N231" i="1"/>
  <c r="J231" i="1"/>
  <c r="K229" i="1" s="1"/>
  <c r="N230" i="1"/>
  <c r="J230" i="1"/>
  <c r="N229" i="1"/>
  <c r="J229" i="1"/>
  <c r="N228" i="1"/>
  <c r="J228" i="1"/>
  <c r="B235" i="1"/>
  <c r="B234" i="1"/>
  <c r="J213" i="1"/>
  <c r="J212" i="1"/>
  <c r="J211" i="1"/>
  <c r="K211" i="1" s="1"/>
  <c r="J210" i="1"/>
  <c r="K210" i="1" s="1"/>
  <c r="J209" i="1"/>
  <c r="B216" i="1"/>
  <c r="B215" i="1"/>
  <c r="M191" i="1"/>
  <c r="M192" i="1"/>
  <c r="M193" i="1"/>
  <c r="M194" i="1"/>
  <c r="M190" i="1"/>
  <c r="B197" i="1"/>
  <c r="B196" i="1"/>
  <c r="N194" i="1"/>
  <c r="N193" i="1"/>
  <c r="N192" i="1"/>
  <c r="J192" i="1"/>
  <c r="N191" i="1"/>
  <c r="J191" i="1"/>
  <c r="N190" i="1"/>
  <c r="J190" i="1"/>
  <c r="M173" i="1"/>
  <c r="M174" i="1"/>
  <c r="M175" i="1"/>
  <c r="B178" i="1"/>
  <c r="B177" i="1"/>
  <c r="N175" i="1"/>
  <c r="N171" i="1"/>
  <c r="J175" i="1"/>
  <c r="J174" i="1"/>
  <c r="J173" i="1"/>
  <c r="J172" i="1"/>
  <c r="J171" i="1"/>
  <c r="J58" i="1"/>
  <c r="K58" i="1" s="1"/>
  <c r="L58" i="1" s="1"/>
  <c r="J41" i="1"/>
  <c r="J40" i="1"/>
  <c r="J24" i="1"/>
  <c r="K24" i="1" s="1"/>
  <c r="L24" i="1" s="1"/>
  <c r="J153" i="1"/>
  <c r="J154" i="1"/>
  <c r="J155" i="1"/>
  <c r="K155" i="1" s="1"/>
  <c r="J156" i="1"/>
  <c r="J152" i="1"/>
  <c r="M153" i="1"/>
  <c r="N153" i="1"/>
  <c r="N154" i="1"/>
  <c r="M155" i="1"/>
  <c r="N155" i="1"/>
  <c r="M156" i="1"/>
  <c r="N156" i="1"/>
  <c r="N152" i="1"/>
  <c r="B159" i="1"/>
  <c r="B158" i="1"/>
  <c r="M154" i="1"/>
  <c r="N134" i="1"/>
  <c r="N135" i="1"/>
  <c r="N136" i="1"/>
  <c r="N137" i="1"/>
  <c r="N133" i="1"/>
  <c r="M134" i="1"/>
  <c r="M135" i="1"/>
  <c r="M136" i="1"/>
  <c r="M137" i="1"/>
  <c r="M133" i="1"/>
  <c r="J133" i="1"/>
  <c r="J137" i="1"/>
  <c r="J136" i="1"/>
  <c r="J135" i="1"/>
  <c r="J134" i="1"/>
  <c r="K134" i="1" s="1"/>
  <c r="B140" i="1"/>
  <c r="B139" i="1"/>
  <c r="N114" i="1"/>
  <c r="J114" i="1"/>
  <c r="N115" i="1"/>
  <c r="N116" i="1"/>
  <c r="N117" i="1"/>
  <c r="N118" i="1"/>
  <c r="B121" i="1"/>
  <c r="B120" i="1"/>
  <c r="M115" i="1" s="1"/>
  <c r="J118" i="1"/>
  <c r="J117" i="1"/>
  <c r="J116" i="1"/>
  <c r="J115" i="1"/>
  <c r="N96" i="1"/>
  <c r="N97" i="1"/>
  <c r="N98" i="1"/>
  <c r="N99" i="1"/>
  <c r="N95" i="1"/>
  <c r="M96" i="1"/>
  <c r="M98" i="1"/>
  <c r="B101" i="1"/>
  <c r="M99" i="1" s="1"/>
  <c r="B102" i="1"/>
  <c r="J96" i="1"/>
  <c r="J97" i="1"/>
  <c r="J98" i="1"/>
  <c r="J95" i="1"/>
  <c r="N76" i="1"/>
  <c r="M77" i="1"/>
  <c r="M78" i="1"/>
  <c r="M79" i="1"/>
  <c r="M80" i="1"/>
  <c r="M76" i="1"/>
  <c r="B83" i="1"/>
  <c r="B82" i="1"/>
  <c r="J77" i="1"/>
  <c r="J78" i="1"/>
  <c r="J80" i="1"/>
  <c r="J76" i="1"/>
  <c r="K76" i="1" s="1"/>
  <c r="N77" i="1"/>
  <c r="N78" i="1"/>
  <c r="N80" i="1"/>
  <c r="N79" i="1"/>
  <c r="N58" i="1"/>
  <c r="N62" i="1"/>
  <c r="N61" i="1"/>
  <c r="N60" i="1"/>
  <c r="N59" i="1"/>
  <c r="B65" i="1"/>
  <c r="B64" i="1"/>
  <c r="M59" i="1" s="1"/>
  <c r="J60" i="1"/>
  <c r="J59" i="1"/>
  <c r="K59" i="1" s="1"/>
  <c r="J61" i="1"/>
  <c r="K61" i="1" s="1"/>
  <c r="J62" i="1"/>
  <c r="K62" i="1" s="1"/>
  <c r="N41" i="1"/>
  <c r="N42" i="1"/>
  <c r="N43" i="1"/>
  <c r="N44" i="1"/>
  <c r="N40" i="1"/>
  <c r="J42" i="1"/>
  <c r="J43" i="1"/>
  <c r="K43" i="1" s="1"/>
  <c r="J44" i="1"/>
  <c r="B47" i="1"/>
  <c r="B46" i="1"/>
  <c r="M44" i="1" s="1"/>
  <c r="N25" i="1"/>
  <c r="N26" i="1"/>
  <c r="N27" i="1"/>
  <c r="N28" i="1"/>
  <c r="N24" i="1"/>
  <c r="B22" i="1"/>
  <c r="B21" i="1"/>
  <c r="M25" i="1" s="1"/>
  <c r="J27" i="1"/>
  <c r="J25" i="1"/>
  <c r="J26" i="1"/>
  <c r="J28" i="1"/>
  <c r="K28" i="1" s="1"/>
  <c r="N5" i="1"/>
  <c r="N6" i="1"/>
  <c r="N7" i="1"/>
  <c r="N8" i="1"/>
  <c r="L6" i="1"/>
  <c r="L7" i="1"/>
  <c r="L8" i="1"/>
  <c r="B11" i="1"/>
  <c r="B10" i="1"/>
  <c r="M8" i="1" s="1"/>
  <c r="J8" i="1"/>
  <c r="J7" i="1"/>
  <c r="L5" i="1"/>
  <c r="J4" i="1"/>
  <c r="J6" i="1"/>
  <c r="J5" i="1"/>
  <c r="L361" i="1" l="1"/>
  <c r="K364" i="1"/>
  <c r="L364" i="1" s="1"/>
  <c r="K363" i="1"/>
  <c r="L363" i="1" s="1"/>
  <c r="K362" i="1"/>
  <c r="L362" i="1" s="1"/>
  <c r="K322" i="1"/>
  <c r="K326" i="1"/>
  <c r="K325" i="1"/>
  <c r="L325" i="1" s="1"/>
  <c r="K324" i="1"/>
  <c r="L324" i="1" s="1"/>
  <c r="K323" i="1"/>
  <c r="L323" i="1" s="1"/>
  <c r="K285" i="1"/>
  <c r="L286" i="1"/>
  <c r="L287" i="1"/>
  <c r="K267" i="1"/>
  <c r="L267" i="1" s="1"/>
  <c r="K248" i="1"/>
  <c r="K250" i="1"/>
  <c r="L229" i="1"/>
  <c r="K228" i="1"/>
  <c r="K232" i="1"/>
  <c r="L232" i="1" s="1"/>
  <c r="K247" i="1"/>
  <c r="L247" i="1" s="1"/>
  <c r="K209" i="1"/>
  <c r="K230" i="1"/>
  <c r="L230" i="1" s="1"/>
  <c r="J194" i="1"/>
  <c r="J193" i="1"/>
  <c r="K192" i="1" s="1"/>
  <c r="L192" i="1" s="1"/>
  <c r="K190" i="1"/>
  <c r="L190" i="1" s="1"/>
  <c r="K152" i="1"/>
  <c r="K156" i="1"/>
  <c r="K171" i="1"/>
  <c r="L171" i="1" s="1"/>
  <c r="K172" i="1"/>
  <c r="L172" i="1" s="1"/>
  <c r="K174" i="1"/>
  <c r="L174" i="1" s="1"/>
  <c r="K136" i="1"/>
  <c r="K137" i="1"/>
  <c r="L137" i="1" s="1"/>
  <c r="K135" i="1"/>
  <c r="L135" i="1" s="1"/>
  <c r="K133" i="1"/>
  <c r="L133" i="1" s="1"/>
  <c r="K115" i="1"/>
  <c r="L115" i="1" s="1"/>
  <c r="K118" i="1"/>
  <c r="L118" i="1" s="1"/>
  <c r="K114" i="1"/>
  <c r="L114" i="1" s="1"/>
  <c r="K116" i="1"/>
  <c r="L116" i="1" s="1"/>
  <c r="K78" i="1"/>
  <c r="K77" i="1"/>
  <c r="K40" i="1"/>
  <c r="L40" i="1" s="1"/>
  <c r="K26" i="1"/>
  <c r="L26" i="1" s="1"/>
  <c r="K27" i="1"/>
  <c r="L360" i="1"/>
  <c r="L342" i="1"/>
  <c r="L341" i="1"/>
  <c r="L345" i="1"/>
  <c r="L343" i="1"/>
  <c r="L326" i="1"/>
  <c r="L322" i="1"/>
  <c r="L306" i="1"/>
  <c r="L304" i="1"/>
  <c r="L307" i="1"/>
  <c r="L285" i="1"/>
  <c r="L284" i="1"/>
  <c r="L270" i="1"/>
  <c r="L268" i="1"/>
  <c r="L269" i="1"/>
  <c r="L266" i="1"/>
  <c r="L250" i="1"/>
  <c r="L251" i="1"/>
  <c r="L248" i="1"/>
  <c r="L249" i="1"/>
  <c r="L231" i="1"/>
  <c r="L211" i="1"/>
  <c r="L210" i="1"/>
  <c r="K213" i="1"/>
  <c r="L213" i="1" s="1"/>
  <c r="K212" i="1"/>
  <c r="L212" i="1" s="1"/>
  <c r="L228" i="1"/>
  <c r="L209" i="1"/>
  <c r="K154" i="1"/>
  <c r="L154" i="1" s="1"/>
  <c r="K80" i="1"/>
  <c r="K153" i="1"/>
  <c r="K44" i="1"/>
  <c r="L44" i="1" s="1"/>
  <c r="M24" i="1"/>
  <c r="M114" i="1"/>
  <c r="K175" i="1"/>
  <c r="L175" i="1" s="1"/>
  <c r="M28" i="1"/>
  <c r="K25" i="1"/>
  <c r="L25" i="1" s="1"/>
  <c r="M27" i="1"/>
  <c r="K117" i="1"/>
  <c r="L117" i="1" s="1"/>
  <c r="M118" i="1"/>
  <c r="M7" i="1"/>
  <c r="M43" i="1"/>
  <c r="M58" i="1"/>
  <c r="M26" i="1"/>
  <c r="M117" i="1"/>
  <c r="K173" i="1"/>
  <c r="L173" i="1" s="1"/>
  <c r="M61" i="1"/>
  <c r="K60" i="1"/>
  <c r="L60" i="1" s="1"/>
  <c r="M116" i="1"/>
  <c r="L136" i="1"/>
  <c r="L152" i="1"/>
  <c r="L156" i="1"/>
  <c r="L134" i="1"/>
  <c r="J79" i="1"/>
  <c r="L62" i="1"/>
  <c r="L61" i="1"/>
  <c r="L59" i="1"/>
  <c r="K41" i="1"/>
  <c r="K42" i="1"/>
  <c r="L42" i="1" s="1"/>
  <c r="L41" i="1"/>
  <c r="L43" i="1"/>
  <c r="L27" i="1"/>
  <c r="L28" i="1"/>
  <c r="L153" i="1"/>
  <c r="L155" i="1"/>
  <c r="M6" i="1"/>
  <c r="M42" i="1"/>
  <c r="M62" i="1"/>
  <c r="M97" i="1"/>
  <c r="M41" i="1"/>
  <c r="M60" i="1"/>
  <c r="M5" i="1"/>
  <c r="M40" i="1"/>
  <c r="M95" i="1"/>
  <c r="J99" i="1"/>
  <c r="K193" i="1" l="1"/>
  <c r="L193" i="1" s="1"/>
  <c r="K191" i="1"/>
  <c r="L191" i="1" s="1"/>
  <c r="K194" i="1"/>
  <c r="L194" i="1" s="1"/>
  <c r="L78" i="1"/>
  <c r="K79" i="1"/>
  <c r="L79" i="1" s="1"/>
  <c r="K99" i="1"/>
  <c r="K97" i="1"/>
  <c r="K96" i="1"/>
  <c r="K98" i="1"/>
  <c r="L98" i="1" s="1"/>
  <c r="K95" i="1"/>
  <c r="L95" i="1" s="1"/>
  <c r="L99" i="1"/>
  <c r="L80" i="1"/>
  <c r="L77" i="1"/>
  <c r="L76" i="1"/>
  <c r="L96" i="1"/>
  <c r="L97" i="1"/>
</calcChain>
</file>

<file path=xl/sharedStrings.xml><?xml version="1.0" encoding="utf-8"?>
<sst xmlns="http://schemas.openxmlformats.org/spreadsheetml/2006/main" count="811" uniqueCount="50">
  <si>
    <t>Vòng lặp thứ 1</t>
  </si>
  <si>
    <t>Bước 1: Khởi tạo quần thể</t>
  </si>
  <si>
    <t>Universe</t>
  </si>
  <si>
    <t>x1</t>
  </si>
  <si>
    <t>x2</t>
  </si>
  <si>
    <t>x3</t>
  </si>
  <si>
    <t>U1</t>
  </si>
  <si>
    <t>U2</t>
  </si>
  <si>
    <t>U3</t>
  </si>
  <si>
    <t>U4</t>
  </si>
  <si>
    <t>U5</t>
  </si>
  <si>
    <t>r1</t>
  </si>
  <si>
    <t>r2</t>
  </si>
  <si>
    <t>r3</t>
  </si>
  <si>
    <t>Bước 2: hàm mục tiêu</t>
  </si>
  <si>
    <t>f(x1,x2,x3)</t>
  </si>
  <si>
    <t>r4</t>
  </si>
  <si>
    <t>NI (Chuẩn hóa)</t>
  </si>
  <si>
    <t>WEP</t>
  </si>
  <si>
    <t>TDR</t>
  </si>
  <si>
    <t>white/black</t>
  </si>
  <si>
    <t>XÁC ĐỊNH WHITEHOLE VÀ BLACKHOLE</t>
  </si>
  <si>
    <t>VÒNG LẶP SỐ 3</t>
  </si>
  <si>
    <t>VÒNG LẶP THỨ 4</t>
  </si>
  <si>
    <t>VÒNG LẶP THỨ 5</t>
  </si>
  <si>
    <t>VÒNG LẶP THỨ 6</t>
  </si>
  <si>
    <t xml:space="preserve">  </t>
  </si>
  <si>
    <t>VÒNG LẶP THỨ 7</t>
  </si>
  <si>
    <t>VÒNG LẶP THỨ 8</t>
  </si>
  <si>
    <t>VÒNG LẶP THỨ 9</t>
  </si>
  <si>
    <t>VÒNG LẶP THỨ 2</t>
  </si>
  <si>
    <t>*Điều kiện: không cập nhật giá trị khi vượt qua khoảng [-2;2]</t>
  </si>
  <si>
    <t>VÒNG LẶP THỨ 10</t>
  </si>
  <si>
    <t>VÒNG LẶP THỨ 11</t>
  </si>
  <si>
    <t>VÒNG LẶP THỨ 12</t>
  </si>
  <si>
    <t>VÒNG LẶP THỨ 13</t>
  </si>
  <si>
    <t>VÒNG LẶP THỨ 14</t>
  </si>
  <si>
    <t>VÒNG LẶP THỨ 15</t>
  </si>
  <si>
    <t>VÒNG LẶP THỨ 16</t>
  </si>
  <si>
    <t>VÒNG LẶP THỨ 17</t>
  </si>
  <si>
    <t>VÒNG LẶP THỨ 18</t>
  </si>
  <si>
    <t>VÒNG LẶP THỨ 19</t>
  </si>
  <si>
    <t>Tham số phụ tham chiếu cho B3 + B4</t>
  </si>
  <si>
    <t>NI</t>
  </si>
  <si>
    <t>1=thay đổi</t>
  </si>
  <si>
    <t>0=Giữ nguyên</t>
  </si>
  <si>
    <t>B3.1: XÁC ĐỊNH WHITEHOLE VÀ BLACKHOLE</t>
  </si>
  <si>
    <t>B3.2: XÁC ĐỊNH WORMHOLE</t>
  </si>
  <si>
    <t>SẮP XẾP</t>
  </si>
  <si>
    <t>Kết quả sau 20 vòng lặp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</si>
</sst>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4" x14ac:knownFonts="1">
    <font>
      <sz val="11"/>
      <color theme="1"/>
      <name val="Aptos Narrow"/>
      <family val="2"/>
      <charset val="163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family val="2"/>
      <charset val="163"/>
      <scheme val="minor"/>
    </font>
    <font>
      <sz val="14"/>
      <color theme="1"/>
      <name val="Times New Roman"/>
      <family val="1"/>
    </font>
    <font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rgb="FFC00000"/>
      <name val="Aptos Narrow"/>
      <family val="2"/>
      <scheme val="minor"/>
    </font>
    <font>
      <sz val="14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charset val="163"/>
      <scheme val="minor"/>
    </font>
    <font>
      <b/>
      <sz val="14"/>
      <name val="Aptos Narrow"/>
      <family val="2"/>
      <scheme val="minor"/>
    </font>
    <font>
      <sz val="14"/>
      <color rgb="FFFF0000"/>
      <name val="Aptos Narrow"/>
      <family val="2"/>
      <scheme val="minor"/>
    </font>
    <font>
      <sz val="12"/>
      <color theme="1"/>
      <name val="Aptos Narrow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164" fontId="4" fillId="0" borderId="1" xfId="0" applyNumberFormat="1" applyFont="1" applyBorder="1"/>
    <xf numFmtId="0" fontId="1" fillId="0" borderId="0" xfId="0" applyFont="1" applyAlignment="1">
      <alignment horizontal="left" vertical="center"/>
    </xf>
    <xf numFmtId="164" fontId="3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4" borderId="1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/>
    <xf numFmtId="164" fontId="3" fillId="2" borderId="1" xfId="0" applyNumberFormat="1" applyFont="1" applyFill="1" applyBorder="1"/>
    <xf numFmtId="0" fontId="11" fillId="3" borderId="1" xfId="0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4" fillId="2" borderId="8" xfId="0" applyNumberFormat="1" applyFont="1" applyFill="1" applyBorder="1"/>
    <xf numFmtId="164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4" fillId="0" borderId="5" xfId="0" applyNumberFormat="1" applyFont="1" applyBorder="1"/>
    <xf numFmtId="164" fontId="2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4" fillId="4" borderId="11" xfId="0" applyNumberFormat="1" applyFont="1" applyFill="1" applyBorder="1"/>
    <xf numFmtId="164" fontId="7" fillId="0" borderId="4" xfId="0" applyNumberFormat="1" applyFont="1" applyBorder="1" applyAlignment="1">
      <alignment horizontal="center"/>
    </xf>
    <xf numFmtId="164" fontId="8" fillId="0" borderId="8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8</xdr:col>
      <xdr:colOff>228600</xdr:colOff>
      <xdr:row>14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AA9A3-9D0D-4032-8E56-03F389BE8D87}"/>
            </a:ext>
          </a:extLst>
        </xdr:cNvPr>
        <xdr:cNvSpPr txBox="1"/>
      </xdr:nvSpPr>
      <xdr:spPr>
        <a:xfrm>
          <a:off x="0" y="57150"/>
          <a:ext cx="5105400" cy="273367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KHỞI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TẠO THAM SỐ</a:t>
          </a:r>
        </a:p>
        <a:p>
          <a:pPr algn="l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pop_size = 5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bounds = [-2, 2]</a:t>
          </a:r>
          <a:r>
            <a:rPr lang="en-US" sz="1300" b="1"/>
            <a:t> </a:t>
          </a:r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max_iter = 20 (excel)</a:t>
          </a:r>
          <a:b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x1, x2, x3 =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random[-2;2]</a:t>
          </a:r>
          <a:endParaRPr lang="en-US" sz="1300" b="1"/>
        </a:p>
        <a:p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fitness = f(x1,x2,x3)</a:t>
          </a:r>
          <a:r>
            <a:rPr lang="en-US" sz="1300" b="1"/>
            <a:t>  </a:t>
          </a:r>
          <a:r>
            <a:rPr lang="en-US" sz="1300" b="1">
              <a:solidFill>
                <a:srgbClr val="FF0000"/>
              </a:solidFill>
            </a:rPr>
            <a:t>(0)</a:t>
          </a:r>
        </a:p>
        <a:p>
          <a:r>
            <a:rPr lang="en-US" sz="1300" b="1"/>
            <a:t>WEPmin</a:t>
          </a:r>
          <a:r>
            <a:rPr lang="en-US" sz="1300" b="1" baseline="0"/>
            <a:t> = 0.2, WEPmax = 0.8</a:t>
          </a:r>
        </a:p>
        <a:p>
          <a:r>
            <a:rPr lang="en-US" sz="1300" b="1" baseline="0"/>
            <a:t>TDR = 1.0</a:t>
          </a:r>
        </a:p>
        <a:p>
          <a:pPr algn="ctr"/>
          <a:r>
            <a:rPr lang="en-US" sz="1300" b="1" baseline="0"/>
            <a:t>THAM SỐ PHỤ</a:t>
          </a: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1= random[0,1] (Xác định whitehole/blackhole)</a:t>
          </a:r>
          <a:endParaRPr lang="en-US" sz="1400" baseline="0"/>
        </a:p>
        <a:p>
          <a:r>
            <a:rPr lang="en-US" sz="1300" baseline="0"/>
            <a:t>r 2= random[0,1] (kiểm tra có tạo wormhole hay không)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3= random[0,1] (kiểm tra hướng di chuyển lùi lại hay tiến về giá trị tối ưu)</a:t>
          </a:r>
          <a:endParaRPr lang="en-US" sz="13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 4= random[0,1] (điều chỉnh khoảng cách di chuyển của vũ trụ)</a:t>
          </a:r>
        </a:p>
      </xdr:txBody>
    </xdr:sp>
    <xdr:clientData/>
  </xdr:twoCellAnchor>
  <xdr:oneCellAnchor>
    <xdr:from>
      <xdr:col>10</xdr:col>
      <xdr:colOff>295275</xdr:colOff>
      <xdr:row>0</xdr:row>
      <xdr:rowOff>95250</xdr:rowOff>
    </xdr:from>
    <xdr:ext cx="4086225" cy="4667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99CA8C-7129-4DA1-A3D9-3AAAFD36B4F8}"/>
                </a:ext>
              </a:extLst>
            </xdr:cNvPr>
            <xdr:cNvSpPr txBox="1"/>
          </xdr:nvSpPr>
          <xdr:spPr>
            <a:xfrm>
              <a:off x="6391275" y="95250"/>
              <a:ext cx="40862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1, </m:t>
                      </m:r>
                    </m:sub>
                  </m:sSub>
                  <m:sSub>
                    <m:sSubPr>
                      <m:ctrlPr>
                        <a:rPr lang="en-US" sz="20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, </m:t>
                  </m:r>
                  <m:sSub>
                    <m:sSub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2000" b="0" i="1">
                      <a:latin typeface="Cambria Math" panose="02040503050406030204" pitchFamily="18" charset="0"/>
                    </a:rPr>
                    <m:t>)=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20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𝑥</m:t>
                          </m:r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num>
                        <m:den>
                          <m:r>
                            <a:rPr lang="en-US" sz="20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0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2000" b="0" i="1">
                      <a:latin typeface="Cambria Math" panose="02040503050406030204" pitchFamily="18" charset="0"/>
                    </a:rPr>
                    <m:t>+ </m:t>
                  </m:r>
                  <m:sSup>
                    <m:sSupPr>
                      <m:ctrlPr>
                        <a:rPr lang="en-US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0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2000" b="0" i="1">
                          <a:latin typeface="Cambria Math" panose="02040503050406030204" pitchFamily="18" charset="0"/>
                        </a:rPr>
                        <m:t>3</m:t>
                      </m:r>
                    </m:e>
                    <m:sup>
                      <m:r>
                        <a:rPr lang="en-US" sz="20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</m:oMath>
              </a14:m>
              <a:r>
                <a:rPr lang="en-US" sz="2000"/>
                <a:t> </a:t>
              </a:r>
              <a:r>
                <a:rPr lang="en-US" sz="2000" b="1">
                  <a:solidFill>
                    <a:srgbClr val="FF0000"/>
                  </a:solidFill>
                </a:rPr>
                <a:t>(0)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99CA8C-7129-4DA1-A3D9-3AAAFD36B4F8}"/>
                </a:ext>
              </a:extLst>
            </xdr:cNvPr>
            <xdr:cNvSpPr txBox="1"/>
          </xdr:nvSpPr>
          <xdr:spPr>
            <a:xfrm>
              <a:off x="6391275" y="95250"/>
              <a:ext cx="4086225" cy="4667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000"/>
                <a:t>f(</a:t>
              </a:r>
              <a:r>
                <a:rPr lang="en-US" sz="2000" b="0" i="0">
                  <a:latin typeface="Cambria Math" panose="02040503050406030204" pitchFamily="18" charset="0"/>
                </a:rPr>
                <a:t>𝑥_(1, ) 𝑥_2, 𝑥_3)=〖(𝑥1/4)〗^2+ 〖(𝑥2/2)〗^2+ 〖𝑥3〗^2</a:t>
              </a:r>
              <a:r>
                <a:rPr lang="en-US" sz="2000"/>
                <a:t> </a:t>
              </a:r>
              <a:r>
                <a:rPr lang="en-US" sz="2000" b="1">
                  <a:solidFill>
                    <a:srgbClr val="FF0000"/>
                  </a:solidFill>
                </a:rPr>
                <a:t>(0)</a:t>
              </a:r>
            </a:p>
          </xdr:txBody>
        </xdr:sp>
      </mc:Fallback>
    </mc:AlternateContent>
    <xdr:clientData/>
  </xdr:oneCellAnchor>
  <xdr:twoCellAnchor>
    <xdr:from>
      <xdr:col>0</xdr:col>
      <xdr:colOff>190500</xdr:colOff>
      <xdr:row>15</xdr:row>
      <xdr:rowOff>57150</xdr:rowOff>
    </xdr:from>
    <xdr:to>
      <xdr:col>10</xdr:col>
      <xdr:colOff>466725</xdr:colOff>
      <xdr:row>33</xdr:row>
      <xdr:rowOff>47419</xdr:rowOff>
    </xdr:to>
    <xdr:sp macro="" textlink="">
      <xdr:nvSpPr>
        <xdr:cNvPr id="4" name="Google Shape;264;p24">
          <a:extLst>
            <a:ext uri="{FF2B5EF4-FFF2-40B4-BE49-F238E27FC236}">
              <a16:creationId xmlns:a16="http://schemas.microsoft.com/office/drawing/2014/main" id="{FB7C51AA-3913-4F92-9387-90C2CF1764B1}"/>
            </a:ext>
          </a:extLst>
        </xdr:cNvPr>
        <xdr:cNvSpPr txBox="1"/>
      </xdr:nvSpPr>
      <xdr:spPr>
        <a:xfrm>
          <a:off x="190500" y="2914650"/>
          <a:ext cx="6372225" cy="341926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spcFirstLastPara="1" wrap="square" lIns="0" tIns="0" rIns="0" bIns="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WHITE/BLACK</a:t>
          </a:r>
          <a:r>
            <a:rPr lang="en-US" sz="1400" b="1" i="0" u="none" strike="noStrike" cap="none" baseline="0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 HOLE </a:t>
          </a:r>
          <a:r>
            <a:rPr lang="en-US" sz="1400" b="1" i="0" u="none" strike="noStrike" cap="none" baseline="0">
              <a:solidFill>
                <a:srgbClr val="FF0000"/>
              </a:solidFill>
              <a:latin typeface="Inter Light"/>
              <a:ea typeface="Inter Light"/>
              <a:cs typeface="Inter Light"/>
              <a:sym typeface="Inter Light"/>
            </a:rPr>
            <a:t>(1)</a:t>
          </a:r>
          <a:endParaRPr lang="en-US" sz="1400" b="1" i="0" u="none" strike="noStrike" cap="none">
            <a:solidFill>
              <a:srgbClr val="FF0000"/>
            </a:solidFill>
            <a:latin typeface="Inter Light"/>
            <a:ea typeface="Inter Light"/>
            <a:cs typeface="Inter Light"/>
            <a:sym typeface="Inter Light"/>
          </a:endParaRP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SU=Sorted universes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NI=Normalize inflation rate (fitness) of the universes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for each universe indexed by i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Black_hole_index=i;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for each object indexed by j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 r1=random([0,1]);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 if r1&lt;NI(Ui)</a:t>
          </a:r>
        </a:p>
        <a:p>
          <a:pPr lvl="2">
            <a:lnSpc>
              <a:spcPct val="120000"/>
            </a:lnSpc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White_hole_index= RouletteWheelSelection(-NI);</a:t>
          </a:r>
        </a:p>
        <a:p>
          <a:pPr lvl="2">
            <a:lnSpc>
              <a:spcPct val="120000"/>
            </a:lnSpc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U(Black_hole_index,j)= SU(White_hole_index,j);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	       end if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	    end for</a:t>
          </a:r>
        </a:p>
        <a:p>
          <a:pPr marL="0" marR="0" lvl="0" indent="0" algn="l" rtl="0">
            <a:lnSpc>
              <a:spcPct val="12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 Light"/>
              <a:ea typeface="Inter Light"/>
              <a:cs typeface="Inter Light"/>
              <a:sym typeface="Inter Light"/>
            </a:rPr>
            <a:t>end for</a:t>
          </a:r>
        </a:p>
      </xdr:txBody>
    </xdr:sp>
    <xdr:clientData/>
  </xdr:twoCellAnchor>
  <xdr:twoCellAnchor>
    <xdr:from>
      <xdr:col>10</xdr:col>
      <xdr:colOff>571500</xdr:colOff>
      <xdr:row>15</xdr:row>
      <xdr:rowOff>66675</xdr:rowOff>
    </xdr:from>
    <xdr:to>
      <xdr:col>20</xdr:col>
      <xdr:colOff>371475</xdr:colOff>
      <xdr:row>30</xdr:row>
      <xdr:rowOff>167677</xdr:rowOff>
    </xdr:to>
    <xdr:sp macro="" textlink="">
      <xdr:nvSpPr>
        <xdr:cNvPr id="5" name="Google Shape;290;p26">
          <a:extLst>
            <a:ext uri="{FF2B5EF4-FFF2-40B4-BE49-F238E27FC236}">
              <a16:creationId xmlns:a16="http://schemas.microsoft.com/office/drawing/2014/main" id="{0B80E4E7-8632-4094-A685-7D532701B84D}"/>
            </a:ext>
          </a:extLst>
        </xdr:cNvPr>
        <xdr:cNvSpPr txBox="1"/>
      </xdr:nvSpPr>
      <xdr:spPr>
        <a:xfrm>
          <a:off x="6667500" y="2924175"/>
          <a:ext cx="5895975" cy="2958502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spcFirstLastPara="1" wrap="square" lIns="0" tIns="0" rIns="0" bIns="0" anchor="t" anchorCtr="0">
          <a:sp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ctr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WORMHOLE </a:t>
          </a:r>
          <a:r>
            <a:rPr lang="en-US" sz="1400" b="1" i="0" u="none" strike="noStrike" cap="none">
              <a:solidFill>
                <a:srgbClr val="FF0000"/>
              </a:solidFill>
              <a:latin typeface="Inter"/>
              <a:ea typeface="Inter"/>
              <a:cs typeface="Inter"/>
              <a:sym typeface="Inter"/>
            </a:rPr>
            <a:t>(2)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for each universe indexed by i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for each object indexed by j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r2=random([0,1]);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if r2&lt;WEP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r3= 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r4= random([0,1]);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if r3&lt;0.5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      U(i,j)=Best_universe(j) + TDR* (( ub(j) - lb(j)) * r4 + lb(j));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else 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      U(i,j)=Best_universe(j) - TDR * (( ub(j) - lb(j)) * r4 + lb(j));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     end if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                      end if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        end for</a:t>
          </a:r>
        </a:p>
        <a:p>
          <a:pPr marL="0" marR="0" lvl="0" indent="0" algn="l" rtl="0">
            <a:lnSpc>
              <a:spcPct val="9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 cap="none">
              <a:solidFill>
                <a:sysClr val="windowText" lastClr="000000"/>
              </a:solidFill>
              <a:latin typeface="Inter"/>
              <a:ea typeface="Inter"/>
              <a:cs typeface="Inter"/>
              <a:sym typeface="Inter"/>
            </a:rPr>
            <a:t>end for </a:t>
          </a:r>
        </a:p>
      </xdr:txBody>
    </xdr:sp>
    <xdr:clientData/>
  </xdr:twoCellAnchor>
  <xdr:twoCellAnchor>
    <xdr:from>
      <xdr:col>8</xdr:col>
      <xdr:colOff>266700</xdr:colOff>
      <xdr:row>3</xdr:row>
      <xdr:rowOff>95250</xdr:rowOff>
    </xdr:from>
    <xdr:to>
      <xdr:col>18</xdr:col>
      <xdr:colOff>552450</xdr:colOff>
      <xdr:row>14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C36428-249B-1D05-F480-C90E46BFD26E}"/>
                </a:ext>
              </a:extLst>
            </xdr:cNvPr>
            <xdr:cNvSpPr txBox="1"/>
          </xdr:nvSpPr>
          <xdr:spPr>
            <a:xfrm>
              <a:off x="5143500" y="666750"/>
              <a:ext cx="6381750" cy="2114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CÔNG</a:t>
              </a:r>
              <a:r>
                <a:rPr lang="en-US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THỨC THAM GIA</a:t>
              </a:r>
            </a:p>
            <a:p>
              <a:pPr eaLnBrk="1" fontAlgn="auto" latinLnBrk="0" hangingPunct="1"/>
              <a:endParaRPr lang="en-US" sz="1700">
                <a:effectLst/>
              </a:endParaRPr>
            </a:p>
            <a:p>
              <a:pPr eaLnBrk="1" fontAlgn="auto" latinLnBrk="0" hangingPunct="1"/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NI(Ui)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𝑓𝑖𝑡𝑛𝑒𝑠𝑠</m:t>
                      </m:r>
                      <m:d>
                        <m:dPr>
                          <m:ctrlPr>
                            <a:rPr lang="en-US" sz="17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7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𝑈𝑖</m:t>
                          </m:r>
                        </m:e>
                      </m:d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𝑏𝑒𝑠𝑡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𝑓𝑖𝑡𝑛𝑒𝑠𝑠</m:t>
                      </m:r>
                    </m:num>
                    <m:den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𝑓𝑖𝑡𝑛𝑒𝑠𝑠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𝑀𝑖𝑛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𝑓𝑖𝑡𝑛𝑒𝑠𝑠</m:t>
                      </m:r>
                    </m:den>
                  </m:f>
                </m:oMath>
              </a14:m>
              <a:endParaRPr lang="en-US" sz="17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700">
                <a:effectLst/>
              </a:endParaRPr>
            </a:p>
            <a:p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WEP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𝑊𝐸𝑃</m:t>
                      </m:r>
                    </m:e>
                    <m:sub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</m:sub>
                  </m:sSub>
                  <m:r>
                    <a:rPr lang="en-US" sz="17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 (vòng lặp hiện tại/max_iter) *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𝑊𝐸𝑃</m:t>
                      </m:r>
                    </m:e>
                    <m:sub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  <m:r>
                    <a:rPr lang="en-US" sz="17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𝑊𝐸𝑃</m:t>
                      </m:r>
                    </m:e>
                    <m:sub>
                      <m:r>
                        <a:rPr lang="en-US" sz="17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𝑚𝑖𝑛</m:t>
                      </m:r>
                    </m:sub>
                  </m:sSub>
                  <m:r>
                    <a:rPr lang="en-US" sz="17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7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700">
                <a:effectLst/>
              </a:endParaRPr>
            </a:p>
            <a:p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TDR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1−( vòng lặp hiện tại/max_iter)</a:t>
              </a:r>
              <a:endParaRPr lang="en-US" sz="1700">
                <a:effectLst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CC36428-249B-1D05-F480-C90E46BFD26E}"/>
                </a:ext>
              </a:extLst>
            </xdr:cNvPr>
            <xdr:cNvSpPr txBox="1"/>
          </xdr:nvSpPr>
          <xdr:spPr>
            <a:xfrm>
              <a:off x="5143500" y="666750"/>
              <a:ext cx="6381750" cy="21145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2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CÔNG</a:t>
              </a:r>
              <a:r>
                <a:rPr lang="en-US" sz="1200" b="1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THỨC THAM GIA</a:t>
              </a:r>
            </a:p>
            <a:p>
              <a:pPr eaLnBrk="1" fontAlgn="auto" latinLnBrk="0" hangingPunct="1"/>
              <a:endParaRPr lang="en-US" sz="1700">
                <a:effectLst/>
              </a:endParaRPr>
            </a:p>
            <a:p>
              <a:pPr eaLnBrk="1" fontAlgn="auto" latinLnBrk="0" hangingPunct="1"/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NI(Ui)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(𝑓𝑖𝑡𝑛𝑒𝑠𝑠(𝑈𝑖)−𝑏𝑒𝑠𝑡_𝑓𝑖𝑡𝑛𝑒𝑠𝑠)/(𝑀𝑎𝑥_𝑓𝑖𝑡𝑛𝑒𝑠𝑠−𝑀𝑖𝑛_𝑓𝑖𝑡𝑛𝑒𝑠𝑠)</a:t>
              </a:r>
              <a:endParaRPr lang="en-US" sz="17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eaLnBrk="1" fontAlgn="auto" latinLnBrk="0" hangingPunct="1"/>
              <a:endParaRPr lang="en-US" sz="1700">
                <a:effectLst/>
              </a:endParaRPr>
            </a:p>
            <a:p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WEP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〖𝑊𝐸𝑃〗_𝑚𝑖𝑛 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 (vòng lặp hiện tại/max_iter) * (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〖𝑊𝐸𝑃〗_𝑚𝑎𝑥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 - 〖𝑊𝐸𝑃〗_𝑚𝑖𝑛  )</a:t>
              </a:r>
              <a:r>
                <a:rPr lang="en-US" sz="17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700">
                <a:effectLst/>
              </a:endParaRPr>
            </a:p>
            <a:p>
              <a:r>
                <a:rPr lang="en-US" sz="17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TDR </a:t>
              </a:r>
              <a:r>
                <a:rPr lang="en-US" sz="17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 1−( vòng lặp hiện tại/max_iter)</a:t>
              </a:r>
              <a:endParaRPr lang="en-US" sz="1700">
                <a:effectLst/>
              </a:endParaRP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0</xdr:row>
      <xdr:rowOff>66674</xdr:rowOff>
    </xdr:from>
    <xdr:to>
      <xdr:col>16</xdr:col>
      <xdr:colOff>180975</xdr:colOff>
      <xdr:row>27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4FE50D2-44C6-44D0-B204-F178D47EC8C1}"/>
            </a:ext>
          </a:extLst>
        </xdr:cNvPr>
        <xdr:cNvSpPr txBox="1"/>
      </xdr:nvSpPr>
      <xdr:spPr>
        <a:xfrm>
          <a:off x="104774" y="66674"/>
          <a:ext cx="9829801" cy="5105401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3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BƯỚC</a:t>
          </a:r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CHẠY THUẬT TOÁN</a:t>
          </a:r>
        </a:p>
        <a:p>
          <a:pPr algn="l"/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Khởi tạo tham số (Sheet "Công thức")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Số các vũ trụ, vòng lặp, số biến, fitness, khoảng giá trị, WEP &amp; TDR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Các biến thuộc Fitness được khởi tạo ngẫu nhiên trong khoảng cho trước. VD: [-2;2]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Khởi tạo tham số phụ: r1, r2, r3, r4. Ngẫu nhiên trong khoảng [0;1]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Tính tỷ lệ fitness chuẩn hóa (NI): công thức tại Sheet "Công thức"</a:t>
          </a:r>
        </a:p>
        <a:p>
          <a:pPr algn="l"/>
          <a:endParaRPr lang="en-US" sz="13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Xác định hố đen hố trắng (Whitehole/Blackhole) (công thức số 1)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Xếp hạng (Sắp xếp) lại các vũ trụ trước khi thực hiện tính toán (Sorted universes), thứ tự từ tốt nhất đến tệ nhất (trong trường hợp hiện tại)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Dựa trên so sánh r1&lt;NI, nếu r1 của vũ trụ đó nhỏ hơn -&gt; được chọn thay đổi giá trị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Việc thay đổi giá trị mới cho biến được xác định bởi (trong tường hợp này): ngẫu nhiên chọn 1 trong số các biến đang xét để thay thế giá trị cũ. 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VD (giả sử): xét vũ trụ U1 được chọn thay đổi, xét x1, chọn 1 trong số các giá trị x1 đã có ở bước khởi tạo tại vòng lặp hiện tại. v.v</a:t>
          </a:r>
        </a:p>
        <a:p>
          <a:pPr algn="l"/>
          <a:endParaRPr lang="en-US" sz="1300" b="1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Xác định vũ trụ xuất hiện hố sâu (Wormhole) (Liên quan công thức 2)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Sử dụng quần thể các vũ trụ vừa tìm được ở bước 2)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Dựa trên điều kiện r2&lt;WEP để xác định vũ trụ xuất hiện Wormhole để thay đổi, nếu r2 nhỏ hơn =&gt; thay đổi, r2 lớn hơn =&gt; không thay đổi.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Trường hợp thay đổi: kiểm tra r3&lt;0.5 (chia khoảng giá trị đang xét làm hai nửa): nếu có, sử dụng công thức trên, không, sử dụng công thức dưới.</a:t>
          </a: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Ở đây best_universe(j) là biến đang xét của vũ trụ tốt nhất trong vòng lặp hiện tại. </a:t>
          </a:r>
        </a:p>
        <a:p>
          <a:pPr algn="l"/>
          <a:r>
            <a:rPr lang="en-US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VD: vòng lặp hiện tại có U3 tốt nhất, xét 1 , </a:t>
          </a:r>
          <a:r>
            <a:rPr lang="en-US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best_universe(j)  = x1 của U3.</a:t>
          </a:r>
          <a:endParaRPr lang="en-US" sz="14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3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Trong công thức có sử dụng tham số r4, được xét ở tại r4 của vũ trụ đang xét. VD (giả sử): xét vũ trụ được thay đổi là U3, r4 tại công thức sẽ là r4 của U3.</a:t>
          </a: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3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Kết thúc vòng lặp</a:t>
          </a: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3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5BAF-07F4-4675-997D-F6A19A04241C}">
  <dimension ref="A1:N375"/>
  <sheetViews>
    <sheetView topLeftCell="A359" zoomScaleNormal="100" workbookViewId="0">
      <selection activeCell="J367" sqref="J367"/>
    </sheetView>
  </sheetViews>
  <sheetFormatPr defaultRowHeight="15" x14ac:dyDescent="0.25"/>
  <cols>
    <col min="3" max="5" width="18.140625" bestFit="1" customWidth="1"/>
    <col min="6" max="8" width="12" bestFit="1" customWidth="1"/>
    <col min="9" max="9" width="13.140625" bestFit="1" customWidth="1"/>
    <col min="10" max="10" width="14.140625" customWidth="1"/>
    <col min="11" max="11" width="18" bestFit="1" customWidth="1"/>
    <col min="12" max="12" width="14.7109375" bestFit="1" customWidth="1"/>
    <col min="13" max="13" width="9.85546875" bestFit="1" customWidth="1"/>
    <col min="14" max="14" width="9.5703125" customWidth="1"/>
  </cols>
  <sheetData>
    <row r="1" spans="1:14" ht="18.75" x14ac:dyDescent="0.25">
      <c r="A1" s="63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t="s">
        <v>44</v>
      </c>
      <c r="M1" t="s">
        <v>45</v>
      </c>
    </row>
    <row r="2" spans="1:14" ht="18.75" x14ac:dyDescent="0.25">
      <c r="A2" s="1" t="s">
        <v>1</v>
      </c>
      <c r="B2" s="1"/>
      <c r="C2" s="1"/>
      <c r="D2" s="1"/>
      <c r="E2" s="1"/>
      <c r="J2" s="5" t="s">
        <v>14</v>
      </c>
      <c r="K2" s="5"/>
      <c r="L2" s="46" t="s">
        <v>42</v>
      </c>
      <c r="M2" s="46"/>
      <c r="N2" s="46"/>
    </row>
    <row r="3" spans="1:14" ht="18.75" x14ac:dyDescent="0.3">
      <c r="A3" s="52" t="s">
        <v>2</v>
      </c>
      <c r="B3" s="52"/>
      <c r="C3" s="2" t="s">
        <v>3</v>
      </c>
      <c r="D3" s="2" t="s">
        <v>4</v>
      </c>
      <c r="E3" s="2" t="s">
        <v>5</v>
      </c>
      <c r="F3" s="2" t="s">
        <v>11</v>
      </c>
      <c r="G3" s="2" t="s">
        <v>12</v>
      </c>
      <c r="H3" s="2" t="s">
        <v>13</v>
      </c>
      <c r="I3" s="2" t="s">
        <v>16</v>
      </c>
      <c r="J3" s="2" t="s">
        <v>15</v>
      </c>
      <c r="K3" s="2" t="s">
        <v>43</v>
      </c>
      <c r="L3" s="21" t="s">
        <v>20</v>
      </c>
      <c r="M3" s="8" t="s">
        <v>12</v>
      </c>
      <c r="N3" s="8" t="s">
        <v>13</v>
      </c>
    </row>
    <row r="4" spans="1:14" ht="18.75" x14ac:dyDescent="0.3">
      <c r="A4" s="58" t="s">
        <v>6</v>
      </c>
      <c r="B4" s="58"/>
      <c r="C4" s="12">
        <v>0.18582755975031473</v>
      </c>
      <c r="D4" s="12">
        <v>1.5660703984837361</v>
      </c>
      <c r="E4" s="12">
        <v>4.6112689222604697E-2</v>
      </c>
      <c r="F4" s="11">
        <v>0.73270721282565709</v>
      </c>
      <c r="G4" s="11">
        <v>0.99883641325333195</v>
      </c>
      <c r="H4" s="11">
        <v>0.2196542983322094</v>
      </c>
      <c r="I4" s="11">
        <v>0.77493653982182231</v>
      </c>
      <c r="J4" s="4">
        <f>(C4/4)^2 + (D4/2)^2 + E4^2</f>
        <v>0.61742874598176478</v>
      </c>
      <c r="K4" s="22">
        <v>0.21262110244924401</v>
      </c>
      <c r="L4" s="9">
        <f>IF(F4&lt;K4,1,0)</f>
        <v>0</v>
      </c>
      <c r="M4" s="9">
        <f>IF(G4&lt;$B$10,1,0)</f>
        <v>0</v>
      </c>
      <c r="N4" s="9">
        <f>IF(H4&lt;0.5,1,0)</f>
        <v>1</v>
      </c>
    </row>
    <row r="5" spans="1:14" ht="19.5" thickBot="1" x14ac:dyDescent="0.35">
      <c r="A5" s="59" t="s">
        <v>7</v>
      </c>
      <c r="B5" s="59"/>
      <c r="C5" s="24">
        <v>-0.70754726717776517</v>
      </c>
      <c r="D5" s="24">
        <v>-1.7817925817971023</v>
      </c>
      <c r="E5" s="24">
        <v>1.2372140300901546</v>
      </c>
      <c r="F5" s="25">
        <v>0.59082123758773719</v>
      </c>
      <c r="G5" s="25">
        <v>0.20344885114707223</v>
      </c>
      <c r="H5" s="25">
        <v>0.52680128484633271</v>
      </c>
      <c r="I5" s="25">
        <v>0.19306704479034376</v>
      </c>
      <c r="J5" s="26">
        <f>(C5/4)^2 + (D5/2)^2 + E5^2</f>
        <v>2.355683703344388</v>
      </c>
      <c r="K5" s="22">
        <v>1</v>
      </c>
      <c r="L5" s="9">
        <f t="shared" ref="L5:L8" si="0">IF(F5&lt;K5,1,0)</f>
        <v>1</v>
      </c>
      <c r="M5" s="9">
        <f t="shared" ref="M5:M8" si="1">IF(G5&lt;$B$10,1,0)</f>
        <v>1</v>
      </c>
      <c r="N5" s="9">
        <f t="shared" ref="N5:N8" si="2">IF(H5&lt;0.5,1,0)</f>
        <v>0</v>
      </c>
    </row>
    <row r="6" spans="1:14" ht="19.5" thickBot="1" x14ac:dyDescent="0.35">
      <c r="A6" s="60" t="s">
        <v>8</v>
      </c>
      <c r="B6" s="61"/>
      <c r="C6" s="30">
        <v>1.4017172929241921</v>
      </c>
      <c r="D6" s="30">
        <v>-0.19041591096716282</v>
      </c>
      <c r="E6" s="30">
        <v>-0.1271654891778855</v>
      </c>
      <c r="F6" s="31">
        <v>0.3992077718758511</v>
      </c>
      <c r="G6" s="31">
        <v>0.15363794011745013</v>
      </c>
      <c r="H6" s="31">
        <v>0.98390523195797142</v>
      </c>
      <c r="I6" s="31">
        <v>0.796132346598174</v>
      </c>
      <c r="J6" s="32">
        <f>(C6/4)^2 + (D6/2)^2 + E6^2</f>
        <v>0.14803632700538488</v>
      </c>
      <c r="K6" s="23">
        <v>0</v>
      </c>
      <c r="L6" s="9">
        <f t="shared" si="0"/>
        <v>0</v>
      </c>
      <c r="M6" s="9">
        <f t="shared" si="1"/>
        <v>1</v>
      </c>
      <c r="N6" s="9">
        <f t="shared" si="2"/>
        <v>0</v>
      </c>
    </row>
    <row r="7" spans="1:14" ht="18.75" x14ac:dyDescent="0.3">
      <c r="A7" s="57" t="s">
        <v>9</v>
      </c>
      <c r="B7" s="57"/>
      <c r="C7" s="27">
        <v>-0.64438933152458588</v>
      </c>
      <c r="D7" s="27">
        <v>0.33763631067725752</v>
      </c>
      <c r="E7" s="27">
        <v>-0.964608983598779</v>
      </c>
      <c r="F7" s="28">
        <v>0.20239125298299887</v>
      </c>
      <c r="G7" s="28">
        <v>0.21731869600207876</v>
      </c>
      <c r="H7" s="28">
        <v>0.73168406008522469</v>
      </c>
      <c r="I7" s="28">
        <v>8.4075920252367431E-2</v>
      </c>
      <c r="J7" s="29">
        <f>(C7/4)^2 + (D7/2)^2 + E7^2</f>
        <v>0.98492241147282578</v>
      </c>
      <c r="K7" s="22">
        <v>0.37908503569771634</v>
      </c>
      <c r="L7" s="9">
        <f t="shared" si="0"/>
        <v>1</v>
      </c>
      <c r="M7" s="9">
        <f t="shared" si="1"/>
        <v>1</v>
      </c>
      <c r="N7" s="9">
        <f t="shared" si="2"/>
        <v>0</v>
      </c>
    </row>
    <row r="8" spans="1:14" ht="18.75" x14ac:dyDescent="0.3">
      <c r="A8" s="58" t="s">
        <v>10</v>
      </c>
      <c r="B8" s="58"/>
      <c r="C8" s="12">
        <v>-1.0156046021466558</v>
      </c>
      <c r="D8" s="12">
        <v>-0.35864349929112382</v>
      </c>
      <c r="E8" s="12">
        <v>-1.1322568370634607</v>
      </c>
      <c r="F8" s="11">
        <v>0.35434333870467594</v>
      </c>
      <c r="G8" s="11">
        <v>0.81806673707823996</v>
      </c>
      <c r="H8" s="11">
        <v>0.22005872743675992</v>
      </c>
      <c r="I8" s="11">
        <v>0.34100103557472916</v>
      </c>
      <c r="J8" s="4">
        <f>(C8/4)^2 + (D8/2)^2 + E8^2</f>
        <v>1.3786276292167394</v>
      </c>
      <c r="K8" s="22">
        <v>0.55742203913564992</v>
      </c>
      <c r="L8" s="9">
        <f t="shared" si="0"/>
        <v>1</v>
      </c>
      <c r="M8" s="9">
        <f t="shared" si="1"/>
        <v>0</v>
      </c>
      <c r="N8" s="9">
        <f t="shared" si="2"/>
        <v>1</v>
      </c>
    </row>
    <row r="10" spans="1:14" x14ac:dyDescent="0.25">
      <c r="A10" s="7" t="s">
        <v>18</v>
      </c>
      <c r="B10" s="3">
        <f>0.2+(1/20)*(0.8-0.2)</f>
        <v>0.23</v>
      </c>
    </row>
    <row r="11" spans="1:14" x14ac:dyDescent="0.25">
      <c r="A11" s="7" t="s">
        <v>19</v>
      </c>
      <c r="B11" s="3">
        <f>1-(1/20)</f>
        <v>0.95</v>
      </c>
    </row>
    <row r="12" spans="1:14" x14ac:dyDescent="0.25">
      <c r="A12" s="43" t="s">
        <v>46</v>
      </c>
      <c r="B12" s="43"/>
      <c r="C12" s="43"/>
      <c r="D12" s="43"/>
      <c r="E12" s="43"/>
      <c r="G12" s="43" t="s">
        <v>47</v>
      </c>
      <c r="H12" s="43"/>
      <c r="I12" s="43"/>
      <c r="J12" s="43"/>
      <c r="K12" s="43"/>
    </row>
    <row r="13" spans="1:14" ht="18.75" x14ac:dyDescent="0.3">
      <c r="A13" s="52" t="s">
        <v>2</v>
      </c>
      <c r="B13" s="52"/>
      <c r="C13" s="2" t="s">
        <v>3</v>
      </c>
      <c r="D13" s="2" t="s">
        <v>4</v>
      </c>
      <c r="E13" s="2" t="s">
        <v>5</v>
      </c>
      <c r="F13" s="2" t="s">
        <v>48</v>
      </c>
      <c r="G13" s="49" t="s">
        <v>2</v>
      </c>
      <c r="H13" s="49"/>
      <c r="I13" s="19" t="s">
        <v>3</v>
      </c>
      <c r="J13" s="19" t="s">
        <v>4</v>
      </c>
      <c r="K13" s="19" t="s">
        <v>5</v>
      </c>
    </row>
    <row r="14" spans="1:14" ht="18.75" x14ac:dyDescent="0.3">
      <c r="A14" s="53" t="s">
        <v>8</v>
      </c>
      <c r="B14" s="53"/>
      <c r="C14" s="12">
        <v>1.4017172929241921</v>
      </c>
      <c r="D14" s="12">
        <v>-0.19041591096716282</v>
      </c>
      <c r="E14" s="12">
        <v>-0.1271654891778855</v>
      </c>
      <c r="F14" s="9">
        <v>1</v>
      </c>
      <c r="G14" s="54" t="s">
        <v>8</v>
      </c>
      <c r="H14" s="54"/>
      <c r="I14" s="13">
        <v>0.27641437585113104</v>
      </c>
      <c r="J14" s="13">
        <v>-1.3157188280402239</v>
      </c>
      <c r="K14" s="13">
        <v>-1.2524684062509466</v>
      </c>
    </row>
    <row r="15" spans="1:14" ht="18.75" x14ac:dyDescent="0.3">
      <c r="A15" s="53" t="s">
        <v>6</v>
      </c>
      <c r="B15" s="53"/>
      <c r="C15" s="12">
        <v>0.18582755975031473</v>
      </c>
      <c r="D15" s="12">
        <v>1.5660703984837361</v>
      </c>
      <c r="E15" s="12">
        <v>4.6112689222604697E-2</v>
      </c>
      <c r="F15" s="9">
        <v>2</v>
      </c>
      <c r="G15" s="54" t="s">
        <v>6</v>
      </c>
      <c r="H15" s="54"/>
      <c r="I15" s="14">
        <v>0.18582755975031473</v>
      </c>
      <c r="J15" s="14">
        <v>1.5660703984837361</v>
      </c>
      <c r="K15" s="14">
        <v>4.6112689222604697E-2</v>
      </c>
    </row>
    <row r="16" spans="1:14" ht="18.75" x14ac:dyDescent="0.3">
      <c r="A16" s="53" t="s">
        <v>9</v>
      </c>
      <c r="B16" s="53"/>
      <c r="C16" s="13">
        <v>1.4017172929241921</v>
      </c>
      <c r="D16" s="13">
        <v>-0.19041591096716282</v>
      </c>
      <c r="E16" s="13">
        <v>-0.964608983598779</v>
      </c>
      <c r="F16" s="9">
        <v>3</v>
      </c>
      <c r="G16" s="54" t="s">
        <v>9</v>
      </c>
      <c r="H16" s="54"/>
      <c r="I16" s="14">
        <v>1.4017172929241921</v>
      </c>
      <c r="J16" s="14">
        <v>-0.19041591096716282</v>
      </c>
      <c r="K16" s="14">
        <v>-0.964608983598779</v>
      </c>
    </row>
    <row r="17" spans="1:14" ht="19.5" thickBot="1" x14ac:dyDescent="0.35">
      <c r="A17" s="53" t="s">
        <v>10</v>
      </c>
      <c r="B17" s="53"/>
      <c r="C17" s="13">
        <v>0.18582755975031473</v>
      </c>
      <c r="D17" s="13">
        <v>-1.7817925817971023</v>
      </c>
      <c r="E17" s="13">
        <v>-0.964608983598779</v>
      </c>
      <c r="F17" s="9">
        <v>4</v>
      </c>
      <c r="G17" s="54" t="s">
        <v>10</v>
      </c>
      <c r="H17" s="54"/>
      <c r="I17" s="34">
        <v>0.18582755975031473</v>
      </c>
      <c r="J17" s="14">
        <v>-1.7817925817971023</v>
      </c>
      <c r="K17" s="14">
        <v>-0.964608983598779</v>
      </c>
    </row>
    <row r="18" spans="1:14" ht="19.5" thickBot="1" x14ac:dyDescent="0.35">
      <c r="A18" s="53" t="s">
        <v>7</v>
      </c>
      <c r="B18" s="53"/>
      <c r="C18" s="13">
        <v>0.644389331524586</v>
      </c>
      <c r="D18" s="13">
        <v>0.33763631067725752</v>
      </c>
      <c r="E18" s="13">
        <v>4.6112689222604697E-2</v>
      </c>
      <c r="F18" s="9">
        <v>5</v>
      </c>
      <c r="G18" s="54" t="s">
        <v>7</v>
      </c>
      <c r="H18" s="47"/>
      <c r="I18" s="35">
        <v>0.644389331524586</v>
      </c>
      <c r="J18" s="33">
        <v>0.97592931882953082</v>
      </c>
      <c r="K18" s="13">
        <v>1.0391797406188081</v>
      </c>
    </row>
    <row r="19" spans="1:14" ht="18.75" x14ac:dyDescent="0.3">
      <c r="G19" s="62" t="s">
        <v>31</v>
      </c>
      <c r="H19" s="62"/>
      <c r="I19" s="62"/>
      <c r="J19" s="62"/>
      <c r="K19" s="62"/>
    </row>
    <row r="20" spans="1:14" ht="15.75" x14ac:dyDescent="0.25">
      <c r="A20" s="65" t="s">
        <v>30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</row>
    <row r="21" spans="1:14" x14ac:dyDescent="0.25">
      <c r="A21" s="16" t="s">
        <v>18</v>
      </c>
      <c r="B21" s="17">
        <f>0.2+(2/20)*(0.8-0.2)</f>
        <v>0.26</v>
      </c>
    </row>
    <row r="22" spans="1:14" x14ac:dyDescent="0.25">
      <c r="A22" s="7" t="s">
        <v>19</v>
      </c>
      <c r="B22" s="3">
        <f>1-(2/20)</f>
        <v>0.9</v>
      </c>
    </row>
    <row r="23" spans="1:14" ht="18.75" x14ac:dyDescent="0.3">
      <c r="A23" s="37" t="s">
        <v>2</v>
      </c>
      <c r="B23" s="38"/>
      <c r="C23" s="2" t="s">
        <v>3</v>
      </c>
      <c r="D23" s="2" t="s">
        <v>4</v>
      </c>
      <c r="E23" s="2" t="s">
        <v>5</v>
      </c>
      <c r="F23" s="2" t="s">
        <v>11</v>
      </c>
      <c r="G23" s="2" t="s">
        <v>12</v>
      </c>
      <c r="H23" s="2" t="s">
        <v>13</v>
      </c>
      <c r="I23" s="2" t="s">
        <v>16</v>
      </c>
      <c r="J23" s="2" t="s">
        <v>15</v>
      </c>
      <c r="K23" s="2" t="s">
        <v>17</v>
      </c>
      <c r="L23" s="2" t="s">
        <v>20</v>
      </c>
      <c r="M23" s="8" t="s">
        <v>12</v>
      </c>
      <c r="N23" s="8" t="s">
        <v>13</v>
      </c>
    </row>
    <row r="24" spans="1:14" ht="18.75" x14ac:dyDescent="0.3">
      <c r="A24" s="41" t="s">
        <v>8</v>
      </c>
      <c r="B24" s="42"/>
      <c r="C24" s="14">
        <v>0.27641437585113104</v>
      </c>
      <c r="D24" s="14">
        <v>-1.3157188280402239</v>
      </c>
      <c r="E24" s="14">
        <v>-1.2524684062509466</v>
      </c>
      <c r="F24" s="11">
        <v>0.54022591468809755</v>
      </c>
      <c r="G24" s="11">
        <v>0.25273651844266709</v>
      </c>
      <c r="H24" s="11">
        <v>0.48464228921799157</v>
      </c>
      <c r="I24" s="11">
        <v>0.29359532040172331</v>
      </c>
      <c r="J24" s="6">
        <f>(C24/4)^2 + (D24/2)^2 + E24^2</f>
        <v>2.0062314239702443</v>
      </c>
      <c r="K24" s="11">
        <f>(J24-$J$25)/($J$24-$J$25)</f>
        <v>1</v>
      </c>
      <c r="L24" s="15">
        <f>IF(F24&lt;K24,1,0)</f>
        <v>1</v>
      </c>
      <c r="M24" s="15">
        <f>IF(G24&lt;$B$21,1,0)</f>
        <v>1</v>
      </c>
      <c r="N24" s="15">
        <f>IF(H24&lt;0.5,1,0)</f>
        <v>1</v>
      </c>
    </row>
    <row r="25" spans="1:14" ht="18.75" x14ac:dyDescent="0.3">
      <c r="A25" s="39" t="s">
        <v>6</v>
      </c>
      <c r="B25" s="40"/>
      <c r="C25" s="14">
        <v>0.18582755975031473</v>
      </c>
      <c r="D25" s="14">
        <v>1.5660703984837361</v>
      </c>
      <c r="E25" s="14">
        <v>4.6112689222604697E-2</v>
      </c>
      <c r="F25" s="11">
        <v>0.90974675122625781</v>
      </c>
      <c r="G25" s="11">
        <v>0.35816926263493543</v>
      </c>
      <c r="H25" s="11">
        <v>2.6872327276088126E-2</v>
      </c>
      <c r="I25" s="11">
        <v>0.8621320267258773</v>
      </c>
      <c r="J25" s="10">
        <f t="shared" ref="J25:J28" si="3">(C25/4)^2 + (D25/2)^2 + E25^2</f>
        <v>0.61742874598176478</v>
      </c>
      <c r="K25" s="11">
        <f>(J25-$J$25)/($J$24-$J$25)</f>
        <v>0</v>
      </c>
      <c r="L25" s="15">
        <f t="shared" ref="L25:L28" si="4">IF(F25&lt;K25,1,0)</f>
        <v>0</v>
      </c>
      <c r="M25" s="15">
        <f>IF(G25&lt;$B$21,1,0)</f>
        <v>0</v>
      </c>
      <c r="N25" s="15">
        <f t="shared" ref="N25:N28" si="5">IF(H25&lt;0.5,1,0)</f>
        <v>1</v>
      </c>
    </row>
    <row r="26" spans="1:14" ht="18.75" x14ac:dyDescent="0.3">
      <c r="A26" s="41" t="s">
        <v>9</v>
      </c>
      <c r="B26" s="42"/>
      <c r="C26" s="14">
        <v>1.4017172929241921</v>
      </c>
      <c r="D26" s="14">
        <v>-0.19041591096716282</v>
      </c>
      <c r="E26" s="14">
        <v>-0.964608983598779</v>
      </c>
      <c r="F26" s="11">
        <v>0.39139339638680481</v>
      </c>
      <c r="G26" s="11">
        <v>0.87029763580688368</v>
      </c>
      <c r="H26" s="11">
        <v>0.22339604336622298</v>
      </c>
      <c r="I26" s="11">
        <v>0.60489635047082513</v>
      </c>
      <c r="J26" s="6">
        <f t="shared" si="3"/>
        <v>1.0623357566070033</v>
      </c>
      <c r="K26" s="11">
        <f>(J26-$J$25)/($J$24-$J$25)</f>
        <v>0.32035293254880165</v>
      </c>
      <c r="L26" s="15">
        <f t="shared" si="4"/>
        <v>0</v>
      </c>
      <c r="M26" s="15">
        <f>IF(G26&lt;$B$21,1,0)</f>
        <v>0</v>
      </c>
      <c r="N26" s="15">
        <f t="shared" si="5"/>
        <v>1</v>
      </c>
    </row>
    <row r="27" spans="1:14" ht="18.75" x14ac:dyDescent="0.3">
      <c r="A27" s="41" t="s">
        <v>10</v>
      </c>
      <c r="B27" s="42"/>
      <c r="C27" s="14">
        <v>0.18582755975031473</v>
      </c>
      <c r="D27" s="14">
        <v>-1.7817925817971023</v>
      </c>
      <c r="E27" s="14">
        <v>-0.964608983598779</v>
      </c>
      <c r="F27" s="11">
        <v>0.25498042724150782</v>
      </c>
      <c r="G27" s="11">
        <v>0.585495657631253</v>
      </c>
      <c r="H27" s="11">
        <v>0.54779382368929497</v>
      </c>
      <c r="I27" s="11">
        <v>0.88746758712545848</v>
      </c>
      <c r="J27" s="18">
        <f>(C27/4)^2 + (D27/2)^2 + E27^2</f>
        <v>1.7263249349989376</v>
      </c>
      <c r="K27" s="11">
        <f>(J27-$J$25)/($J$24-$J$25)</f>
        <v>0.79845481765867621</v>
      </c>
      <c r="L27" s="15">
        <f t="shared" si="4"/>
        <v>1</v>
      </c>
      <c r="M27" s="15">
        <f>IF(G27&lt;$B$21,1,0)</f>
        <v>0</v>
      </c>
      <c r="N27" s="15">
        <f t="shared" si="5"/>
        <v>0</v>
      </c>
    </row>
    <row r="28" spans="1:14" ht="18.75" x14ac:dyDescent="0.3">
      <c r="A28" s="41" t="s">
        <v>7</v>
      </c>
      <c r="B28" s="42"/>
      <c r="C28" s="14">
        <v>0.644389331524586</v>
      </c>
      <c r="D28" s="14">
        <v>0.97592931882953082</v>
      </c>
      <c r="E28" s="14">
        <v>1.0391797406188081</v>
      </c>
      <c r="F28" s="11">
        <v>0.26332614069338489</v>
      </c>
      <c r="G28" s="11">
        <v>0.46231596198940261</v>
      </c>
      <c r="H28" s="11">
        <v>0.82472352101323354</v>
      </c>
      <c r="I28" s="11">
        <v>0.66142568738566543</v>
      </c>
      <c r="J28" s="6">
        <f t="shared" si="3"/>
        <v>1.3439563928117604</v>
      </c>
      <c r="K28" s="11">
        <f>(J28-$J$25)/($J$24-$J$25)</f>
        <v>0.5231323775111717</v>
      </c>
      <c r="L28" s="15">
        <f t="shared" si="4"/>
        <v>1</v>
      </c>
      <c r="M28" s="15">
        <f>IF(G28&lt;$B$21,1,0)</f>
        <v>0</v>
      </c>
      <c r="N28" s="15">
        <f t="shared" si="5"/>
        <v>0</v>
      </c>
    </row>
    <row r="30" spans="1:14" x14ac:dyDescent="0.25">
      <c r="A30" s="43" t="s">
        <v>21</v>
      </c>
      <c r="B30" s="43"/>
      <c r="C30" s="43"/>
      <c r="D30" s="43"/>
      <c r="E30" s="43"/>
    </row>
    <row r="31" spans="1:14" ht="18.75" x14ac:dyDescent="0.3">
      <c r="A31" s="37" t="s">
        <v>2</v>
      </c>
      <c r="B31" s="38"/>
      <c r="C31" s="2" t="s">
        <v>3</v>
      </c>
      <c r="D31" s="2" t="s">
        <v>4</v>
      </c>
      <c r="E31" s="2" t="s">
        <v>5</v>
      </c>
      <c r="G31" s="44" t="s">
        <v>2</v>
      </c>
      <c r="H31" s="45"/>
      <c r="I31" s="19" t="s">
        <v>3</v>
      </c>
      <c r="J31" s="19" t="s">
        <v>4</v>
      </c>
      <c r="K31" s="19" t="s">
        <v>5</v>
      </c>
    </row>
    <row r="32" spans="1:14" ht="18.75" x14ac:dyDescent="0.3">
      <c r="A32" s="41" t="s">
        <v>6</v>
      </c>
      <c r="B32" s="42"/>
      <c r="C32" s="14">
        <v>0.18582755975031473</v>
      </c>
      <c r="D32" s="14">
        <v>1.5660703984837361</v>
      </c>
      <c r="E32" s="14">
        <v>4.6112689222604697E-2</v>
      </c>
      <c r="G32" s="47" t="s">
        <v>6</v>
      </c>
      <c r="H32" s="48"/>
      <c r="I32" s="14">
        <v>0.18582755975031501</v>
      </c>
      <c r="J32" s="14">
        <v>1.5660703984837361</v>
      </c>
      <c r="K32" s="14">
        <v>4.6112689222604697E-2</v>
      </c>
    </row>
    <row r="33" spans="1:14" ht="18.75" x14ac:dyDescent="0.3">
      <c r="A33" s="41" t="s">
        <v>9</v>
      </c>
      <c r="B33" s="42"/>
      <c r="C33" s="14">
        <v>1.4017172929241921</v>
      </c>
      <c r="D33" s="14">
        <v>-0.19041591096716282</v>
      </c>
      <c r="E33" s="14">
        <v>-0.964608983598779</v>
      </c>
      <c r="G33" s="47" t="s">
        <v>9</v>
      </c>
      <c r="H33" s="48"/>
      <c r="I33" s="14">
        <v>1.4017172929241921</v>
      </c>
      <c r="J33" s="14">
        <v>-0.19041591096716282</v>
      </c>
      <c r="K33" s="14">
        <v>-0.964608983598779</v>
      </c>
    </row>
    <row r="34" spans="1:14" ht="18.75" x14ac:dyDescent="0.3">
      <c r="A34" s="41" t="s">
        <v>7</v>
      </c>
      <c r="B34" s="42"/>
      <c r="C34" s="13">
        <v>0.27641437585113104</v>
      </c>
      <c r="D34" s="13">
        <v>0.97592931882953082</v>
      </c>
      <c r="E34" s="13">
        <v>-0.964608983598779</v>
      </c>
      <c r="G34" s="47" t="s">
        <v>7</v>
      </c>
      <c r="H34" s="48"/>
      <c r="I34" s="14">
        <v>0.27641437585113104</v>
      </c>
      <c r="J34" s="14">
        <v>0.97592931882953082</v>
      </c>
      <c r="K34" s="14">
        <v>-0.964608983598779</v>
      </c>
    </row>
    <row r="35" spans="1:14" ht="18.75" x14ac:dyDescent="0.3">
      <c r="A35" s="41" t="s">
        <v>10</v>
      </c>
      <c r="B35" s="42"/>
      <c r="C35" s="13">
        <v>0.18582755975031473</v>
      </c>
      <c r="D35" s="13">
        <v>-0.19041591096716282</v>
      </c>
      <c r="E35" s="13">
        <v>1.0391797406188081</v>
      </c>
      <c r="G35" s="47" t="s">
        <v>10</v>
      </c>
      <c r="H35" s="48"/>
      <c r="I35" s="14">
        <v>0.18582755975031473</v>
      </c>
      <c r="J35" s="14">
        <v>-0.19041591096716282</v>
      </c>
      <c r="K35" s="14">
        <v>1.0391797406188081</v>
      </c>
    </row>
    <row r="36" spans="1:14" ht="18.75" x14ac:dyDescent="0.3">
      <c r="A36" s="53" t="s">
        <v>8</v>
      </c>
      <c r="B36" s="53"/>
      <c r="C36" s="13">
        <v>1.4017172929241921</v>
      </c>
      <c r="D36" s="13">
        <v>-1.7817925817971023</v>
      </c>
      <c r="E36" s="13">
        <v>-0.964608983598779</v>
      </c>
      <c r="G36" s="54" t="s">
        <v>8</v>
      </c>
      <c r="H36" s="54"/>
      <c r="I36" s="13">
        <v>1.3057860865851567</v>
      </c>
      <c r="J36" s="14">
        <v>-1.7817925817971001</v>
      </c>
      <c r="K36" s="13">
        <v>1.1660712160574467</v>
      </c>
    </row>
    <row r="38" spans="1:14" x14ac:dyDescent="0.25">
      <c r="A38" s="67" t="s">
        <v>22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</row>
    <row r="39" spans="1:14" ht="18.75" x14ac:dyDescent="0.3">
      <c r="A39" s="37" t="s">
        <v>2</v>
      </c>
      <c r="B39" s="38"/>
      <c r="C39" s="2" t="s">
        <v>3</v>
      </c>
      <c r="D39" s="2" t="s">
        <v>4</v>
      </c>
      <c r="E39" s="2" t="s">
        <v>5</v>
      </c>
      <c r="F39" s="2" t="s">
        <v>11</v>
      </c>
      <c r="G39" s="2" t="s">
        <v>12</v>
      </c>
      <c r="H39" s="2" t="s">
        <v>13</v>
      </c>
      <c r="I39" s="2" t="s">
        <v>16</v>
      </c>
      <c r="J39" s="2" t="s">
        <v>15</v>
      </c>
      <c r="K39" s="2" t="s">
        <v>17</v>
      </c>
      <c r="L39" s="2" t="s">
        <v>20</v>
      </c>
      <c r="M39" s="8" t="s">
        <v>12</v>
      </c>
      <c r="N39" s="8" t="s">
        <v>13</v>
      </c>
    </row>
    <row r="40" spans="1:14" ht="18.75" x14ac:dyDescent="0.3">
      <c r="A40" s="50" t="s">
        <v>6</v>
      </c>
      <c r="B40" s="51"/>
      <c r="C40" s="14">
        <v>0.18582755975031501</v>
      </c>
      <c r="D40" s="14">
        <v>1.5660703984837361</v>
      </c>
      <c r="E40" s="14">
        <v>4.6112689222604697E-2</v>
      </c>
      <c r="F40" s="11">
        <v>0.28442193587469744</v>
      </c>
      <c r="G40" s="11">
        <v>0.70518720424758707</v>
      </c>
      <c r="H40" s="11">
        <v>0.47559013777099413</v>
      </c>
      <c r="I40" s="11">
        <v>0.31761316997160804</v>
      </c>
      <c r="J40" s="10">
        <f>(C40/4)^2 + (D40/2)^2 + E40^2</f>
        <v>0.61742874598176478</v>
      </c>
      <c r="K40" s="11">
        <f>(J40-$J$40)/($J$44-$J$40)</f>
        <v>0</v>
      </c>
      <c r="L40" s="15">
        <f>IF(F40&lt;K40,1,0)</f>
        <v>0</v>
      </c>
      <c r="M40" s="15">
        <f>IF(G40&lt;$B$46,1,0)</f>
        <v>0</v>
      </c>
      <c r="N40" s="15">
        <f>IF(H40&lt;0.5,1,0)</f>
        <v>1</v>
      </c>
    </row>
    <row r="41" spans="1:14" ht="18.75" x14ac:dyDescent="0.3">
      <c r="A41" s="47" t="s">
        <v>9</v>
      </c>
      <c r="B41" s="48"/>
      <c r="C41" s="14">
        <v>1.4017172929241921</v>
      </c>
      <c r="D41" s="14">
        <v>-0.19041591096716282</v>
      </c>
      <c r="E41" s="14">
        <v>-0.964608983598779</v>
      </c>
      <c r="F41" s="11">
        <v>0.59578633022219252</v>
      </c>
      <c r="G41" s="11">
        <v>0.81060310650025424</v>
      </c>
      <c r="H41" s="11">
        <v>0.1594969289797934</v>
      </c>
      <c r="I41" s="11">
        <v>0.45890831906914642</v>
      </c>
      <c r="J41" s="6">
        <f>(C41/4)^2 + (D41/2)^2 + E41^2</f>
        <v>1.0623357566070033</v>
      </c>
      <c r="K41" s="11">
        <f>(J41-$J$40)/($J$44-$J$40)</f>
        <v>0.27086247021940979</v>
      </c>
      <c r="L41" s="15">
        <f t="shared" ref="L41:L44" si="6">IF(F41&lt;K41,1,0)</f>
        <v>0</v>
      </c>
      <c r="M41" s="15">
        <f>IF(G41&lt;$B$46,1,0)</f>
        <v>0</v>
      </c>
      <c r="N41" s="15">
        <f t="shared" ref="N41:N44" si="7">IF(H41&lt;0.5,1,0)</f>
        <v>1</v>
      </c>
    </row>
    <row r="42" spans="1:14" ht="18.75" x14ac:dyDescent="0.3">
      <c r="A42" s="54" t="s">
        <v>7</v>
      </c>
      <c r="B42" s="54"/>
      <c r="C42" s="14">
        <v>0.27641437585113104</v>
      </c>
      <c r="D42" s="14">
        <v>0.97592931882953082</v>
      </c>
      <c r="E42" s="14">
        <v>-0.964608983598779</v>
      </c>
      <c r="F42" s="11">
        <v>0.46177857800534661</v>
      </c>
      <c r="G42" s="11">
        <v>0.86254418428063107</v>
      </c>
      <c r="H42" s="11">
        <v>0.96202760707384893</v>
      </c>
      <c r="I42" s="11">
        <v>0.30462532782226892</v>
      </c>
      <c r="J42" s="6">
        <f t="shared" ref="J42:J44" si="8">(C42/4)^2 + (D42/2)^2 + E42^2</f>
        <v>1.1733553067758107</v>
      </c>
      <c r="K42" s="11">
        <f>(J42-$J$40)/($J$44-$J$40)</f>
        <v>0.33845194146444885</v>
      </c>
      <c r="L42" s="15">
        <f t="shared" si="6"/>
        <v>0</v>
      </c>
      <c r="M42" s="15">
        <f>IF(G42&lt;$B$46,1,0)</f>
        <v>0</v>
      </c>
      <c r="N42" s="15">
        <f t="shared" si="7"/>
        <v>0</v>
      </c>
    </row>
    <row r="43" spans="1:14" ht="18.75" x14ac:dyDescent="0.3">
      <c r="A43" s="54" t="s">
        <v>10</v>
      </c>
      <c r="B43" s="54"/>
      <c r="C43" s="14">
        <v>0.18582755975031473</v>
      </c>
      <c r="D43" s="14">
        <v>-0.19041591096716282</v>
      </c>
      <c r="E43" s="14">
        <v>1.0391797406188081</v>
      </c>
      <c r="F43" s="11">
        <v>0.49796870021674255</v>
      </c>
      <c r="G43" s="11">
        <v>0.76371491422211801</v>
      </c>
      <c r="H43" s="11">
        <v>0.32923966238764124</v>
      </c>
      <c r="I43" s="11">
        <v>0.31906725233339461</v>
      </c>
      <c r="J43" s="6">
        <f t="shared" si="8"/>
        <v>1.0911173307226092</v>
      </c>
      <c r="K43" s="11">
        <f>(J43-$J$40)/($J$44-$J$40)</f>
        <v>0.28838489192906175</v>
      </c>
      <c r="L43" s="15">
        <f t="shared" si="6"/>
        <v>0</v>
      </c>
      <c r="M43" s="15">
        <f>IF(G43&lt;$B$46,1,0)</f>
        <v>0</v>
      </c>
      <c r="N43" s="15">
        <f t="shared" si="7"/>
        <v>1</v>
      </c>
    </row>
    <row r="44" spans="1:14" ht="18.75" x14ac:dyDescent="0.3">
      <c r="A44" s="54" t="s">
        <v>8</v>
      </c>
      <c r="B44" s="54"/>
      <c r="C44" s="14">
        <v>1.3057860865851567</v>
      </c>
      <c r="D44" s="14">
        <v>-1.7817925817971001</v>
      </c>
      <c r="E44" s="14">
        <v>1.1660712160574467</v>
      </c>
      <c r="F44" s="11">
        <v>0.47456611231189461</v>
      </c>
      <c r="G44" s="11">
        <v>0.23835328395907229</v>
      </c>
      <c r="H44" s="11">
        <v>0.55251045005836397</v>
      </c>
      <c r="I44" s="11">
        <v>0.81109959078745608</v>
      </c>
      <c r="J44" s="6">
        <f t="shared" si="8"/>
        <v>2.2599856135494476</v>
      </c>
      <c r="K44" s="11">
        <f>(J44-$J$40)/($J$44-$J$40)</f>
        <v>1</v>
      </c>
      <c r="L44" s="15">
        <f t="shared" si="6"/>
        <v>1</v>
      </c>
      <c r="M44" s="15">
        <f>IF(G44&lt;$B$46,1,0)</f>
        <v>1</v>
      </c>
      <c r="N44" s="15">
        <f t="shared" si="7"/>
        <v>0</v>
      </c>
    </row>
    <row r="46" spans="1:14" x14ac:dyDescent="0.25">
      <c r="A46" s="7" t="s">
        <v>18</v>
      </c>
      <c r="B46" s="3">
        <f>0.2+(3/20)*(0.8-0.2)</f>
        <v>0.29000000000000004</v>
      </c>
    </row>
    <row r="47" spans="1:14" x14ac:dyDescent="0.25">
      <c r="A47" s="7" t="s">
        <v>19</v>
      </c>
      <c r="B47" s="3">
        <f>1-(3/20)</f>
        <v>0.85</v>
      </c>
    </row>
    <row r="48" spans="1:14" x14ac:dyDescent="0.25">
      <c r="A48" s="43" t="s">
        <v>21</v>
      </c>
      <c r="B48" s="43"/>
      <c r="C48" s="43"/>
      <c r="D48" s="43"/>
      <c r="E48" s="43"/>
    </row>
    <row r="49" spans="1:14" ht="18.75" x14ac:dyDescent="0.3">
      <c r="A49" s="37" t="s">
        <v>2</v>
      </c>
      <c r="B49" s="38"/>
      <c r="C49" s="2" t="s">
        <v>3</v>
      </c>
      <c r="D49" s="2" t="s">
        <v>4</v>
      </c>
      <c r="E49" s="2" t="s">
        <v>5</v>
      </c>
      <c r="G49" s="37" t="s">
        <v>2</v>
      </c>
      <c r="H49" s="38"/>
      <c r="I49" s="2" t="s">
        <v>3</v>
      </c>
      <c r="J49" s="2" t="s">
        <v>4</v>
      </c>
      <c r="K49" s="2" t="s">
        <v>5</v>
      </c>
    </row>
    <row r="50" spans="1:14" ht="18.75" x14ac:dyDescent="0.3">
      <c r="A50" s="41" t="s">
        <v>6</v>
      </c>
      <c r="B50" s="42"/>
      <c r="C50" s="14">
        <v>0.18582755975031501</v>
      </c>
      <c r="D50" s="14">
        <v>1.5660703984837361</v>
      </c>
      <c r="E50" s="14">
        <v>4.6112689222604697E-2</v>
      </c>
      <c r="G50" s="41" t="s">
        <v>6</v>
      </c>
      <c r="H50" s="42"/>
      <c r="I50" s="14">
        <v>0.18582755975031501</v>
      </c>
      <c r="J50" s="14">
        <v>1.5660703984837361</v>
      </c>
      <c r="K50" s="14">
        <v>4.6112689222604697E-2</v>
      </c>
    </row>
    <row r="51" spans="1:14" ht="18.75" x14ac:dyDescent="0.3">
      <c r="A51" s="41" t="s">
        <v>9</v>
      </c>
      <c r="B51" s="42"/>
      <c r="C51" s="14">
        <v>1.4017172929241921</v>
      </c>
      <c r="D51" s="14">
        <v>-0.19041591096716282</v>
      </c>
      <c r="E51" s="14">
        <v>-0.964608983598779</v>
      </c>
      <c r="G51" s="41" t="s">
        <v>9</v>
      </c>
      <c r="H51" s="42"/>
      <c r="I51" s="14">
        <v>1.4017172929241921</v>
      </c>
      <c r="J51" s="14">
        <v>-0.19041591096716282</v>
      </c>
      <c r="K51" s="14">
        <v>-0.964608983598779</v>
      </c>
    </row>
    <row r="52" spans="1:14" ht="18.75" x14ac:dyDescent="0.3">
      <c r="A52" s="53" t="s">
        <v>10</v>
      </c>
      <c r="B52" s="53"/>
      <c r="C52" s="14">
        <v>0.18582755975031473</v>
      </c>
      <c r="D52" s="14">
        <v>-0.19041591096716282</v>
      </c>
      <c r="E52" s="14">
        <v>1.0391797406188081</v>
      </c>
      <c r="G52" s="53" t="s">
        <v>10</v>
      </c>
      <c r="H52" s="53"/>
      <c r="I52" s="14">
        <v>0.18582755975031473</v>
      </c>
      <c r="J52" s="14">
        <v>-0.19041591096716282</v>
      </c>
      <c r="K52" s="14">
        <v>1.0391797406188081</v>
      </c>
    </row>
    <row r="53" spans="1:14" ht="18.75" x14ac:dyDescent="0.3">
      <c r="A53" s="53" t="s">
        <v>7</v>
      </c>
      <c r="B53" s="53"/>
      <c r="C53" s="14">
        <v>0.27641437585113104</v>
      </c>
      <c r="D53" s="14">
        <v>0.97592931882953082</v>
      </c>
      <c r="E53" s="14">
        <v>-0.964608983598779</v>
      </c>
      <c r="G53" s="53" t="s">
        <v>7</v>
      </c>
      <c r="H53" s="53"/>
      <c r="I53" s="14">
        <v>0.27641437585113104</v>
      </c>
      <c r="J53" s="14">
        <v>0.97592931882953082</v>
      </c>
      <c r="K53" s="14">
        <v>-0.964608983598779</v>
      </c>
    </row>
    <row r="54" spans="1:14" ht="18.75" x14ac:dyDescent="0.3">
      <c r="A54" s="53" t="s">
        <v>8</v>
      </c>
      <c r="B54" s="53"/>
      <c r="C54" s="13">
        <v>1.3057860865851567</v>
      </c>
      <c r="D54" s="13">
        <v>-0.19041591096716282</v>
      </c>
      <c r="E54" s="13">
        <v>4.6112689222604697E-2</v>
      </c>
      <c r="G54" s="53" t="s">
        <v>8</v>
      </c>
      <c r="H54" s="53"/>
      <c r="I54" s="13">
        <v>-0.87191104892703564</v>
      </c>
      <c r="J54" s="13">
        <v>0.50833178980638549</v>
      </c>
      <c r="K54" s="13">
        <v>-1.0116259194547459</v>
      </c>
    </row>
    <row r="56" spans="1:14" x14ac:dyDescent="0.25">
      <c r="A56" s="67" t="s">
        <v>23</v>
      </c>
      <c r="B56" s="68"/>
      <c r="C56" s="68"/>
      <c r="D56" s="68"/>
      <c r="E56" s="68"/>
      <c r="F56" s="68"/>
      <c r="G56" s="68"/>
      <c r="H56" s="68"/>
      <c r="I56" s="68"/>
      <c r="J56" s="68"/>
      <c r="K56" s="68"/>
    </row>
    <row r="57" spans="1:14" ht="18.75" x14ac:dyDescent="0.3">
      <c r="A57" s="37" t="s">
        <v>2</v>
      </c>
      <c r="B57" s="38"/>
      <c r="C57" s="2" t="s">
        <v>3</v>
      </c>
      <c r="D57" s="2" t="s">
        <v>4</v>
      </c>
      <c r="E57" s="2" t="s">
        <v>5</v>
      </c>
      <c r="F57" s="2" t="s">
        <v>11</v>
      </c>
      <c r="G57" s="2" t="s">
        <v>12</v>
      </c>
      <c r="H57" s="2" t="s">
        <v>13</v>
      </c>
      <c r="I57" s="2" t="s">
        <v>16</v>
      </c>
      <c r="J57" s="2" t="s">
        <v>15</v>
      </c>
      <c r="K57" s="2" t="s">
        <v>17</v>
      </c>
      <c r="L57" s="2" t="s">
        <v>20</v>
      </c>
      <c r="M57" s="8" t="s">
        <v>12</v>
      </c>
      <c r="N57" s="8" t="s">
        <v>13</v>
      </c>
    </row>
    <row r="58" spans="1:14" ht="18.75" x14ac:dyDescent="0.3">
      <c r="A58" s="55" t="s">
        <v>6</v>
      </c>
      <c r="B58" s="55"/>
      <c r="C58" s="14">
        <v>0.18582755975031501</v>
      </c>
      <c r="D58" s="14">
        <v>1.5660703984837361</v>
      </c>
      <c r="E58" s="14">
        <v>4.6112689222604697E-2</v>
      </c>
      <c r="F58" s="11">
        <v>0.23176433571814037</v>
      </c>
      <c r="G58" s="11">
        <v>0.53746233897896811</v>
      </c>
      <c r="H58" s="11">
        <v>0.89287901689033355</v>
      </c>
      <c r="I58" s="11">
        <v>0.844619795006328</v>
      </c>
      <c r="J58" s="10">
        <f>(C58/4)^2 + (D58/2)^2 + E58^2</f>
        <v>0.61742874598176478</v>
      </c>
      <c r="K58" s="11">
        <f>(J58-$J$58)/($J$61-$J$58)</f>
        <v>0</v>
      </c>
      <c r="L58" s="15">
        <f>IF(F58&lt;K58,1,0)</f>
        <v>0</v>
      </c>
      <c r="M58" s="15">
        <f>IF(G58&lt;$B$64,1,0)</f>
        <v>0</v>
      </c>
      <c r="N58" s="15">
        <f>IF(H58&lt;0.5,1,0)</f>
        <v>0</v>
      </c>
    </row>
    <row r="59" spans="1:14" ht="18.75" x14ac:dyDescent="0.3">
      <c r="A59" s="54" t="s">
        <v>9</v>
      </c>
      <c r="B59" s="54"/>
      <c r="C59" s="14">
        <v>1.4017172929241921</v>
      </c>
      <c r="D59" s="14">
        <v>-0.19041591096716282</v>
      </c>
      <c r="E59" s="14">
        <v>-0.964608983598779</v>
      </c>
      <c r="F59" s="11">
        <v>0.1378411687354596</v>
      </c>
      <c r="G59" s="11">
        <v>0.73582784560503178</v>
      </c>
      <c r="H59" s="11">
        <v>0.4431628324399024</v>
      </c>
      <c r="I59" s="11">
        <v>0.40555074994502649</v>
      </c>
      <c r="J59" s="18">
        <f t="shared" ref="J59:J62" si="9">(C59/4)^2 + (D59/2)^2 + E59^2</f>
        <v>1.0623357566070033</v>
      </c>
      <c r="K59" s="11">
        <f>(J59-$J$58)/($J$61-$J$58)</f>
        <v>0.8002981724596232</v>
      </c>
      <c r="L59" s="15">
        <f t="shared" ref="L59:L62" si="10">IF(F59&lt;K59,1,0)</f>
        <v>1</v>
      </c>
      <c r="M59" s="15">
        <f>IF(G59&lt;$B$64,1,0)</f>
        <v>0</v>
      </c>
      <c r="N59" s="15">
        <f t="shared" ref="N59:N62" si="11">IF(H59&lt;0.5,1,0)</f>
        <v>1</v>
      </c>
    </row>
    <row r="60" spans="1:14" ht="18.75" x14ac:dyDescent="0.3">
      <c r="A60" s="54" t="s">
        <v>10</v>
      </c>
      <c r="B60" s="54"/>
      <c r="C60" s="14">
        <v>0.18582755975031473</v>
      </c>
      <c r="D60" s="14">
        <v>-0.19041591096716282</v>
      </c>
      <c r="E60" s="14">
        <v>1.0391797406188081</v>
      </c>
      <c r="F60" s="11">
        <v>0.65547371200092985</v>
      </c>
      <c r="G60" s="11">
        <v>0.32743201184831638</v>
      </c>
      <c r="H60" s="11">
        <v>0.88413998071593225</v>
      </c>
      <c r="I60" s="11">
        <v>0.85962525572146453</v>
      </c>
      <c r="J60" s="18">
        <f>(C60/4)^2 + (D60/2)^2 + E60^2</f>
        <v>1.0911173307226092</v>
      </c>
      <c r="K60" s="11">
        <f>(J60-$J$58)/($J$61-$J$58)</f>
        <v>0.85207043186470777</v>
      </c>
      <c r="L60" s="15">
        <f t="shared" si="10"/>
        <v>1</v>
      </c>
      <c r="M60" s="15">
        <f>IF(G60&lt;$B$64,1,0)</f>
        <v>0</v>
      </c>
      <c r="N60" s="15">
        <f t="shared" si="11"/>
        <v>0</v>
      </c>
    </row>
    <row r="61" spans="1:14" ht="18.75" x14ac:dyDescent="0.3">
      <c r="A61" s="54" t="s">
        <v>7</v>
      </c>
      <c r="B61" s="54"/>
      <c r="C61" s="14">
        <v>0.27641437585113104</v>
      </c>
      <c r="D61" s="14">
        <v>0.97592931882953082</v>
      </c>
      <c r="E61" s="14">
        <v>-0.964608983598779</v>
      </c>
      <c r="F61" s="11">
        <v>0.27143010642410959</v>
      </c>
      <c r="G61" s="11">
        <v>0.81851871176314761</v>
      </c>
      <c r="H61" s="11">
        <v>4.2931884384276642E-2</v>
      </c>
      <c r="I61" s="11">
        <v>0.47350623174769724</v>
      </c>
      <c r="J61" s="18">
        <f t="shared" si="9"/>
        <v>1.1733553067758107</v>
      </c>
      <c r="K61" s="11">
        <f>(J61-$J$58)/($J$61-$J$58)</f>
        <v>1</v>
      </c>
      <c r="L61" s="15">
        <f t="shared" si="10"/>
        <v>1</v>
      </c>
      <c r="M61" s="15">
        <f>IF(G61&lt;$B$64,1,0)</f>
        <v>0</v>
      </c>
      <c r="N61" s="15">
        <f t="shared" si="11"/>
        <v>1</v>
      </c>
    </row>
    <row r="62" spans="1:14" ht="18.75" x14ac:dyDescent="0.3">
      <c r="A62" s="54" t="s">
        <v>8</v>
      </c>
      <c r="B62" s="54"/>
      <c r="C62" s="14">
        <v>-0.87191104892703564</v>
      </c>
      <c r="D62" s="14">
        <v>0.50833178980638549</v>
      </c>
      <c r="E62" s="14">
        <v>-1.0116259194547459</v>
      </c>
      <c r="F62" s="11">
        <v>0.41176274967555493</v>
      </c>
      <c r="G62" s="11">
        <v>7.8399028432947548E-2</v>
      </c>
      <c r="H62" s="11">
        <v>2.7951656488519272E-2</v>
      </c>
      <c r="I62" s="11">
        <v>0.72530728980494452</v>
      </c>
      <c r="J62" s="18">
        <f t="shared" si="9"/>
        <v>1.135501607872166</v>
      </c>
      <c r="K62" s="11">
        <f>(J62-$J$58)/($J$61-$J$58)</f>
        <v>0.93190881390956182</v>
      </c>
      <c r="L62" s="15">
        <f t="shared" si="10"/>
        <v>1</v>
      </c>
      <c r="M62" s="15">
        <f>IF(G62&lt;$B$64,1,0)</f>
        <v>1</v>
      </c>
      <c r="N62" s="15">
        <f t="shared" si="11"/>
        <v>1</v>
      </c>
    </row>
    <row r="64" spans="1:14" x14ac:dyDescent="0.25">
      <c r="A64" s="7" t="s">
        <v>18</v>
      </c>
      <c r="B64" s="3">
        <f>0.2+(4/20)*(0.8-0.2)</f>
        <v>0.32000000000000006</v>
      </c>
    </row>
    <row r="65" spans="1:14" x14ac:dyDescent="0.25">
      <c r="A65" s="7" t="s">
        <v>19</v>
      </c>
      <c r="B65" s="3">
        <f>1-(4/20)</f>
        <v>0.8</v>
      </c>
    </row>
    <row r="66" spans="1:14" x14ac:dyDescent="0.25">
      <c r="A66" s="43" t="s">
        <v>21</v>
      </c>
      <c r="B66" s="43"/>
      <c r="C66" s="43"/>
      <c r="D66" s="43"/>
      <c r="E66" s="43"/>
    </row>
    <row r="67" spans="1:14" ht="18.75" x14ac:dyDescent="0.3">
      <c r="A67" s="37" t="s">
        <v>2</v>
      </c>
      <c r="B67" s="38"/>
      <c r="C67" s="2" t="s">
        <v>3</v>
      </c>
      <c r="D67" s="2" t="s">
        <v>4</v>
      </c>
      <c r="E67" s="2" t="s">
        <v>5</v>
      </c>
      <c r="F67" s="36" t="s">
        <v>26</v>
      </c>
      <c r="G67" s="37" t="s">
        <v>2</v>
      </c>
      <c r="H67" s="38"/>
      <c r="I67" s="2" t="s">
        <v>3</v>
      </c>
      <c r="J67" s="2" t="s">
        <v>4</v>
      </c>
      <c r="K67" s="2" t="s">
        <v>5</v>
      </c>
    </row>
    <row r="68" spans="1:14" ht="18.75" x14ac:dyDescent="0.3">
      <c r="A68" s="53" t="s">
        <v>6</v>
      </c>
      <c r="B68" s="53"/>
      <c r="C68" s="14">
        <v>0.18582755975031501</v>
      </c>
      <c r="D68" s="14">
        <v>1.5660703984837361</v>
      </c>
      <c r="E68" s="14">
        <v>4.6112689222604697E-2</v>
      </c>
      <c r="G68" s="53" t="s">
        <v>6</v>
      </c>
      <c r="H68" s="53"/>
      <c r="I68" s="14">
        <v>0.18582755975031501</v>
      </c>
      <c r="J68" s="14">
        <v>1.5660703984837361</v>
      </c>
      <c r="K68" s="14">
        <v>4.6112689222604697E-2</v>
      </c>
    </row>
    <row r="69" spans="1:14" ht="18.75" x14ac:dyDescent="0.3">
      <c r="A69" s="53" t="s">
        <v>9</v>
      </c>
      <c r="B69" s="53"/>
      <c r="C69" s="13">
        <v>1.4017172929241921</v>
      </c>
      <c r="D69" s="13">
        <v>0.97592931882953082</v>
      </c>
      <c r="E69" s="13">
        <v>1.0391797406188081</v>
      </c>
      <c r="G69" s="53" t="s">
        <v>9</v>
      </c>
      <c r="H69" s="53"/>
      <c r="I69" s="14">
        <v>1.4017172929241921</v>
      </c>
      <c r="J69" s="14">
        <v>0.97592931882953082</v>
      </c>
      <c r="K69" s="14">
        <v>1.0391797406188081</v>
      </c>
    </row>
    <row r="70" spans="1:14" ht="18.75" x14ac:dyDescent="0.3">
      <c r="A70" s="53" t="s">
        <v>10</v>
      </c>
      <c r="B70" s="53"/>
      <c r="C70" s="13">
        <v>-0.87191104892703564</v>
      </c>
      <c r="D70" s="13">
        <v>-0.19041591096716282</v>
      </c>
      <c r="E70" s="13">
        <v>-0.964608983598779</v>
      </c>
      <c r="G70" s="53" t="s">
        <v>10</v>
      </c>
      <c r="H70" s="53"/>
      <c r="I70" s="14">
        <v>-0.87191104892703564</v>
      </c>
      <c r="J70" s="14">
        <v>-0.19041591096716282</v>
      </c>
      <c r="K70" s="14">
        <v>-0.964608983598779</v>
      </c>
    </row>
    <row r="71" spans="1:14" ht="18.75" x14ac:dyDescent="0.3">
      <c r="A71" s="53" t="s">
        <v>8</v>
      </c>
      <c r="B71" s="53"/>
      <c r="C71" s="13">
        <v>0.27641437585113104</v>
      </c>
      <c r="D71" s="13">
        <v>1.5660703984837401</v>
      </c>
      <c r="E71" s="13">
        <v>-0.964608983598779</v>
      </c>
      <c r="G71" s="53" t="s">
        <v>8</v>
      </c>
      <c r="H71" s="53"/>
      <c r="I71" s="13">
        <v>0.90681088712613755</v>
      </c>
      <c r="J71" s="14">
        <v>1.5660703984837401</v>
      </c>
      <c r="K71" s="13">
        <v>0.76709601659842719</v>
      </c>
    </row>
    <row r="72" spans="1:14" ht="18.75" x14ac:dyDescent="0.3">
      <c r="A72" s="53" t="s">
        <v>7</v>
      </c>
      <c r="B72" s="53"/>
      <c r="C72" s="13">
        <v>-0.87191104892703564</v>
      </c>
      <c r="D72" s="13">
        <v>0.50833178980638549</v>
      </c>
      <c r="E72" s="13">
        <v>1.0391797406188081</v>
      </c>
      <c r="G72" s="53" t="s">
        <v>7</v>
      </c>
      <c r="H72" s="53"/>
      <c r="I72" s="14">
        <v>-0.87191104892703564</v>
      </c>
      <c r="J72" s="14">
        <v>0.50833178980638549</v>
      </c>
      <c r="K72" s="14">
        <v>1.0391797406188081</v>
      </c>
    </row>
    <row r="74" spans="1:14" x14ac:dyDescent="0.25">
      <c r="A74" s="67" t="s">
        <v>24</v>
      </c>
      <c r="B74" s="68"/>
      <c r="C74" s="68"/>
      <c r="D74" s="68"/>
      <c r="E74" s="68"/>
      <c r="F74" s="68"/>
      <c r="G74" s="68"/>
      <c r="H74" s="68"/>
      <c r="I74" s="68"/>
      <c r="J74" s="68"/>
      <c r="K74" s="68"/>
    </row>
    <row r="75" spans="1:14" ht="18.75" x14ac:dyDescent="0.3">
      <c r="A75" s="52" t="s">
        <v>2</v>
      </c>
      <c r="B75" s="52"/>
      <c r="C75" s="2" t="s">
        <v>3</v>
      </c>
      <c r="D75" s="2" t="s">
        <v>4</v>
      </c>
      <c r="E75" s="2" t="s">
        <v>5</v>
      </c>
      <c r="F75" s="2" t="s">
        <v>11</v>
      </c>
      <c r="G75" s="2" t="s">
        <v>12</v>
      </c>
      <c r="H75" s="2" t="s">
        <v>13</v>
      </c>
      <c r="I75" s="2" t="s">
        <v>16</v>
      </c>
      <c r="J75" s="2" t="s">
        <v>15</v>
      </c>
      <c r="K75" s="2" t="s">
        <v>17</v>
      </c>
      <c r="L75" s="2" t="s">
        <v>20</v>
      </c>
      <c r="M75" s="8" t="s">
        <v>12</v>
      </c>
      <c r="N75" s="8" t="s">
        <v>13</v>
      </c>
    </row>
    <row r="76" spans="1:14" ht="18.75" x14ac:dyDescent="0.3">
      <c r="A76" s="56" t="s">
        <v>6</v>
      </c>
      <c r="B76" s="56"/>
      <c r="C76" s="14">
        <v>0.18582755975031501</v>
      </c>
      <c r="D76" s="14">
        <v>1.5660703984837361</v>
      </c>
      <c r="E76" s="14">
        <v>4.6112689222604697E-2</v>
      </c>
      <c r="F76" s="11">
        <v>0.30917094602208195</v>
      </c>
      <c r="G76" s="11">
        <v>0.87447186116551057</v>
      </c>
      <c r="H76" s="11">
        <v>0.78488177747894461</v>
      </c>
      <c r="I76" s="11">
        <v>0.85438325953625205</v>
      </c>
      <c r="J76" s="10">
        <f>(C76/4)^2 + (D76/2)^2 + E76^2</f>
        <v>0.61742874598176478</v>
      </c>
      <c r="K76" s="11">
        <f>(J76-$J$76)/($J$77-$J$76)</f>
        <v>0</v>
      </c>
      <c r="L76" s="15">
        <f>IF(F76&lt;K76,1,0)</f>
        <v>0</v>
      </c>
      <c r="M76" s="15" t="e">
        <f>IF(G76&lt;#REF!,1,0)</f>
        <v>#REF!</v>
      </c>
      <c r="N76" s="15">
        <f>IF(H76&lt;0.5,1,0)</f>
        <v>0</v>
      </c>
    </row>
    <row r="77" spans="1:14" ht="18.75" x14ac:dyDescent="0.3">
      <c r="A77" s="53" t="s">
        <v>9</v>
      </c>
      <c r="B77" s="53"/>
      <c r="C77" s="14">
        <v>1.4017172929241921</v>
      </c>
      <c r="D77" s="14">
        <v>0.97592931882953082</v>
      </c>
      <c r="E77" s="14">
        <v>1.0391797406188081</v>
      </c>
      <c r="F77" s="11">
        <v>0.8942853880888898</v>
      </c>
      <c r="G77" s="11">
        <v>0.55745294192819694</v>
      </c>
      <c r="H77" s="11">
        <v>0.7566816202057739</v>
      </c>
      <c r="I77" s="11">
        <v>0.31898037874937102</v>
      </c>
      <c r="J77" s="18">
        <f t="shared" ref="J77:J80" si="12">(C77/4)^2 + (D77/2)^2 + E77^2</f>
        <v>1.4408047527305117</v>
      </c>
      <c r="K77" s="11">
        <f>(J77-$J$76)/($J$77-$J$76)</f>
        <v>1</v>
      </c>
      <c r="L77" s="15">
        <f t="shared" ref="L77:L80" si="13">IF(F77&lt;K77,1,0)</f>
        <v>1</v>
      </c>
      <c r="M77" s="15" t="e">
        <f>IF(G77&lt;#REF!,1,0)</f>
        <v>#REF!</v>
      </c>
      <c r="N77" s="15">
        <f t="shared" ref="N77:N80" si="14">IF(H77&lt;0.5,1,0)</f>
        <v>0</v>
      </c>
    </row>
    <row r="78" spans="1:14" ht="18.75" x14ac:dyDescent="0.3">
      <c r="A78" s="53" t="s">
        <v>10</v>
      </c>
      <c r="B78" s="53"/>
      <c r="C78" s="14">
        <v>-0.87191104892703564</v>
      </c>
      <c r="D78" s="14">
        <v>-0.19041591096716282</v>
      </c>
      <c r="E78" s="14">
        <v>-0.964608983598779</v>
      </c>
      <c r="F78" s="11">
        <v>0.29860301712695425</v>
      </c>
      <c r="G78" s="11">
        <v>5.6118626099517233E-3</v>
      </c>
      <c r="H78" s="11">
        <v>0.61026825388789763</v>
      </c>
      <c r="I78" s="11">
        <v>0.72799298546290947</v>
      </c>
      <c r="J78" s="18">
        <f t="shared" si="12"/>
        <v>0.98704935085439827</v>
      </c>
      <c r="K78" s="11">
        <f>(J78-$J$76)/($J$77-$J$76)</f>
        <v>0.448908641790704</v>
      </c>
      <c r="L78" s="15">
        <f t="shared" si="13"/>
        <v>1</v>
      </c>
      <c r="M78" s="15" t="e">
        <f>IF(G78&lt;#REF!,1,0)</f>
        <v>#REF!</v>
      </c>
      <c r="N78" s="15">
        <f t="shared" si="14"/>
        <v>0</v>
      </c>
    </row>
    <row r="79" spans="1:14" ht="18.75" x14ac:dyDescent="0.3">
      <c r="A79" s="53" t="s">
        <v>8</v>
      </c>
      <c r="B79" s="53"/>
      <c r="C79" s="14">
        <v>0.90681088712613755</v>
      </c>
      <c r="D79" s="14">
        <v>1.5660703984837401</v>
      </c>
      <c r="E79" s="14">
        <v>0.76709601659842719</v>
      </c>
      <c r="F79" s="11">
        <v>0.10162732635219807</v>
      </c>
      <c r="G79" s="11">
        <v>0.67147875226952503</v>
      </c>
      <c r="H79" s="11">
        <v>0.65472916913485546</v>
      </c>
      <c r="I79" s="11">
        <v>0.54451766951831349</v>
      </c>
      <c r="J79" s="18">
        <f t="shared" si="12"/>
        <v>1.2529745459960855</v>
      </c>
      <c r="K79" s="11">
        <f>(J79-$J$76)/($J$77-$J$76)</f>
        <v>0.77187796924504926</v>
      </c>
      <c r="L79" s="15">
        <f t="shared" si="13"/>
        <v>1</v>
      </c>
      <c r="M79" s="15" t="e">
        <f>IF(G79&lt;#REF!,1,0)</f>
        <v>#REF!</v>
      </c>
      <c r="N79" s="15">
        <f t="shared" si="14"/>
        <v>0</v>
      </c>
    </row>
    <row r="80" spans="1:14" ht="18.75" x14ac:dyDescent="0.3">
      <c r="A80" s="53" t="s">
        <v>7</v>
      </c>
      <c r="B80" s="53"/>
      <c r="C80" s="14">
        <v>-0.87191104892703564</v>
      </c>
      <c r="D80" s="14">
        <v>0.50833178980638549</v>
      </c>
      <c r="E80" s="14">
        <v>1.0391797406188081</v>
      </c>
      <c r="F80" s="11">
        <v>0.83640017983679582</v>
      </c>
      <c r="G80" s="11">
        <v>0.55527025921806472</v>
      </c>
      <c r="H80" s="11">
        <v>0.34733496203735104</v>
      </c>
      <c r="I80" s="11">
        <v>0.489157828027592</v>
      </c>
      <c r="J80" s="18">
        <f t="shared" si="12"/>
        <v>1.1920091402720794</v>
      </c>
      <c r="K80" s="11">
        <f>(J80-$J$76)/($J$77-$J$76)</f>
        <v>0.69783475542255846</v>
      </c>
      <c r="L80" s="15">
        <f t="shared" si="13"/>
        <v>0</v>
      </c>
      <c r="M80" s="15" t="e">
        <f>IF(G80&lt;#REF!,1,0)</f>
        <v>#REF!</v>
      </c>
      <c r="N80" s="15">
        <f t="shared" si="14"/>
        <v>1</v>
      </c>
    </row>
    <row r="82" spans="1:14" x14ac:dyDescent="0.25">
      <c r="A82" s="7" t="s">
        <v>18</v>
      </c>
      <c r="B82" s="3">
        <f>0.2+(5/20)*(0.8-0.2)</f>
        <v>0.35000000000000003</v>
      </c>
    </row>
    <row r="83" spans="1:14" x14ac:dyDescent="0.25">
      <c r="A83" s="7" t="s">
        <v>19</v>
      </c>
      <c r="B83" s="3">
        <f>1-(5/20)</f>
        <v>0.75</v>
      </c>
    </row>
    <row r="85" spans="1:14" x14ac:dyDescent="0.25">
      <c r="A85" s="43" t="s">
        <v>21</v>
      </c>
      <c r="B85" s="43"/>
      <c r="C85" s="43"/>
      <c r="D85" s="43"/>
      <c r="E85" s="43"/>
    </row>
    <row r="86" spans="1:14" ht="18.75" x14ac:dyDescent="0.3">
      <c r="A86" s="52" t="s">
        <v>2</v>
      </c>
      <c r="B86" s="52"/>
      <c r="C86" s="2" t="s">
        <v>3</v>
      </c>
      <c r="D86" s="2" t="s">
        <v>4</v>
      </c>
      <c r="E86" s="2" t="s">
        <v>5</v>
      </c>
      <c r="G86" s="52" t="s">
        <v>2</v>
      </c>
      <c r="H86" s="52"/>
      <c r="I86" s="2" t="s">
        <v>3</v>
      </c>
      <c r="J86" s="2" t="s">
        <v>4</v>
      </c>
      <c r="K86" s="2" t="s">
        <v>5</v>
      </c>
    </row>
    <row r="87" spans="1:14" ht="18.75" x14ac:dyDescent="0.3">
      <c r="A87" s="53" t="s">
        <v>6</v>
      </c>
      <c r="B87" s="53"/>
      <c r="C87" s="14">
        <v>0.18582755975031501</v>
      </c>
      <c r="D87" s="14">
        <v>1.5660703984837361</v>
      </c>
      <c r="E87" s="14">
        <v>4.6112689222604697E-2</v>
      </c>
      <c r="G87" s="54" t="s">
        <v>6</v>
      </c>
      <c r="H87" s="54"/>
      <c r="I87" s="14">
        <v>0.18582755975031501</v>
      </c>
      <c r="J87" s="14">
        <v>1.5660703984837361</v>
      </c>
      <c r="K87" s="14">
        <v>4.6112689222604697E-2</v>
      </c>
    </row>
    <row r="88" spans="1:14" ht="18.75" x14ac:dyDescent="0.3">
      <c r="A88" s="53" t="s">
        <v>10</v>
      </c>
      <c r="B88" s="53"/>
      <c r="C88" s="13">
        <v>-0.87191104892703564</v>
      </c>
      <c r="D88" s="13">
        <v>0.50833178980638549</v>
      </c>
      <c r="E88" s="13">
        <v>-0.964608983598779</v>
      </c>
      <c r="G88" s="54" t="s">
        <v>10</v>
      </c>
      <c r="H88" s="54"/>
      <c r="I88" s="14">
        <v>-0.87191104892703564</v>
      </c>
      <c r="J88" s="14">
        <v>0.50833178980638549</v>
      </c>
      <c r="K88" s="14">
        <v>-0.964608983598779</v>
      </c>
    </row>
    <row r="89" spans="1:14" ht="18.75" x14ac:dyDescent="0.3">
      <c r="A89" s="53" t="s">
        <v>7</v>
      </c>
      <c r="B89" s="53"/>
      <c r="C89" s="14">
        <v>-0.87191104892703564</v>
      </c>
      <c r="D89" s="14">
        <v>0.50833178980638549</v>
      </c>
      <c r="E89" s="14">
        <v>1.0391797406188081</v>
      </c>
      <c r="G89" s="54" t="s">
        <v>7</v>
      </c>
      <c r="H89" s="54"/>
      <c r="I89" s="14">
        <v>-0.87191104892703564</v>
      </c>
      <c r="J89" s="14">
        <v>0.50833178980638549</v>
      </c>
      <c r="K89" s="14">
        <v>1.0391797406188081</v>
      </c>
    </row>
    <row r="90" spans="1:14" ht="18.75" x14ac:dyDescent="0.3">
      <c r="A90" s="53" t="s">
        <v>8</v>
      </c>
      <c r="B90" s="53"/>
      <c r="C90" s="13">
        <v>0.18582755975031501</v>
      </c>
      <c r="D90" s="13">
        <v>-0.19041591096716282</v>
      </c>
      <c r="E90" s="13">
        <v>1.0391797406188081</v>
      </c>
      <c r="G90" s="54" t="s">
        <v>8</v>
      </c>
      <c r="H90" s="54"/>
      <c r="I90" s="14">
        <v>0.18582755975031501</v>
      </c>
      <c r="J90" s="14">
        <v>-0.19041591096716282</v>
      </c>
      <c r="K90" s="14">
        <v>1.0391797406188081</v>
      </c>
    </row>
    <row r="91" spans="1:14" ht="18.75" x14ac:dyDescent="0.3">
      <c r="A91" s="53" t="s">
        <v>9</v>
      </c>
      <c r="B91" s="53"/>
      <c r="C91" s="13">
        <v>0.90681088712613755</v>
      </c>
      <c r="D91" s="13">
        <v>0.50833178980638549</v>
      </c>
      <c r="E91" s="13">
        <v>4.6112689222604697E-2</v>
      </c>
      <c r="G91" s="54" t="s">
        <v>9</v>
      </c>
      <c r="H91" s="54"/>
      <c r="I91" s="14">
        <v>0.90681088712613755</v>
      </c>
      <c r="J91" s="14">
        <v>0.50833178980638549</v>
      </c>
      <c r="K91" s="14">
        <v>4.6112689222604697E-2</v>
      </c>
    </row>
    <row r="93" spans="1:14" x14ac:dyDescent="0.25">
      <c r="A93" s="67" t="s">
        <v>25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</row>
    <row r="94" spans="1:14" ht="18.75" x14ac:dyDescent="0.3">
      <c r="A94" s="52" t="s">
        <v>2</v>
      </c>
      <c r="B94" s="52"/>
      <c r="C94" s="2" t="s">
        <v>3</v>
      </c>
      <c r="D94" s="2" t="s">
        <v>4</v>
      </c>
      <c r="E94" s="2" t="s">
        <v>5</v>
      </c>
      <c r="F94" s="2" t="s">
        <v>11</v>
      </c>
      <c r="G94" s="2" t="s">
        <v>12</v>
      </c>
      <c r="H94" s="2" t="s">
        <v>13</v>
      </c>
      <c r="I94" s="2" t="s">
        <v>16</v>
      </c>
      <c r="J94" s="2" t="s">
        <v>15</v>
      </c>
      <c r="K94" s="2" t="s">
        <v>17</v>
      </c>
      <c r="L94" s="2" t="s">
        <v>20</v>
      </c>
      <c r="M94" s="8" t="s">
        <v>12</v>
      </c>
      <c r="N94" s="8" t="s">
        <v>13</v>
      </c>
    </row>
    <row r="95" spans="1:14" ht="18.75" x14ac:dyDescent="0.3">
      <c r="A95" s="54" t="s">
        <v>6</v>
      </c>
      <c r="B95" s="54"/>
      <c r="C95" s="14">
        <v>0.18582755975031501</v>
      </c>
      <c r="D95" s="14">
        <v>1.5660703984837361</v>
      </c>
      <c r="E95" s="14">
        <v>4.6112689222604697E-2</v>
      </c>
      <c r="F95" s="11">
        <v>5.7466556381743361E-2</v>
      </c>
      <c r="G95" s="11">
        <v>0.24633994656791269</v>
      </c>
      <c r="H95" s="11">
        <v>0.36632331537347773</v>
      </c>
      <c r="I95" s="11">
        <v>0.96640245818353065</v>
      </c>
      <c r="J95" s="18">
        <f>(C95/4)^2 + (D95/2)^2 + E95^2</f>
        <v>0.61742874598176478</v>
      </c>
      <c r="K95" s="11">
        <f>(J95-$J$99)/($J$97-$J$99)</f>
        <v>0.46495331393873074</v>
      </c>
      <c r="L95" s="15">
        <f>IF(F95&lt;K95,1,0)</f>
        <v>1</v>
      </c>
      <c r="M95" s="15">
        <f>IF(G95&lt;$B$101,1,0)</f>
        <v>1</v>
      </c>
      <c r="N95" s="15">
        <f>IF(H95&lt;0.5,1,0)</f>
        <v>1</v>
      </c>
    </row>
    <row r="96" spans="1:14" ht="18.75" x14ac:dyDescent="0.3">
      <c r="A96" s="54" t="s">
        <v>10</v>
      </c>
      <c r="B96" s="54"/>
      <c r="C96" s="14">
        <v>-0.87191104892703564</v>
      </c>
      <c r="D96" s="14">
        <v>0.50833178980638549</v>
      </c>
      <c r="E96" s="14">
        <v>-0.964608983598779</v>
      </c>
      <c r="F96" s="11">
        <v>8.6477560484078175E-2</v>
      </c>
      <c r="G96" s="11">
        <v>0.36896626434168633</v>
      </c>
      <c r="H96" s="11">
        <v>0.60572825530898</v>
      </c>
      <c r="I96" s="11">
        <v>0.79936332789931763</v>
      </c>
      <c r="J96" s="18">
        <f t="shared" ref="J96:J99" si="15">(C96/4)^2 + (D96/2)^2 + E96^2</f>
        <v>1.0425850981989755</v>
      </c>
      <c r="K96" s="11">
        <f>(J96-$J$99)/($J$97-$J$99)</f>
        <v>0.8608570022166494</v>
      </c>
      <c r="L96" s="15">
        <f t="shared" ref="L96:L99" si="16">IF(F96&lt;K96,1,0)</f>
        <v>1</v>
      </c>
      <c r="M96" s="15">
        <f>IF(G96&lt;$B$101,1,0)</f>
        <v>1</v>
      </c>
      <c r="N96" s="15">
        <f t="shared" ref="N96:N99" si="17">IF(H96&lt;0.5,1,0)</f>
        <v>0</v>
      </c>
    </row>
    <row r="97" spans="1:14" ht="18.75" x14ac:dyDescent="0.3">
      <c r="A97" s="54" t="s">
        <v>7</v>
      </c>
      <c r="B97" s="54"/>
      <c r="C97" s="14">
        <v>-0.87191104892703564</v>
      </c>
      <c r="D97" s="14">
        <v>0.50833178980638549</v>
      </c>
      <c r="E97" s="14">
        <v>1.0391797406188081</v>
      </c>
      <c r="F97" s="11">
        <v>0.26358748952572786</v>
      </c>
      <c r="G97" s="11">
        <v>0.15555808224044376</v>
      </c>
      <c r="H97" s="11">
        <v>0.16238668417010105</v>
      </c>
      <c r="I97" s="11">
        <v>0.76246358511234236</v>
      </c>
      <c r="J97" s="18">
        <f t="shared" si="15"/>
        <v>1.1920091402720794</v>
      </c>
      <c r="K97" s="11">
        <f>(J97-$J$99)/($J$97-$J$99)</f>
        <v>1</v>
      </c>
      <c r="L97" s="15">
        <f t="shared" si="16"/>
        <v>1</v>
      </c>
      <c r="M97" s="15">
        <f>IF(G97&lt;$B$101,1,0)</f>
        <v>1</v>
      </c>
      <c r="N97" s="15">
        <f t="shared" si="17"/>
        <v>1</v>
      </c>
    </row>
    <row r="98" spans="1:14" ht="18.75" x14ac:dyDescent="0.3">
      <c r="A98" s="54" t="s">
        <v>8</v>
      </c>
      <c r="B98" s="54"/>
      <c r="C98" s="14">
        <v>0.18582755975031501</v>
      </c>
      <c r="D98" s="14">
        <v>-0.19041591096716282</v>
      </c>
      <c r="E98" s="14">
        <v>1.0391797406188081</v>
      </c>
      <c r="F98" s="11">
        <v>0.18842480249329774</v>
      </c>
      <c r="G98" s="11">
        <v>0.76366863099040816</v>
      </c>
      <c r="H98" s="11">
        <v>0.8142644877731593</v>
      </c>
      <c r="I98" s="11">
        <v>0.86192143037992397</v>
      </c>
      <c r="J98" s="18">
        <f t="shared" si="15"/>
        <v>1.0911173307226092</v>
      </c>
      <c r="K98" s="11">
        <f>(J98-$J$99)/($J$97-$J$99)</f>
        <v>0.90604999946640408</v>
      </c>
      <c r="L98" s="15">
        <f t="shared" si="16"/>
        <v>1</v>
      </c>
      <c r="M98" s="15">
        <f>IF(G98&lt;$B$101,1,0)</f>
        <v>0</v>
      </c>
      <c r="N98" s="15">
        <f t="shared" si="17"/>
        <v>0</v>
      </c>
    </row>
    <row r="99" spans="1:14" ht="18.75" x14ac:dyDescent="0.3">
      <c r="A99" s="55" t="s">
        <v>9</v>
      </c>
      <c r="B99" s="55"/>
      <c r="C99" s="14">
        <v>0.90681088712613755</v>
      </c>
      <c r="D99" s="14">
        <v>0.50833178980638549</v>
      </c>
      <c r="E99" s="14">
        <v>4.6112689222604697E-2</v>
      </c>
      <c r="F99" s="11">
        <v>6.6873060131886541E-2</v>
      </c>
      <c r="G99" s="11">
        <v>0.29210869500232317</v>
      </c>
      <c r="H99" s="11">
        <v>0.31629870569681207</v>
      </c>
      <c r="I99" s="11">
        <v>0.66055829433192448</v>
      </c>
      <c r="J99" s="10">
        <f t="shared" si="15"/>
        <v>0.11812080630243713</v>
      </c>
      <c r="K99" s="11">
        <f>(J99-$J$99)/($J$97-$J$99)</f>
        <v>0</v>
      </c>
      <c r="L99" s="15">
        <f t="shared" si="16"/>
        <v>0</v>
      </c>
      <c r="M99" s="15">
        <f>IF(G99&lt;$B$101,1,0)</f>
        <v>1</v>
      </c>
      <c r="N99" s="15">
        <f t="shared" si="17"/>
        <v>1</v>
      </c>
    </row>
    <row r="101" spans="1:14" x14ac:dyDescent="0.25">
      <c r="A101" s="7" t="s">
        <v>18</v>
      </c>
      <c r="B101" s="3">
        <f>0.2+(6/20)*(0.8-0.2)</f>
        <v>0.38</v>
      </c>
    </row>
    <row r="102" spans="1:14" x14ac:dyDescent="0.25">
      <c r="A102" s="7" t="s">
        <v>19</v>
      </c>
      <c r="B102" s="3">
        <f>1-(6/20)</f>
        <v>0.7</v>
      </c>
    </row>
    <row r="104" spans="1:14" x14ac:dyDescent="0.25">
      <c r="A104" s="43" t="s">
        <v>21</v>
      </c>
      <c r="B104" s="43"/>
      <c r="C104" s="43"/>
      <c r="D104" s="43"/>
      <c r="E104" s="43"/>
    </row>
    <row r="105" spans="1:14" ht="18.75" x14ac:dyDescent="0.3">
      <c r="A105" s="52" t="s">
        <v>2</v>
      </c>
      <c r="B105" s="52"/>
      <c r="C105" s="2" t="s">
        <v>3</v>
      </c>
      <c r="D105" s="2" t="s">
        <v>4</v>
      </c>
      <c r="E105" s="2" t="s">
        <v>5</v>
      </c>
      <c r="G105" s="52" t="s">
        <v>2</v>
      </c>
      <c r="H105" s="52"/>
      <c r="I105" s="2" t="s">
        <v>3</v>
      </c>
      <c r="J105" s="2" t="s">
        <v>4</v>
      </c>
      <c r="K105" s="2" t="s">
        <v>5</v>
      </c>
    </row>
    <row r="106" spans="1:14" ht="18.75" x14ac:dyDescent="0.3">
      <c r="A106" s="53" t="s">
        <v>9</v>
      </c>
      <c r="B106" s="53"/>
      <c r="C106" s="14">
        <v>0.90681088712613755</v>
      </c>
      <c r="D106" s="14">
        <v>0.50833178980638549</v>
      </c>
      <c r="E106" s="14">
        <v>4.6112689222604697E-2</v>
      </c>
      <c r="G106" s="53" t="s">
        <v>9</v>
      </c>
      <c r="H106" s="53"/>
      <c r="I106" s="13">
        <v>1.3563741112555261</v>
      </c>
      <c r="J106" s="13">
        <v>0.95789501393577403</v>
      </c>
      <c r="K106" s="13">
        <v>0.49567591335199318</v>
      </c>
    </row>
    <row r="107" spans="1:14" ht="18.75" x14ac:dyDescent="0.3">
      <c r="A107" s="53" t="s">
        <v>6</v>
      </c>
      <c r="B107" s="53"/>
      <c r="C107" s="13">
        <v>0.18582755975031501</v>
      </c>
      <c r="D107" s="13">
        <v>0.50833178980638549</v>
      </c>
      <c r="E107" s="13">
        <v>4.6112689222604697E-2</v>
      </c>
      <c r="G107" s="53" t="s">
        <v>6</v>
      </c>
      <c r="H107" s="53"/>
      <c r="I107" s="14">
        <v>0.18582755975031501</v>
      </c>
      <c r="J107" s="13">
        <v>1.8142586727202712</v>
      </c>
      <c r="K107" s="13">
        <v>1.3520395721364904</v>
      </c>
    </row>
    <row r="108" spans="1:14" ht="18.75" x14ac:dyDescent="0.3">
      <c r="A108" s="53" t="s">
        <v>10</v>
      </c>
      <c r="B108" s="53"/>
      <c r="C108" s="13">
        <v>-0.87191104892703564</v>
      </c>
      <c r="D108" s="13">
        <v>0.27641437585113104</v>
      </c>
      <c r="E108" s="13">
        <v>1.0391797406188081</v>
      </c>
      <c r="G108" s="53" t="s">
        <v>10</v>
      </c>
      <c r="H108" s="53"/>
      <c r="I108" s="13">
        <v>6.859356900804825E-2</v>
      </c>
      <c r="J108" s="13">
        <v>-0.32988552831170381</v>
      </c>
      <c r="K108" s="13">
        <v>-0.79210462889548461</v>
      </c>
    </row>
    <row r="109" spans="1:14" ht="18.75" x14ac:dyDescent="0.3">
      <c r="A109" s="53" t="s">
        <v>8</v>
      </c>
      <c r="B109" s="53"/>
      <c r="C109" s="13">
        <v>0.90681088712613755</v>
      </c>
      <c r="D109" s="13">
        <v>0.47422089070064377</v>
      </c>
      <c r="E109" s="13">
        <v>4.6112689222604697E-2</v>
      </c>
      <c r="G109" s="53" t="s">
        <v>8</v>
      </c>
      <c r="H109" s="53"/>
      <c r="I109" s="14">
        <v>0.90681088712613755</v>
      </c>
      <c r="J109" s="14">
        <v>0.47422089070064377</v>
      </c>
      <c r="K109" s="14">
        <v>4.6112689222604697E-2</v>
      </c>
    </row>
    <row r="110" spans="1:14" ht="18.75" x14ac:dyDescent="0.3">
      <c r="A110" s="53" t="s">
        <v>7</v>
      </c>
      <c r="B110" s="53"/>
      <c r="C110" s="13">
        <v>-0.87191104892703564</v>
      </c>
      <c r="D110" s="13">
        <v>1.4895028559634731</v>
      </c>
      <c r="E110" s="13">
        <v>-0.964608983598779</v>
      </c>
      <c r="G110" s="53" t="s">
        <v>7</v>
      </c>
      <c r="H110" s="53"/>
      <c r="I110" s="13">
        <v>1.641708925440696</v>
      </c>
      <c r="J110" s="13">
        <v>1.2432298281209442</v>
      </c>
      <c r="K110" s="13">
        <v>0.78101072753716327</v>
      </c>
    </row>
    <row r="112" spans="1:14" x14ac:dyDescent="0.25">
      <c r="A112" s="67" t="s">
        <v>27</v>
      </c>
      <c r="B112" s="68"/>
      <c r="C112" s="68"/>
      <c r="D112" s="68"/>
      <c r="E112" s="68"/>
      <c r="F112" s="68"/>
      <c r="G112" s="68"/>
      <c r="H112" s="68"/>
      <c r="I112" s="68"/>
      <c r="J112" s="68"/>
      <c r="K112" s="68"/>
    </row>
    <row r="113" spans="1:14" ht="18.75" x14ac:dyDescent="0.3">
      <c r="A113" s="52" t="s">
        <v>2</v>
      </c>
      <c r="B113" s="52"/>
      <c r="C113" s="2" t="s">
        <v>3</v>
      </c>
      <c r="D113" s="2" t="s">
        <v>4</v>
      </c>
      <c r="E113" s="2" t="s">
        <v>5</v>
      </c>
      <c r="F113" s="2" t="s">
        <v>11</v>
      </c>
      <c r="G113" s="2" t="s">
        <v>12</v>
      </c>
      <c r="H113" s="2" t="s">
        <v>13</v>
      </c>
      <c r="I113" s="2" t="s">
        <v>16</v>
      </c>
      <c r="J113" s="2" t="s">
        <v>15</v>
      </c>
      <c r="K113" s="2" t="s">
        <v>17</v>
      </c>
      <c r="L113" s="2" t="s">
        <v>20</v>
      </c>
      <c r="M113" s="8" t="s">
        <v>12</v>
      </c>
      <c r="N113" s="8" t="s">
        <v>13</v>
      </c>
    </row>
    <row r="114" spans="1:14" ht="18.75" x14ac:dyDescent="0.3">
      <c r="A114" s="54" t="s">
        <v>9</v>
      </c>
      <c r="B114" s="54"/>
      <c r="C114" s="14">
        <v>1.3563741112555261</v>
      </c>
      <c r="D114" s="14">
        <v>0.95789501393577403</v>
      </c>
      <c r="E114" s="14">
        <v>0.49567591335199318</v>
      </c>
      <c r="F114" s="11">
        <v>0.18085346495232357</v>
      </c>
      <c r="G114" s="11">
        <v>0.10899699614467184</v>
      </c>
      <c r="H114" s="11">
        <v>0.24221686010779653</v>
      </c>
      <c r="I114" s="11">
        <v>0.79198227324441783</v>
      </c>
      <c r="J114" s="18">
        <f>(C114/4)^2 + (D114/2)^2 + E114^2</f>
        <v>0.59006974611335039</v>
      </c>
      <c r="K114" s="11">
        <f>(J114-$J$117)/($J$115-$J$117)</f>
        <v>0.18885927684679762</v>
      </c>
      <c r="L114" s="15">
        <f>IF(F114&lt;K114,1,0)</f>
        <v>1</v>
      </c>
      <c r="M114" s="15">
        <f>IF(G114&lt;$B$120,1,0)</f>
        <v>1</v>
      </c>
      <c r="N114" s="15">
        <f>IF(H114&lt;0.5,1,0)</f>
        <v>1</v>
      </c>
    </row>
    <row r="115" spans="1:14" ht="18.75" x14ac:dyDescent="0.3">
      <c r="A115" s="54" t="s">
        <v>6</v>
      </c>
      <c r="B115" s="54"/>
      <c r="C115" s="14">
        <v>0.18582755975031501</v>
      </c>
      <c r="D115" s="14">
        <v>1.8142586727202712</v>
      </c>
      <c r="E115" s="14">
        <v>1.3520395721364904</v>
      </c>
      <c r="F115" s="11">
        <v>0.85689618826660452</v>
      </c>
      <c r="G115" s="11">
        <v>0.79486782148564872</v>
      </c>
      <c r="H115" s="11">
        <v>0.97742020198316826</v>
      </c>
      <c r="I115" s="11">
        <v>4.3498460050652943E-2</v>
      </c>
      <c r="J115" s="18">
        <f t="shared" ref="J115:J118" si="18">(C115/4)^2 + (D115/2)^2 + E115^2</f>
        <v>2.6530528801308764</v>
      </c>
      <c r="K115" s="11">
        <f>(J115-$J$117)/($J$115-$J$117)</f>
        <v>1</v>
      </c>
      <c r="L115" s="15">
        <f t="shared" ref="L115:L118" si="19">IF(F115&lt;K115,1,0)</f>
        <v>1</v>
      </c>
      <c r="M115" s="15">
        <f>IF(G115&lt;$B$120,1,0)</f>
        <v>0</v>
      </c>
      <c r="N115" s="15">
        <f t="shared" ref="N115:N118" si="20">IF(H115&lt;0.5,1,0)</f>
        <v>0</v>
      </c>
    </row>
    <row r="116" spans="1:14" ht="18.75" x14ac:dyDescent="0.3">
      <c r="A116" s="54" t="s">
        <v>10</v>
      </c>
      <c r="B116" s="54"/>
      <c r="C116" s="14">
        <v>6.859356900804825E-2</v>
      </c>
      <c r="D116" s="14">
        <v>-0.32988552831170381</v>
      </c>
      <c r="E116" s="14">
        <v>-0.79210462889548461</v>
      </c>
      <c r="F116" s="11">
        <v>0.69462599828124794</v>
      </c>
      <c r="G116" s="11">
        <v>0.67427657520043738</v>
      </c>
      <c r="H116" s="11">
        <v>0.59062976383064791</v>
      </c>
      <c r="I116" s="11">
        <v>0.85440741714323232</v>
      </c>
      <c r="J116" s="18">
        <f t="shared" si="18"/>
        <v>0.65492992592185528</v>
      </c>
      <c r="K116" s="11">
        <f>(J116-$J$117)/($J$115-$J$117)</f>
        <v>0.21436153728033858</v>
      </c>
      <c r="L116" s="15">
        <f t="shared" si="19"/>
        <v>0</v>
      </c>
      <c r="M116" s="15">
        <f>IF(G116&lt;$B$120,1,0)</f>
        <v>0</v>
      </c>
      <c r="N116" s="15">
        <f t="shared" si="20"/>
        <v>0</v>
      </c>
    </row>
    <row r="117" spans="1:14" ht="18.75" x14ac:dyDescent="0.3">
      <c r="A117" s="55" t="s">
        <v>8</v>
      </c>
      <c r="B117" s="55"/>
      <c r="C117" s="14">
        <v>0.90681088712613755</v>
      </c>
      <c r="D117" s="14">
        <v>0.47422089070064377</v>
      </c>
      <c r="E117" s="14">
        <v>4.6112689222604697E-2</v>
      </c>
      <c r="F117" s="11">
        <v>0.90109886611587975</v>
      </c>
      <c r="G117" s="11">
        <v>0.93498061267969323</v>
      </c>
      <c r="H117" s="11">
        <v>0.12064655797894519</v>
      </c>
      <c r="I117" s="11">
        <v>0.15683310800989259</v>
      </c>
      <c r="J117" s="10">
        <f t="shared" si="18"/>
        <v>0.10974186746472429</v>
      </c>
      <c r="K117" s="11">
        <f>(J117-$J$117)/($J$115-$J$117)</f>
        <v>0</v>
      </c>
      <c r="L117" s="15">
        <f t="shared" si="19"/>
        <v>0</v>
      </c>
      <c r="M117" s="15">
        <f>IF(G117&lt;$B$120,1,0)</f>
        <v>0</v>
      </c>
      <c r="N117" s="15">
        <f t="shared" si="20"/>
        <v>1</v>
      </c>
    </row>
    <row r="118" spans="1:14" ht="18.75" x14ac:dyDescent="0.3">
      <c r="A118" s="54" t="s">
        <v>7</v>
      </c>
      <c r="B118" s="54"/>
      <c r="C118" s="14">
        <v>1.641708925440696</v>
      </c>
      <c r="D118" s="14">
        <v>1.2432298281209442</v>
      </c>
      <c r="E118" s="14">
        <v>0.78101072753716327</v>
      </c>
      <c r="F118" s="11">
        <v>0.98839939604299287</v>
      </c>
      <c r="G118" s="11">
        <v>0.13821210718981702</v>
      </c>
      <c r="H118" s="11">
        <v>7.6676276151312894E-2</v>
      </c>
      <c r="I118" s="11">
        <v>0.58960137539868251</v>
      </c>
      <c r="J118" s="18">
        <f t="shared" si="18"/>
        <v>1.1648333701525151</v>
      </c>
      <c r="K118" s="11">
        <f>(J118-$J$117)/($J$115-$J$117)</f>
        <v>0.41484957892811491</v>
      </c>
      <c r="L118" s="15">
        <f t="shared" si="19"/>
        <v>0</v>
      </c>
      <c r="M118" s="15">
        <f>IF(G118&lt;$B$120,1,0)</f>
        <v>1</v>
      </c>
      <c r="N118" s="15">
        <f t="shared" si="20"/>
        <v>1</v>
      </c>
    </row>
    <row r="120" spans="1:14" x14ac:dyDescent="0.25">
      <c r="A120" s="7" t="s">
        <v>18</v>
      </c>
      <c r="B120" s="3">
        <f>0.2+(7/20)*(0.8-0.2)</f>
        <v>0.41000000000000003</v>
      </c>
    </row>
    <row r="121" spans="1:14" x14ac:dyDescent="0.25">
      <c r="A121" s="7" t="s">
        <v>19</v>
      </c>
      <c r="B121" s="3">
        <f>1-(7/20)</f>
        <v>0.65</v>
      </c>
    </row>
    <row r="123" spans="1:14" x14ac:dyDescent="0.25">
      <c r="A123" s="43" t="s">
        <v>21</v>
      </c>
      <c r="B123" s="43"/>
      <c r="C123" s="43"/>
      <c r="D123" s="43"/>
      <c r="E123" s="43"/>
    </row>
    <row r="124" spans="1:14" ht="18.75" x14ac:dyDescent="0.3">
      <c r="A124" s="52" t="s">
        <v>2</v>
      </c>
      <c r="B124" s="52"/>
      <c r="C124" s="2" t="s">
        <v>3</v>
      </c>
      <c r="D124" s="2" t="s">
        <v>4</v>
      </c>
      <c r="E124" s="2" t="s">
        <v>5</v>
      </c>
      <c r="G124" s="52" t="s">
        <v>2</v>
      </c>
      <c r="H124" s="52"/>
      <c r="I124" s="2" t="s">
        <v>3</v>
      </c>
      <c r="J124" s="2" t="s">
        <v>4</v>
      </c>
      <c r="K124" s="2" t="s">
        <v>5</v>
      </c>
    </row>
    <row r="125" spans="1:14" ht="18.75" x14ac:dyDescent="0.3">
      <c r="A125" s="53" t="s">
        <v>8</v>
      </c>
      <c r="B125" s="53"/>
      <c r="C125" s="14">
        <v>0.90681088712613755</v>
      </c>
      <c r="D125" s="14">
        <v>0.47422089070064377</v>
      </c>
      <c r="E125" s="14">
        <v>4.6112689222604697E-2</v>
      </c>
      <c r="G125" s="53" t="s">
        <v>8</v>
      </c>
      <c r="H125" s="53"/>
      <c r="I125" s="14">
        <v>0.90681088712613755</v>
      </c>
      <c r="J125" s="14">
        <v>0.47422089070064377</v>
      </c>
      <c r="K125" s="14">
        <v>4.6112689222604697E-2</v>
      </c>
    </row>
    <row r="126" spans="1:14" ht="18.75" x14ac:dyDescent="0.3">
      <c r="A126" s="53" t="s">
        <v>9</v>
      </c>
      <c r="B126" s="53"/>
      <c r="C126" s="13">
        <v>1.641708925440696</v>
      </c>
      <c r="D126" s="13">
        <v>-0.32988552831170381</v>
      </c>
      <c r="E126" s="13">
        <v>4.6112689222604697E-2</v>
      </c>
      <c r="G126" s="53" t="s">
        <v>9</v>
      </c>
      <c r="H126" s="53"/>
      <c r="I126" s="13">
        <v>1.6659647975616241</v>
      </c>
      <c r="J126" s="13">
        <v>1.2333748011361303</v>
      </c>
      <c r="K126" s="13">
        <v>0.80526659965809111</v>
      </c>
    </row>
    <row r="127" spans="1:14" ht="18.75" x14ac:dyDescent="0.3">
      <c r="A127" s="53" t="s">
        <v>10</v>
      </c>
      <c r="B127" s="53"/>
      <c r="C127" s="14">
        <v>6.859356900804825E-2</v>
      </c>
      <c r="D127" s="14">
        <v>-0.32988552831170381</v>
      </c>
      <c r="E127" s="14">
        <v>-0.79210462889548461</v>
      </c>
      <c r="G127" s="53" t="s">
        <v>10</v>
      </c>
      <c r="H127" s="53"/>
      <c r="I127" s="14">
        <v>6.859356900804825E-2</v>
      </c>
      <c r="J127" s="14">
        <v>-0.32988552831170381</v>
      </c>
      <c r="K127" s="14">
        <v>-0.79210462889548461</v>
      </c>
    </row>
    <row r="128" spans="1:14" ht="18.75" x14ac:dyDescent="0.3">
      <c r="A128" s="53" t="s">
        <v>7</v>
      </c>
      <c r="B128" s="53"/>
      <c r="C128" s="14">
        <v>1.641708925440696</v>
      </c>
      <c r="D128" s="14">
        <v>1.2432298281209442</v>
      </c>
      <c r="E128" s="14">
        <v>0.78101072753716327</v>
      </c>
      <c r="G128" s="53" t="s">
        <v>7</v>
      </c>
      <c r="H128" s="53"/>
      <c r="I128" s="13">
        <v>1.139774463162712</v>
      </c>
      <c r="J128" s="13">
        <v>0.70718446673721835</v>
      </c>
      <c r="K128" s="13">
        <v>0.27907626525917928</v>
      </c>
    </row>
    <row r="129" spans="1:14" ht="18.75" x14ac:dyDescent="0.3">
      <c r="A129" s="53" t="s">
        <v>6</v>
      </c>
      <c r="B129" s="53"/>
      <c r="C129" s="13">
        <v>0.18582755975031501</v>
      </c>
      <c r="D129" s="13">
        <v>1.8142586727202712</v>
      </c>
      <c r="E129" s="13">
        <v>0.49567591335199318</v>
      </c>
      <c r="G129" s="53" t="s">
        <v>6</v>
      </c>
      <c r="H129" s="53"/>
      <c r="I129" s="14">
        <v>0.18582755975031501</v>
      </c>
      <c r="J129" s="14">
        <v>1.8142586727202712</v>
      </c>
      <c r="K129" s="14">
        <v>0.49567591335199318</v>
      </c>
    </row>
    <row r="131" spans="1:14" x14ac:dyDescent="0.25">
      <c r="A131" s="67" t="s">
        <v>28</v>
      </c>
      <c r="B131" s="68"/>
      <c r="C131" s="68"/>
      <c r="D131" s="68"/>
      <c r="E131" s="68"/>
      <c r="F131" s="68"/>
      <c r="G131" s="68"/>
      <c r="H131" s="68"/>
      <c r="I131" s="68"/>
      <c r="J131" s="68"/>
      <c r="K131" s="68"/>
    </row>
    <row r="132" spans="1:14" ht="18.75" x14ac:dyDescent="0.3">
      <c r="A132" s="52" t="s">
        <v>2</v>
      </c>
      <c r="B132" s="52"/>
      <c r="C132" s="2" t="s">
        <v>3</v>
      </c>
      <c r="D132" s="2" t="s">
        <v>4</v>
      </c>
      <c r="E132" s="2" t="s">
        <v>5</v>
      </c>
      <c r="F132" s="2" t="s">
        <v>11</v>
      </c>
      <c r="G132" s="2" t="s">
        <v>12</v>
      </c>
      <c r="H132" s="2" t="s">
        <v>13</v>
      </c>
      <c r="I132" s="2" t="s">
        <v>16</v>
      </c>
      <c r="J132" s="2" t="s">
        <v>15</v>
      </c>
      <c r="K132" s="2" t="s">
        <v>17</v>
      </c>
      <c r="L132" s="2" t="s">
        <v>20</v>
      </c>
      <c r="M132" s="8" t="s">
        <v>12</v>
      </c>
      <c r="N132" s="8" t="s">
        <v>13</v>
      </c>
    </row>
    <row r="133" spans="1:14" ht="18.75" x14ac:dyDescent="0.3">
      <c r="A133" s="55" t="s">
        <v>8</v>
      </c>
      <c r="B133" s="55"/>
      <c r="C133" s="14">
        <v>0.90681088712613755</v>
      </c>
      <c r="D133" s="14">
        <v>0.47422089070064377</v>
      </c>
      <c r="E133" s="14">
        <v>4.6112689222604697E-2</v>
      </c>
      <c r="F133" s="11">
        <v>0.39160694520049011</v>
      </c>
      <c r="G133" s="11">
        <v>4.2315030659026087E-2</v>
      </c>
      <c r="H133" s="11">
        <v>0.89067149745629515</v>
      </c>
      <c r="I133" s="11">
        <v>0.84930948452404575</v>
      </c>
      <c r="J133" s="10">
        <f>(C133/4)^2 + (D133/2)^2 + E133^2</f>
        <v>0.10974186746472429</v>
      </c>
      <c r="K133" s="11">
        <f>(J133-$J$133)/($J$134-$J$133)</f>
        <v>0</v>
      </c>
      <c r="L133" s="15">
        <f>IF(F133&lt;K133,1,0)</f>
        <v>0</v>
      </c>
      <c r="M133" s="15" t="e">
        <f>IF(G133&lt;#REF!,1,0)</f>
        <v>#REF!</v>
      </c>
      <c r="N133" s="15">
        <f>IF(H133&lt;0.5,1,0)</f>
        <v>0</v>
      </c>
    </row>
    <row r="134" spans="1:14" ht="18.75" x14ac:dyDescent="0.3">
      <c r="A134" s="54" t="s">
        <v>9</v>
      </c>
      <c r="B134" s="54"/>
      <c r="C134" s="14">
        <v>1.6659647975616241</v>
      </c>
      <c r="D134" s="14">
        <v>1.2333748011361303</v>
      </c>
      <c r="E134" s="14">
        <v>0.80526659965809111</v>
      </c>
      <c r="F134" s="11">
        <v>0.22500370943027326</v>
      </c>
      <c r="G134" s="11">
        <v>0.5162068915443524</v>
      </c>
      <c r="H134" s="11">
        <v>0.38831111979997712</v>
      </c>
      <c r="I134" s="11">
        <v>0.54169566394214752</v>
      </c>
      <c r="J134" s="18">
        <f t="shared" ref="J134:J137" si="21">(C134/4)^2 + (D134/2)^2 + E134^2</f>
        <v>1.2022225657139605</v>
      </c>
      <c r="K134" s="11">
        <f>(J134-$J$133)/($J$134-$J$133)</f>
        <v>1</v>
      </c>
      <c r="L134" s="15">
        <f t="shared" ref="L134:L137" si="22">IF(F134&lt;K134,1,0)</f>
        <v>1</v>
      </c>
      <c r="M134" s="15" t="e">
        <f>IF(G134&lt;#REF!,1,0)</f>
        <v>#REF!</v>
      </c>
      <c r="N134" s="15">
        <f t="shared" ref="N134:N137" si="23">IF(H134&lt;0.5,1,0)</f>
        <v>1</v>
      </c>
    </row>
    <row r="135" spans="1:14" ht="18.75" x14ac:dyDescent="0.3">
      <c r="A135" s="54" t="s">
        <v>10</v>
      </c>
      <c r="B135" s="54"/>
      <c r="C135" s="14">
        <v>6.859356900804825E-2</v>
      </c>
      <c r="D135" s="14">
        <v>-0.32988552831170381</v>
      </c>
      <c r="E135" s="14">
        <v>-0.79210462889548461</v>
      </c>
      <c r="F135" s="11">
        <v>0.10030366482231923</v>
      </c>
      <c r="G135" s="11">
        <v>0.47665939571926508</v>
      </c>
      <c r="H135" s="11">
        <v>0.78775711640069523</v>
      </c>
      <c r="I135" s="11">
        <v>0.78594368968774764</v>
      </c>
      <c r="J135" s="18">
        <f t="shared" si="21"/>
        <v>0.65492992592185528</v>
      </c>
      <c r="K135" s="11">
        <f>(J135-$J$133)/($J$134-$J$133)</f>
        <v>0.49903678786346212</v>
      </c>
      <c r="L135" s="15">
        <f t="shared" si="22"/>
        <v>1</v>
      </c>
      <c r="M135" s="15" t="e">
        <f>IF(G135&lt;#REF!,1,0)</f>
        <v>#REF!</v>
      </c>
      <c r="N135" s="15">
        <f t="shared" si="23"/>
        <v>0</v>
      </c>
    </row>
    <row r="136" spans="1:14" ht="18.75" x14ac:dyDescent="0.3">
      <c r="A136" s="54" t="s">
        <v>7</v>
      </c>
      <c r="B136" s="54"/>
      <c r="C136" s="14">
        <v>1.139774463162712</v>
      </c>
      <c r="D136" s="14">
        <v>0.70718446673721835</v>
      </c>
      <c r="E136" s="14">
        <v>0.27907626525917928</v>
      </c>
      <c r="F136" s="11">
        <v>0.72870323362615286</v>
      </c>
      <c r="G136" s="11">
        <v>9.4986689631630039E-2</v>
      </c>
      <c r="H136" s="11">
        <v>0.20268949910397593</v>
      </c>
      <c r="I136" s="11">
        <v>0.58957112329511752</v>
      </c>
      <c r="J136" s="18">
        <f t="shared" si="21"/>
        <v>0.28410389350947829</v>
      </c>
      <c r="K136" s="11">
        <f>(J136-$J$133)/($J$134-$J$133)</f>
        <v>0.15960192827587644</v>
      </c>
      <c r="L136" s="15">
        <f t="shared" si="22"/>
        <v>0</v>
      </c>
      <c r="M136" s="15" t="e">
        <f>IF(G136&lt;#REF!,1,0)</f>
        <v>#REF!</v>
      </c>
      <c r="N136" s="15">
        <f t="shared" si="23"/>
        <v>1</v>
      </c>
    </row>
    <row r="137" spans="1:14" ht="18.75" x14ac:dyDescent="0.3">
      <c r="A137" s="54" t="s">
        <v>6</v>
      </c>
      <c r="B137" s="54"/>
      <c r="C137" s="14">
        <v>0.18582755975031501</v>
      </c>
      <c r="D137" s="14">
        <v>1.8142586727202712</v>
      </c>
      <c r="E137" s="14">
        <v>0.49567591335199318</v>
      </c>
      <c r="F137" s="11">
        <v>0.66355963381020899</v>
      </c>
      <c r="G137" s="11">
        <v>0.28408002011009137</v>
      </c>
      <c r="H137" s="11">
        <v>0.23553907284082698</v>
      </c>
      <c r="I137" s="11">
        <v>0.51039044205598716</v>
      </c>
      <c r="J137" s="18">
        <f t="shared" si="21"/>
        <v>1.0707364865851849</v>
      </c>
      <c r="K137" s="11">
        <f>(J137-$J$133)/($J$134-$J$133)</f>
        <v>0.87964448311124444</v>
      </c>
      <c r="L137" s="15">
        <f t="shared" si="22"/>
        <v>1</v>
      </c>
      <c r="M137" s="15" t="e">
        <f>IF(G137&lt;#REF!,1,0)</f>
        <v>#REF!</v>
      </c>
      <c r="N137" s="15">
        <f t="shared" si="23"/>
        <v>1</v>
      </c>
    </row>
    <row r="139" spans="1:14" x14ac:dyDescent="0.25">
      <c r="A139" s="7" t="s">
        <v>18</v>
      </c>
      <c r="B139" s="3">
        <f>0.2+(8/20)*(0.8-0.2)</f>
        <v>0.44000000000000006</v>
      </c>
    </row>
    <row r="140" spans="1:14" x14ac:dyDescent="0.25">
      <c r="A140" s="7" t="s">
        <v>19</v>
      </c>
      <c r="B140" s="3">
        <f>1-(8/20)</f>
        <v>0.6</v>
      </c>
    </row>
    <row r="142" spans="1:14" x14ac:dyDescent="0.25">
      <c r="A142" s="43" t="s">
        <v>21</v>
      </c>
      <c r="B142" s="43"/>
      <c r="C142" s="43"/>
      <c r="D142" s="43"/>
      <c r="E142" s="43"/>
    </row>
    <row r="143" spans="1:14" ht="18.75" x14ac:dyDescent="0.3">
      <c r="A143" s="52" t="s">
        <v>2</v>
      </c>
      <c r="B143" s="52"/>
      <c r="C143" s="2" t="s">
        <v>3</v>
      </c>
      <c r="D143" s="2" t="s">
        <v>4</v>
      </c>
      <c r="E143" s="2" t="s">
        <v>5</v>
      </c>
      <c r="G143" s="52" t="s">
        <v>2</v>
      </c>
      <c r="H143" s="52"/>
      <c r="I143" s="2" t="s">
        <v>3</v>
      </c>
      <c r="J143" s="2" t="s">
        <v>4</v>
      </c>
      <c r="K143" s="2" t="s">
        <v>5</v>
      </c>
    </row>
    <row r="144" spans="1:14" ht="18.75" x14ac:dyDescent="0.3">
      <c r="A144" s="53" t="s">
        <v>8</v>
      </c>
      <c r="B144" s="53"/>
      <c r="C144" s="14">
        <v>0.90681088712613755</v>
      </c>
      <c r="D144" s="14">
        <v>0.47422089070064377</v>
      </c>
      <c r="E144" s="14">
        <v>4.6112689222604697E-2</v>
      </c>
      <c r="G144" s="54" t="s">
        <v>8</v>
      </c>
      <c r="H144" s="54"/>
      <c r="I144" s="14">
        <v>0.90681088712613755</v>
      </c>
      <c r="J144" s="14">
        <v>0.47422089070064377</v>
      </c>
      <c r="K144" s="14">
        <v>4.6112689222604697E-2</v>
      </c>
    </row>
    <row r="145" spans="1:14" ht="18.75" x14ac:dyDescent="0.3">
      <c r="A145" s="53" t="s">
        <v>7</v>
      </c>
      <c r="B145" s="53"/>
      <c r="C145" s="14">
        <v>1.139774463162712</v>
      </c>
      <c r="D145" s="14">
        <v>0.70718446673721835</v>
      </c>
      <c r="E145" s="14">
        <v>0.27907626525917928</v>
      </c>
      <c r="G145" s="54" t="s">
        <v>7</v>
      </c>
      <c r="H145" s="54"/>
      <c r="I145" s="14">
        <v>1.139774463162712</v>
      </c>
      <c r="J145" s="14">
        <v>0.70718446673721835</v>
      </c>
      <c r="K145" s="14">
        <v>0.27907626525917928</v>
      </c>
    </row>
    <row r="146" spans="1:14" ht="18.75" x14ac:dyDescent="0.3">
      <c r="A146" s="53" t="s">
        <v>10</v>
      </c>
      <c r="B146" s="53"/>
      <c r="C146" s="13">
        <v>1.6659647975616241</v>
      </c>
      <c r="D146" s="13">
        <v>0.70718446673721835</v>
      </c>
      <c r="E146" s="13">
        <v>0.27907626525917928</v>
      </c>
      <c r="G146" s="54" t="s">
        <v>10</v>
      </c>
      <c r="H146" s="54"/>
      <c r="I146" s="14">
        <v>1.6659647975616241</v>
      </c>
      <c r="J146" s="14">
        <v>0.70718446673721835</v>
      </c>
      <c r="K146" s="14">
        <v>0.27907626525917928</v>
      </c>
    </row>
    <row r="147" spans="1:14" ht="18.75" x14ac:dyDescent="0.3">
      <c r="A147" s="53" t="s">
        <v>6</v>
      </c>
      <c r="B147" s="53"/>
      <c r="C147" s="13">
        <v>0.18582755975031501</v>
      </c>
      <c r="D147" s="13">
        <v>1.8142586727202712</v>
      </c>
      <c r="E147" s="13">
        <v>0.57241815167597698</v>
      </c>
      <c r="G147" s="54" t="s">
        <v>6</v>
      </c>
      <c r="H147" s="54"/>
      <c r="I147" s="14">
        <v>0.18582755975031501</v>
      </c>
      <c r="J147" s="14">
        <v>1.8142586727202712</v>
      </c>
      <c r="K147" s="14">
        <v>0.57241815167597698</v>
      </c>
    </row>
    <row r="148" spans="1:14" ht="18.75" x14ac:dyDescent="0.3">
      <c r="A148" s="53" t="s">
        <v>9</v>
      </c>
      <c r="B148" s="53"/>
      <c r="C148" s="13">
        <v>1.139774463162712</v>
      </c>
      <c r="D148" s="13">
        <v>0.47422089070064377</v>
      </c>
      <c r="E148" s="13">
        <v>0.92378411483003231</v>
      </c>
      <c r="G148" s="54" t="s">
        <v>9</v>
      </c>
      <c r="H148" s="54"/>
      <c r="I148" s="14">
        <v>1.139774463162712</v>
      </c>
      <c r="J148" s="14">
        <v>0.47422089070064377</v>
      </c>
      <c r="K148" s="14">
        <v>0.92378411483003231</v>
      </c>
    </row>
    <row r="150" spans="1:14" x14ac:dyDescent="0.25">
      <c r="A150" s="67" t="s">
        <v>29</v>
      </c>
      <c r="B150" s="68"/>
      <c r="C150" s="68"/>
      <c r="D150" s="68"/>
      <c r="E150" s="68"/>
      <c r="F150" s="68"/>
      <c r="G150" s="68"/>
      <c r="H150" s="68"/>
      <c r="I150" s="68"/>
      <c r="J150" s="68"/>
      <c r="K150" s="68"/>
    </row>
    <row r="151" spans="1:14" ht="18.75" x14ac:dyDescent="0.3">
      <c r="A151" s="52" t="s">
        <v>2</v>
      </c>
      <c r="B151" s="52"/>
      <c r="C151" s="2" t="s">
        <v>3</v>
      </c>
      <c r="D151" s="2" t="s">
        <v>4</v>
      </c>
      <c r="E151" s="2" t="s">
        <v>5</v>
      </c>
      <c r="F151" s="2" t="s">
        <v>11</v>
      </c>
      <c r="G151" s="2" t="s">
        <v>12</v>
      </c>
      <c r="H151" s="2" t="s">
        <v>13</v>
      </c>
      <c r="I151" s="2" t="s">
        <v>16</v>
      </c>
      <c r="J151" s="2" t="s">
        <v>15</v>
      </c>
      <c r="K151" s="2" t="s">
        <v>17</v>
      </c>
      <c r="L151" s="2" t="s">
        <v>20</v>
      </c>
      <c r="M151" s="8" t="s">
        <v>12</v>
      </c>
      <c r="N151" s="8" t="s">
        <v>13</v>
      </c>
    </row>
    <row r="152" spans="1:14" ht="18.75" x14ac:dyDescent="0.3">
      <c r="A152" s="55" t="s">
        <v>8</v>
      </c>
      <c r="B152" s="55"/>
      <c r="C152" s="14">
        <v>0.90681088712613755</v>
      </c>
      <c r="D152" s="14">
        <v>0.47422089070064377</v>
      </c>
      <c r="E152" s="14">
        <v>4.6112689222604697E-2</v>
      </c>
      <c r="F152" s="11">
        <v>0.27141685505300372</v>
      </c>
      <c r="G152" s="11">
        <v>0.11359009120501284</v>
      </c>
      <c r="H152" s="11">
        <v>7.3565307241625355E-3</v>
      </c>
      <c r="I152" s="11">
        <v>0.35767244571819112</v>
      </c>
      <c r="J152" s="10">
        <f>(C152/4)^2 + (D152/2)^2 + E152^2</f>
        <v>0.10974186746472429</v>
      </c>
      <c r="K152" s="11">
        <f>(J152-$J$152)/($J$155-$J$152)</f>
        <v>0</v>
      </c>
      <c r="L152" s="15">
        <f>IF(F152&lt;K152,1,0)</f>
        <v>0</v>
      </c>
      <c r="M152" s="15" t="e">
        <f>IF(G152&lt;#REF!,1,0)</f>
        <v>#REF!</v>
      </c>
      <c r="N152" s="15">
        <f>IF(H152&lt;0.5,1,0)</f>
        <v>1</v>
      </c>
    </row>
    <row r="153" spans="1:14" ht="18.75" x14ac:dyDescent="0.3">
      <c r="A153" s="54" t="s">
        <v>7</v>
      </c>
      <c r="B153" s="54"/>
      <c r="C153" s="14">
        <v>1.139774463162712</v>
      </c>
      <c r="D153" s="14">
        <v>0.70718446673721835</v>
      </c>
      <c r="E153" s="14">
        <v>0.27907626525917928</v>
      </c>
      <c r="F153" s="11">
        <v>0.62741497935865798</v>
      </c>
      <c r="G153" s="11">
        <v>0.68794458166587924</v>
      </c>
      <c r="H153" s="11">
        <v>0.92042890901128682</v>
      </c>
      <c r="I153" s="11">
        <v>0.14428689588777455</v>
      </c>
      <c r="J153" s="18">
        <f t="shared" ref="J153:J156" si="24">(C153/4)^2 + (D153/2)^2 + E153^2</f>
        <v>0.28410389350947829</v>
      </c>
      <c r="K153" s="11">
        <f>(J153-$J$152)/($J$155-$J$152)</f>
        <v>0.16717956585340216</v>
      </c>
      <c r="L153" s="15">
        <f t="shared" ref="L153:L156" si="25">IF(F153&lt;K153,1,0)</f>
        <v>0</v>
      </c>
      <c r="M153" s="15" t="e">
        <f>IF(G153&lt;#REF!,1,0)</f>
        <v>#REF!</v>
      </c>
      <c r="N153" s="15">
        <f t="shared" ref="N153:N156" si="26">IF(H153&lt;0.5,1,0)</f>
        <v>0</v>
      </c>
    </row>
    <row r="154" spans="1:14" ht="18.75" x14ac:dyDescent="0.3">
      <c r="A154" s="54" t="s">
        <v>10</v>
      </c>
      <c r="B154" s="54"/>
      <c r="C154" s="14">
        <v>1.6659647975616241</v>
      </c>
      <c r="D154" s="14">
        <v>0.70718446673721835</v>
      </c>
      <c r="E154" s="14">
        <v>0.27907626525917928</v>
      </c>
      <c r="F154" s="11">
        <v>0.16968621517904736</v>
      </c>
      <c r="G154" s="11">
        <v>0.42949479346877739</v>
      </c>
      <c r="H154" s="11">
        <v>0.1112523039651544</v>
      </c>
      <c r="I154" s="11">
        <v>0.98639730140048287</v>
      </c>
      <c r="J154" s="18">
        <f t="shared" si="24"/>
        <v>0.37637594849927175</v>
      </c>
      <c r="K154" s="11">
        <f>(J154-$J$152)/($J$155-$J$152)</f>
        <v>0.25565067647031758</v>
      </c>
      <c r="L154" s="15">
        <f t="shared" si="25"/>
        <v>1</v>
      </c>
      <c r="M154" s="15" t="e">
        <f>IF(G154&lt;#REF!,1,0)</f>
        <v>#REF!</v>
      </c>
      <c r="N154" s="15">
        <f t="shared" si="26"/>
        <v>1</v>
      </c>
    </row>
    <row r="155" spans="1:14" ht="18.75" x14ac:dyDescent="0.3">
      <c r="A155" s="54" t="s">
        <v>6</v>
      </c>
      <c r="B155" s="54"/>
      <c r="C155" s="14">
        <v>0.18582755975031501</v>
      </c>
      <c r="D155" s="14">
        <v>1.8142586727202712</v>
      </c>
      <c r="E155" s="14">
        <v>0.57241815167597698</v>
      </c>
      <c r="F155" s="11">
        <v>0.62917445462622135</v>
      </c>
      <c r="G155" s="11">
        <v>0.88992912165535654</v>
      </c>
      <c r="H155" s="11">
        <v>0.97445266161110677</v>
      </c>
      <c r="I155" s="11">
        <v>0.37211269737914887</v>
      </c>
      <c r="J155" s="18">
        <f t="shared" si="24"/>
        <v>1.152704415875994</v>
      </c>
      <c r="K155" s="11">
        <f>(J155-$J$152)/($J$155-$J$152)</f>
        <v>1</v>
      </c>
      <c r="L155" s="15">
        <f t="shared" si="25"/>
        <v>1</v>
      </c>
      <c r="M155" s="15" t="e">
        <f>IF(G155&lt;#REF!,1,0)</f>
        <v>#REF!</v>
      </c>
      <c r="N155" s="15">
        <f t="shared" si="26"/>
        <v>0</v>
      </c>
    </row>
    <row r="156" spans="1:14" ht="18.75" x14ac:dyDescent="0.3">
      <c r="A156" s="54" t="s">
        <v>9</v>
      </c>
      <c r="B156" s="54"/>
      <c r="C156" s="14">
        <v>1.139774463162712</v>
      </c>
      <c r="D156" s="14">
        <v>0.47422089070064377</v>
      </c>
      <c r="E156" s="14">
        <v>0.92378411483003231</v>
      </c>
      <c r="F156" s="11">
        <v>0.42067627670399388</v>
      </c>
      <c r="G156" s="11">
        <v>0.42090997264219265</v>
      </c>
      <c r="H156" s="11">
        <v>0.11267399707302894</v>
      </c>
      <c r="I156" s="11">
        <v>7.8056681271773676E-2</v>
      </c>
      <c r="J156" s="18">
        <f t="shared" si="24"/>
        <v>0.99079131828639977</v>
      </c>
      <c r="K156" s="11">
        <f>(J156-$J$152)/($J$155-$J$152)</f>
        <v>0.8447565563727728</v>
      </c>
      <c r="L156" s="15">
        <f t="shared" si="25"/>
        <v>1</v>
      </c>
      <c r="M156" s="15" t="e">
        <f>IF(G156&lt;#REF!,1,0)</f>
        <v>#REF!</v>
      </c>
      <c r="N156" s="15">
        <f t="shared" si="26"/>
        <v>1</v>
      </c>
    </row>
    <row r="158" spans="1:14" x14ac:dyDescent="0.25">
      <c r="A158" s="7" t="s">
        <v>18</v>
      </c>
      <c r="B158" s="3">
        <f>0.2+(9/20)*(0.8-0.2)</f>
        <v>0.47000000000000008</v>
      </c>
    </row>
    <row r="159" spans="1:14" x14ac:dyDescent="0.25">
      <c r="A159" s="7" t="s">
        <v>19</v>
      </c>
      <c r="B159" s="3">
        <f>1-(9/20)</f>
        <v>0.55000000000000004</v>
      </c>
    </row>
    <row r="161" spans="1:14" x14ac:dyDescent="0.25">
      <c r="A161" s="43" t="s">
        <v>21</v>
      </c>
      <c r="B161" s="43"/>
      <c r="C161" s="43"/>
      <c r="D161" s="43"/>
      <c r="E161" s="43"/>
    </row>
    <row r="162" spans="1:14" ht="18.75" x14ac:dyDescent="0.3">
      <c r="A162" s="52" t="s">
        <v>2</v>
      </c>
      <c r="B162" s="52"/>
      <c r="C162" s="2" t="s">
        <v>3</v>
      </c>
      <c r="D162" s="2" t="s">
        <v>4</v>
      </c>
      <c r="E162" s="2" t="s">
        <v>5</v>
      </c>
      <c r="G162" s="49" t="s">
        <v>2</v>
      </c>
      <c r="H162" s="49"/>
      <c r="I162" s="19" t="s">
        <v>3</v>
      </c>
      <c r="J162" s="19" t="s">
        <v>4</v>
      </c>
      <c r="K162" s="19" t="s">
        <v>5</v>
      </c>
    </row>
    <row r="163" spans="1:14" ht="18.75" x14ac:dyDescent="0.3">
      <c r="A163" s="53" t="s">
        <v>8</v>
      </c>
      <c r="B163" s="53"/>
      <c r="C163" s="14">
        <v>0.90681088712613755</v>
      </c>
      <c r="D163" s="14">
        <v>0.47422089070064377</v>
      </c>
      <c r="E163" s="14">
        <v>4.6112689222604697E-2</v>
      </c>
      <c r="G163" s="54" t="s">
        <v>8</v>
      </c>
      <c r="H163" s="54"/>
      <c r="I163" s="14">
        <v>0.90681088712613755</v>
      </c>
      <c r="J163" s="14">
        <v>0.47422089070064377</v>
      </c>
      <c r="K163" s="14">
        <v>4.6112689222604697E-2</v>
      </c>
    </row>
    <row r="164" spans="1:14" ht="18.75" x14ac:dyDescent="0.3">
      <c r="A164" s="53" t="s">
        <v>7</v>
      </c>
      <c r="B164" s="53"/>
      <c r="C164" s="14">
        <v>1.139774463162712</v>
      </c>
      <c r="D164" s="14">
        <v>0.70718446673721835</v>
      </c>
      <c r="E164" s="14">
        <v>0.27907626525917928</v>
      </c>
      <c r="G164" s="54" t="s">
        <v>7</v>
      </c>
      <c r="H164" s="54"/>
      <c r="I164" s="14">
        <v>1.139774463162712</v>
      </c>
      <c r="J164" s="14">
        <v>0.70718446673721835</v>
      </c>
      <c r="K164" s="14">
        <v>0.27907626525917928</v>
      </c>
    </row>
    <row r="165" spans="1:14" ht="18.75" x14ac:dyDescent="0.3">
      <c r="A165" s="53" t="s">
        <v>10</v>
      </c>
      <c r="B165" s="53"/>
      <c r="C165" s="13">
        <v>1.139774463162712</v>
      </c>
      <c r="D165" s="13">
        <v>0.47422089070064377</v>
      </c>
      <c r="E165" s="13">
        <v>0.92378411483003231</v>
      </c>
      <c r="G165" s="54" t="s">
        <v>10</v>
      </c>
      <c r="H165" s="54"/>
      <c r="I165" s="14">
        <v>1.139774463162712</v>
      </c>
      <c r="J165" s="14">
        <v>0.47422089070064377</v>
      </c>
      <c r="K165" s="14">
        <v>0.92378411483003231</v>
      </c>
    </row>
    <row r="166" spans="1:14" ht="18.75" x14ac:dyDescent="0.3">
      <c r="A166" s="53" t="s">
        <v>9</v>
      </c>
      <c r="B166" s="53"/>
      <c r="C166" s="13">
        <v>1.6659647975616241</v>
      </c>
      <c r="D166" s="13">
        <v>1.8142586727202712</v>
      </c>
      <c r="E166" s="13">
        <v>4.6112689222604697E-2</v>
      </c>
      <c r="G166" s="54" t="s">
        <v>9</v>
      </c>
      <c r="H166" s="54"/>
      <c r="I166" s="14">
        <v>1.6659647975616241</v>
      </c>
      <c r="J166" s="14">
        <v>1.8142586727202712</v>
      </c>
      <c r="K166" s="14">
        <v>4.6112689222604697E-2</v>
      </c>
    </row>
    <row r="167" spans="1:14" ht="18.75" x14ac:dyDescent="0.3">
      <c r="A167" s="53" t="s">
        <v>6</v>
      </c>
      <c r="B167" s="53"/>
      <c r="C167" s="13">
        <v>0.90681088712613755</v>
      </c>
      <c r="D167" s="13">
        <v>0.70718446673721835</v>
      </c>
      <c r="E167" s="13">
        <v>0.57241815167597698</v>
      </c>
      <c r="G167" s="54" t="s">
        <v>6</v>
      </c>
      <c r="H167" s="54"/>
      <c r="I167" s="14">
        <v>0.90681088712613755</v>
      </c>
      <c r="J167" s="14">
        <v>0.70718446673721835</v>
      </c>
      <c r="K167" s="14">
        <v>0.57241815167597698</v>
      </c>
    </row>
    <row r="169" spans="1:14" x14ac:dyDescent="0.25">
      <c r="A169" s="67" t="s">
        <v>32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</row>
    <row r="170" spans="1:14" ht="18.75" x14ac:dyDescent="0.3">
      <c r="A170" s="49" t="s">
        <v>2</v>
      </c>
      <c r="B170" s="49"/>
      <c r="C170" s="19" t="s">
        <v>3</v>
      </c>
      <c r="D170" s="19" t="s">
        <v>4</v>
      </c>
      <c r="E170" s="19" t="s">
        <v>5</v>
      </c>
      <c r="F170" s="2" t="s">
        <v>11</v>
      </c>
      <c r="G170" s="2" t="s">
        <v>12</v>
      </c>
      <c r="H170" s="2" t="s">
        <v>13</v>
      </c>
      <c r="I170" s="2" t="s">
        <v>16</v>
      </c>
      <c r="J170" s="2" t="s">
        <v>15</v>
      </c>
      <c r="K170" s="2" t="s">
        <v>17</v>
      </c>
      <c r="L170" s="2" t="s">
        <v>20</v>
      </c>
      <c r="M170" s="8" t="s">
        <v>12</v>
      </c>
      <c r="N170" s="8" t="s">
        <v>13</v>
      </c>
    </row>
    <row r="171" spans="1:14" ht="18.75" x14ac:dyDescent="0.3">
      <c r="A171" s="54" t="s">
        <v>8</v>
      </c>
      <c r="B171" s="54"/>
      <c r="C171" s="14">
        <v>0.90681088712613755</v>
      </c>
      <c r="D171" s="14">
        <v>0.47422089070064377</v>
      </c>
      <c r="E171" s="14">
        <v>4.6112689222604697E-2</v>
      </c>
      <c r="F171" s="11">
        <v>0.35614677415250762</v>
      </c>
      <c r="G171" s="11">
        <v>0.76162628772399465</v>
      </c>
      <c r="H171" s="11">
        <v>0.15519225755325106</v>
      </c>
      <c r="I171" s="11">
        <v>0.78525630786281675</v>
      </c>
      <c r="J171" s="10">
        <f>(C171/4)^2 + (D171/2)^2 + E171^2</f>
        <v>0.10974186746472429</v>
      </c>
      <c r="K171" s="11">
        <f>(J171-$J$152)/($J$174-$J$152)</f>
        <v>0</v>
      </c>
      <c r="L171" s="15">
        <f>IF(F171&lt;K171,1,0)</f>
        <v>0</v>
      </c>
      <c r="M171" s="15">
        <f>IF(G171&lt;$B$177,1,0)</f>
        <v>0</v>
      </c>
      <c r="N171" s="15">
        <f>IF(H171&lt;0.5,1,0)</f>
        <v>1</v>
      </c>
    </row>
    <row r="172" spans="1:14" ht="18.75" x14ac:dyDescent="0.3">
      <c r="A172" s="54" t="s">
        <v>7</v>
      </c>
      <c r="B172" s="54"/>
      <c r="C172" s="14">
        <v>1.139774463162712</v>
      </c>
      <c r="D172" s="14">
        <v>0.70718446673721835</v>
      </c>
      <c r="E172" s="14">
        <v>0.279076265259179</v>
      </c>
      <c r="F172" s="11">
        <v>0.38991762409279962</v>
      </c>
      <c r="G172" s="11">
        <v>0.61760347501326918</v>
      </c>
      <c r="H172" s="11">
        <v>0.30858691218534162</v>
      </c>
      <c r="I172" s="11">
        <v>0.41703368372853478</v>
      </c>
      <c r="J172" s="18">
        <f t="shared" ref="J172:J175" si="27">(C172/4)^2 + (D172/2)^2 + E172^2</f>
        <v>0.28410389350947812</v>
      </c>
      <c r="K172" s="11">
        <f>(J172-$J$152)/($J$174-$J$152)</f>
        <v>0.19619167213510907</v>
      </c>
      <c r="L172" s="15">
        <f t="shared" ref="L172:L175" si="28">IF(F172&lt;K172,1,0)</f>
        <v>0</v>
      </c>
      <c r="M172" s="15">
        <f>IF(G172&lt;$B$177,1,0)</f>
        <v>0</v>
      </c>
      <c r="N172" s="15">
        <f t="shared" ref="N172:N175" si="29">IF(H172&lt;0.5,1,0)</f>
        <v>1</v>
      </c>
    </row>
    <row r="173" spans="1:14" ht="18.75" x14ac:dyDescent="0.3">
      <c r="A173" s="54" t="s">
        <v>10</v>
      </c>
      <c r="B173" s="54"/>
      <c r="C173" s="14">
        <v>1.139774463162712</v>
      </c>
      <c r="D173" s="14">
        <v>0.47422089070064399</v>
      </c>
      <c r="E173" s="14">
        <v>0.92378411483003231</v>
      </c>
      <c r="F173" s="11">
        <v>0.37179161845035991</v>
      </c>
      <c r="G173" s="11">
        <v>0.12857357343416398</v>
      </c>
      <c r="H173" s="11">
        <v>0.1076780398893521</v>
      </c>
      <c r="I173" s="11">
        <v>0.91407929093521567</v>
      </c>
      <c r="J173" s="18">
        <f t="shared" si="27"/>
        <v>0.99079131828639988</v>
      </c>
      <c r="K173" s="11">
        <f>(J173-$J$152)/($J$174-$J$152)</f>
        <v>0.99135441880021047</v>
      </c>
      <c r="L173" s="15">
        <f t="shared" si="28"/>
        <v>1</v>
      </c>
      <c r="M173" s="15">
        <f>IF(G173&lt;$B$177,1,0)</f>
        <v>1</v>
      </c>
      <c r="N173" s="15">
        <f t="shared" si="29"/>
        <v>1</v>
      </c>
    </row>
    <row r="174" spans="1:14" ht="18.75" x14ac:dyDescent="0.3">
      <c r="A174" s="54" t="s">
        <v>9</v>
      </c>
      <c r="B174" s="54"/>
      <c r="C174" s="14">
        <v>1.6659647975616241</v>
      </c>
      <c r="D174" s="14">
        <v>1.8142586727202712</v>
      </c>
      <c r="E174" s="14">
        <v>4.6112689222604697E-2</v>
      </c>
      <c r="F174" s="11">
        <v>0.32058687359106552</v>
      </c>
      <c r="G174" s="11">
        <v>0.43389130278488419</v>
      </c>
      <c r="H174" s="11">
        <v>0.38603592531367337</v>
      </c>
      <c r="I174" s="11">
        <v>0.79900434644280915</v>
      </c>
      <c r="J174" s="18">
        <f t="shared" si="27"/>
        <v>0.99847493216217953</v>
      </c>
      <c r="K174" s="11">
        <f>(J174-$J$152)/($J$174-$J$152)</f>
        <v>1</v>
      </c>
      <c r="L174" s="15">
        <f t="shared" si="28"/>
        <v>1</v>
      </c>
      <c r="M174" s="15">
        <f>IF(G174&lt;$B$177,1,0)</f>
        <v>1</v>
      </c>
      <c r="N174" s="15">
        <f t="shared" si="29"/>
        <v>1</v>
      </c>
    </row>
    <row r="175" spans="1:14" ht="18.75" x14ac:dyDescent="0.3">
      <c r="A175" s="54" t="s">
        <v>6</v>
      </c>
      <c r="B175" s="54"/>
      <c r="C175" s="14">
        <v>0.90681088712613755</v>
      </c>
      <c r="D175" s="14">
        <v>0.70718446673721835</v>
      </c>
      <c r="E175" s="14">
        <v>0.57241815167597698</v>
      </c>
      <c r="F175" s="11">
        <v>0.94488862274858798</v>
      </c>
      <c r="G175" s="11">
        <v>0.96243837823026956</v>
      </c>
      <c r="H175" s="11">
        <v>0.15976281310804563</v>
      </c>
      <c r="I175" s="11">
        <v>0.62092437949907608</v>
      </c>
      <c r="J175" s="18">
        <f t="shared" si="27"/>
        <v>0.50408413192989854</v>
      </c>
      <c r="K175" s="11">
        <f>(J175-$J$152)/($J$174-$J$152)</f>
        <v>0.44371283136564432</v>
      </c>
      <c r="L175" s="15">
        <f t="shared" si="28"/>
        <v>0</v>
      </c>
      <c r="M175" s="15">
        <f>IF(G175&lt;$B$177,1,0)</f>
        <v>0</v>
      </c>
      <c r="N175" s="15">
        <f t="shared" si="29"/>
        <v>1</v>
      </c>
    </row>
    <row r="177" spans="1:14" x14ac:dyDescent="0.25">
      <c r="A177" s="7" t="s">
        <v>18</v>
      </c>
      <c r="B177" s="3">
        <f>0.2+(10/20)*(0.8-0.2)</f>
        <v>0.5</v>
      </c>
    </row>
    <row r="178" spans="1:14" x14ac:dyDescent="0.25">
      <c r="A178" s="7" t="s">
        <v>19</v>
      </c>
      <c r="B178" s="3">
        <f>1-(10/20)</f>
        <v>0.5</v>
      </c>
    </row>
    <row r="180" spans="1:14" x14ac:dyDescent="0.25">
      <c r="A180" s="43" t="s">
        <v>21</v>
      </c>
      <c r="B180" s="43"/>
      <c r="C180" s="43"/>
      <c r="D180" s="43"/>
      <c r="E180" s="43"/>
    </row>
    <row r="181" spans="1:14" ht="18.75" x14ac:dyDescent="0.3">
      <c r="A181" s="52" t="s">
        <v>2</v>
      </c>
      <c r="B181" s="52"/>
      <c r="C181" s="2" t="s">
        <v>3</v>
      </c>
      <c r="D181" s="2" t="s">
        <v>4</v>
      </c>
      <c r="E181" s="2" t="s">
        <v>5</v>
      </c>
      <c r="G181" s="52" t="s">
        <v>2</v>
      </c>
      <c r="H181" s="52"/>
      <c r="I181" s="2" t="s">
        <v>3</v>
      </c>
      <c r="J181" s="2" t="s">
        <v>4</v>
      </c>
      <c r="K181" s="2" t="s">
        <v>5</v>
      </c>
    </row>
    <row r="182" spans="1:14" ht="18.75" x14ac:dyDescent="0.3">
      <c r="A182" s="53" t="s">
        <v>8</v>
      </c>
      <c r="B182" s="53"/>
      <c r="C182" s="14">
        <v>0.90681088712613755</v>
      </c>
      <c r="D182" s="14">
        <v>0.47422089070064377</v>
      </c>
      <c r="E182" s="14">
        <v>4.6112689222604697E-2</v>
      </c>
      <c r="G182" s="53" t="s">
        <v>8</v>
      </c>
      <c r="H182" s="53"/>
      <c r="I182" s="14">
        <v>0.90681088712613755</v>
      </c>
      <c r="J182" s="14">
        <v>0.47422089070064377</v>
      </c>
      <c r="K182" s="14">
        <v>4.6112689222604697E-2</v>
      </c>
    </row>
    <row r="183" spans="1:14" ht="18.75" x14ac:dyDescent="0.3">
      <c r="A183" s="53" t="s">
        <v>7</v>
      </c>
      <c r="B183" s="53"/>
      <c r="C183" s="14">
        <v>1.139774463162712</v>
      </c>
      <c r="D183" s="14">
        <v>0.70718446673721835</v>
      </c>
      <c r="E183" s="14">
        <v>0.27907626525917928</v>
      </c>
      <c r="G183" s="53" t="s">
        <v>7</v>
      </c>
      <c r="H183" s="53"/>
      <c r="I183" s="14">
        <v>1.139774463162712</v>
      </c>
      <c r="J183" s="14">
        <v>0.70718446673721835</v>
      </c>
      <c r="K183" s="14">
        <v>0.27907626525917928</v>
      </c>
    </row>
    <row r="184" spans="1:14" ht="18.75" x14ac:dyDescent="0.3">
      <c r="A184" s="53" t="s">
        <v>6</v>
      </c>
      <c r="B184" s="53"/>
      <c r="C184" s="14">
        <v>0.90681088712613755</v>
      </c>
      <c r="D184" s="14">
        <v>0.70718446673721835</v>
      </c>
      <c r="E184" s="14">
        <v>0.57241815167597698</v>
      </c>
      <c r="G184" s="53" t="s">
        <v>6</v>
      </c>
      <c r="H184" s="53"/>
      <c r="I184" s="14">
        <v>0.90681088712613755</v>
      </c>
      <c r="J184" s="14">
        <v>0.70718446673721835</v>
      </c>
      <c r="K184" s="14">
        <v>0.57241815167597698</v>
      </c>
    </row>
    <row r="185" spans="1:14" ht="18.75" x14ac:dyDescent="0.3">
      <c r="A185" s="53" t="s">
        <v>10</v>
      </c>
      <c r="B185" s="53"/>
      <c r="C185" s="13">
        <v>1.6659647975616241</v>
      </c>
      <c r="D185" s="13">
        <v>0.47422089070064399</v>
      </c>
      <c r="E185" s="13">
        <v>4.6112689222604697E-2</v>
      </c>
      <c r="G185" s="53" t="s">
        <v>10</v>
      </c>
      <c r="H185" s="53"/>
      <c r="I185" s="13">
        <f>I182+$B$178*((2--2)*$I$173-2)</f>
        <v>1.7349694689965689</v>
      </c>
      <c r="J185" s="13">
        <f>J182+$B$178*((2--2)*$I$173-2)</f>
        <v>1.3023794725710751</v>
      </c>
      <c r="K185" s="13">
        <f>K182+$B$178*((2--2)*$I$173-2)</f>
        <v>0.87427127109303604</v>
      </c>
    </row>
    <row r="186" spans="1:14" ht="18.75" x14ac:dyDescent="0.3">
      <c r="A186" s="53" t="s">
        <v>9</v>
      </c>
      <c r="B186" s="53"/>
      <c r="C186" s="13">
        <v>1.139774463162712</v>
      </c>
      <c r="D186" s="13">
        <v>1.8142586727202712</v>
      </c>
      <c r="E186" s="13">
        <v>0.279076265259179</v>
      </c>
      <c r="G186" s="53" t="s">
        <v>9</v>
      </c>
      <c r="H186" s="53"/>
      <c r="I186" s="13">
        <f>I182+$B$178*((2--2)*$I$174-2)</f>
        <v>1.5048195800117559</v>
      </c>
      <c r="J186" s="13">
        <f>J182+$B$178*((2--2)*$I$174-2)</f>
        <v>1.0722295835862621</v>
      </c>
      <c r="K186" s="13">
        <f>K182+$B$178*((2--2)*$I$174-2)</f>
        <v>0.64412138210822301</v>
      </c>
    </row>
    <row r="188" spans="1:14" x14ac:dyDescent="0.25">
      <c r="A188" s="67" t="s">
        <v>33</v>
      </c>
      <c r="B188" s="68"/>
      <c r="C188" s="68"/>
      <c r="D188" s="68"/>
      <c r="E188" s="68"/>
      <c r="F188" s="68"/>
      <c r="G188" s="68"/>
      <c r="H188" s="68"/>
      <c r="I188" s="68"/>
      <c r="J188" s="68"/>
      <c r="K188" s="68"/>
    </row>
    <row r="189" spans="1:14" ht="18.75" x14ac:dyDescent="0.3">
      <c r="A189" s="52" t="s">
        <v>2</v>
      </c>
      <c r="B189" s="52"/>
      <c r="C189" s="2" t="s">
        <v>3</v>
      </c>
      <c r="D189" s="2" t="s">
        <v>4</v>
      </c>
      <c r="E189" s="2" t="s">
        <v>5</v>
      </c>
      <c r="F189" s="2" t="s">
        <v>11</v>
      </c>
      <c r="G189" s="2" t="s">
        <v>12</v>
      </c>
      <c r="H189" s="2" t="s">
        <v>13</v>
      </c>
      <c r="I189" s="2" t="s">
        <v>16</v>
      </c>
      <c r="J189" s="2" t="s">
        <v>15</v>
      </c>
      <c r="K189" s="2" t="s">
        <v>17</v>
      </c>
      <c r="L189" s="2" t="s">
        <v>20</v>
      </c>
      <c r="M189" s="8" t="s">
        <v>12</v>
      </c>
      <c r="N189" s="8" t="s">
        <v>13</v>
      </c>
    </row>
    <row r="190" spans="1:14" ht="18.75" x14ac:dyDescent="0.3">
      <c r="A190" s="55" t="s">
        <v>8</v>
      </c>
      <c r="B190" s="55"/>
      <c r="C190" s="14">
        <v>0.90681088712613755</v>
      </c>
      <c r="D190" s="14">
        <v>0.47422089070064377</v>
      </c>
      <c r="E190" s="14">
        <v>4.6112689222604697E-2</v>
      </c>
      <c r="F190" s="11">
        <v>0.35534463433331298</v>
      </c>
      <c r="G190" s="11">
        <v>0.61228877934037396</v>
      </c>
      <c r="H190" s="11">
        <v>0.96501980930680908</v>
      </c>
      <c r="I190" s="11">
        <v>0.22846319196743681</v>
      </c>
      <c r="J190" s="10">
        <f>(C190/4)^2 + (D190/2)^2 + E190^2</f>
        <v>0.10974186746472429</v>
      </c>
      <c r="K190" s="11">
        <f>(J190-$J$190)/($J$193-$J$190)</f>
        <v>0</v>
      </c>
      <c r="L190" s="15">
        <f>IF(F190&lt;K190,1,0)</f>
        <v>0</v>
      </c>
      <c r="M190" s="15">
        <f>IF(G190&lt;$B$206,1,0)</f>
        <v>0</v>
      </c>
      <c r="N190" s="15">
        <f>IF(H190&lt;0.5,1,0)</f>
        <v>0</v>
      </c>
    </row>
    <row r="191" spans="1:14" ht="18.75" x14ac:dyDescent="0.3">
      <c r="A191" s="54" t="s">
        <v>7</v>
      </c>
      <c r="B191" s="54"/>
      <c r="C191" s="14">
        <v>1.139774463162712</v>
      </c>
      <c r="D191" s="14">
        <v>0.70718446673721835</v>
      </c>
      <c r="E191" s="14">
        <v>0.27907626525917928</v>
      </c>
      <c r="F191" s="11">
        <v>0.70123859550464107</v>
      </c>
      <c r="G191" s="11">
        <v>0.18616019334044076</v>
      </c>
      <c r="H191" s="11">
        <v>0.43541861364659373</v>
      </c>
      <c r="I191" s="11">
        <v>0.60916068589782246</v>
      </c>
      <c r="J191" s="18">
        <f t="shared" ref="J191:J194" si="30">(C191/4)^2 + (D191/2)^2 + E191^2</f>
        <v>0.28410389350947829</v>
      </c>
      <c r="K191" s="11">
        <f>(J191-$J$190)/($J$193-$J$190)</f>
        <v>0.13764094854252662</v>
      </c>
      <c r="L191" s="15">
        <f t="shared" ref="L191:L194" si="31">IF(F191&lt;K191,1,0)</f>
        <v>0</v>
      </c>
      <c r="M191" s="15">
        <f t="shared" ref="M191:M194" si="32">IF(G191&lt;$B$206,1,0)</f>
        <v>0</v>
      </c>
      <c r="N191" s="15">
        <f t="shared" ref="N191:N194" si="33">IF(H191&lt;0.5,1,0)</f>
        <v>1</v>
      </c>
    </row>
    <row r="192" spans="1:14" ht="18.75" x14ac:dyDescent="0.3">
      <c r="A192" s="54" t="s">
        <v>6</v>
      </c>
      <c r="B192" s="54"/>
      <c r="C192" s="14">
        <v>0.90681088712613755</v>
      </c>
      <c r="D192" s="14">
        <v>0.70718446673721835</v>
      </c>
      <c r="E192" s="14">
        <v>0.57241815167597698</v>
      </c>
      <c r="F192" s="11">
        <v>0.46797450612273073</v>
      </c>
      <c r="G192" s="11">
        <v>1.4582676940831485E-2</v>
      </c>
      <c r="H192" s="11">
        <v>0.35579716455223243</v>
      </c>
      <c r="I192" s="11">
        <v>0.41087710612005346</v>
      </c>
      <c r="J192" s="18">
        <f t="shared" si="30"/>
        <v>0.50408413192989854</v>
      </c>
      <c r="K192" s="11">
        <f>(J192-$J$190)/($J$193-$J$190)</f>
        <v>0.31129280017349004</v>
      </c>
      <c r="L192" s="15">
        <f t="shared" si="31"/>
        <v>0</v>
      </c>
      <c r="M192" s="15">
        <f t="shared" si="32"/>
        <v>0</v>
      </c>
      <c r="N192" s="15">
        <f t="shared" si="33"/>
        <v>1</v>
      </c>
    </row>
    <row r="193" spans="1:14" ht="18.75" x14ac:dyDescent="0.3">
      <c r="A193" s="54" t="s">
        <v>10</v>
      </c>
      <c r="B193" s="54"/>
      <c r="C193" s="14">
        <f>C190+$B$178*((2--2)*$I$173-2)</f>
        <v>1.7349694689965689</v>
      </c>
      <c r="D193" s="14">
        <f>D190+$B$178*((2--2)*$I$173-2)</f>
        <v>1.3023794725710751</v>
      </c>
      <c r="E193" s="14">
        <f>E190+$B$178*((2--2)*$I$173-2)</f>
        <v>0.87427127109303604</v>
      </c>
      <c r="F193" s="11">
        <v>0.44642640955717172</v>
      </c>
      <c r="G193" s="11">
        <v>0.46460164826235939</v>
      </c>
      <c r="H193" s="11">
        <v>0.4592517978162628</v>
      </c>
      <c r="I193" s="11">
        <v>0.1818256275372343</v>
      </c>
      <c r="J193" s="18">
        <f t="shared" si="30"/>
        <v>1.3765307692491504</v>
      </c>
      <c r="K193" s="11">
        <f>(J193-$J$190)/($J$193-$J$190)</f>
        <v>1</v>
      </c>
      <c r="L193" s="15">
        <f t="shared" si="31"/>
        <v>1</v>
      </c>
      <c r="M193" s="15">
        <f t="shared" si="32"/>
        <v>0</v>
      </c>
      <c r="N193" s="15">
        <f t="shared" si="33"/>
        <v>1</v>
      </c>
    </row>
    <row r="194" spans="1:14" ht="18.75" x14ac:dyDescent="0.3">
      <c r="A194" s="54" t="s">
        <v>9</v>
      </c>
      <c r="B194" s="54"/>
      <c r="C194" s="14">
        <f>C190+$B$178*((2--2)*$I$174-2)</f>
        <v>1.5048195800117559</v>
      </c>
      <c r="D194" s="14">
        <f>D190+$B$178*((2--2)*$I$174-2)</f>
        <v>1.0722295835862621</v>
      </c>
      <c r="E194" s="14">
        <f>E190+$B$178*((2--2)*$I$174-2)</f>
        <v>0.64412138210822301</v>
      </c>
      <c r="F194" s="11">
        <v>0.48632774296026271</v>
      </c>
      <c r="G194" s="11">
        <v>0.77012318345797137</v>
      </c>
      <c r="H194" s="11">
        <v>0.56429650583756807</v>
      </c>
      <c r="I194" s="11">
        <v>0.42808879070859662</v>
      </c>
      <c r="J194" s="18">
        <f t="shared" si="30"/>
        <v>0.84384154789257204</v>
      </c>
      <c r="K194" s="11">
        <f>(J194-$J$190)/($J$193-$J$190)</f>
        <v>0.57949645706066666</v>
      </c>
      <c r="L194" s="15">
        <f t="shared" si="31"/>
        <v>1</v>
      </c>
      <c r="M194" s="15">
        <f t="shared" si="32"/>
        <v>0</v>
      </c>
      <c r="N194" s="15">
        <f t="shared" si="33"/>
        <v>0</v>
      </c>
    </row>
    <row r="196" spans="1:14" x14ac:dyDescent="0.25">
      <c r="A196" s="7" t="s">
        <v>18</v>
      </c>
      <c r="B196" s="3">
        <f>0.2+(11/20)*(0.8-0.2)</f>
        <v>0.53</v>
      </c>
    </row>
    <row r="197" spans="1:14" x14ac:dyDescent="0.25">
      <c r="A197" s="7" t="s">
        <v>19</v>
      </c>
      <c r="B197" s="3">
        <f>1-(11/20)</f>
        <v>0.44999999999999996</v>
      </c>
    </row>
    <row r="199" spans="1:14" x14ac:dyDescent="0.25">
      <c r="A199" s="43" t="s">
        <v>21</v>
      </c>
      <c r="B199" s="43"/>
      <c r="C199" s="43"/>
      <c r="D199" s="43"/>
      <c r="E199" s="43"/>
    </row>
    <row r="200" spans="1:14" ht="18.75" x14ac:dyDescent="0.3">
      <c r="A200" s="52" t="s">
        <v>2</v>
      </c>
      <c r="B200" s="52"/>
      <c r="C200" s="2" t="s">
        <v>3</v>
      </c>
      <c r="D200" s="2" t="s">
        <v>4</v>
      </c>
      <c r="E200" s="2" t="s">
        <v>5</v>
      </c>
      <c r="G200" s="49" t="s">
        <v>2</v>
      </c>
      <c r="H200" s="49"/>
      <c r="I200" s="19" t="s">
        <v>3</v>
      </c>
      <c r="J200" s="19" t="s">
        <v>4</v>
      </c>
      <c r="K200" s="19" t="s">
        <v>5</v>
      </c>
    </row>
    <row r="201" spans="1:14" ht="18.75" x14ac:dyDescent="0.3">
      <c r="A201" s="53" t="s">
        <v>10</v>
      </c>
      <c r="B201" s="53"/>
      <c r="C201" s="14">
        <v>0.72856509936624447</v>
      </c>
      <c r="D201" s="14">
        <v>0.29597510294075069</v>
      </c>
      <c r="E201" s="14">
        <v>-0.13213309853728838</v>
      </c>
      <c r="G201" s="54" t="s">
        <v>10</v>
      </c>
      <c r="H201" s="54"/>
      <c r="I201" s="14">
        <v>0.72856509936624447</v>
      </c>
      <c r="J201" s="14">
        <v>0.29597510294075069</v>
      </c>
      <c r="K201" s="14">
        <v>-0.13213309853728838</v>
      </c>
    </row>
    <row r="202" spans="1:14" ht="18.75" x14ac:dyDescent="0.3">
      <c r="A202" s="53" t="s">
        <v>8</v>
      </c>
      <c r="B202" s="53"/>
      <c r="C202" s="14">
        <v>0.90681088712613755</v>
      </c>
      <c r="D202" s="14">
        <v>0.47422089070064377</v>
      </c>
      <c r="E202" s="14">
        <v>4.6112689222604697E-2</v>
      </c>
      <c r="G202" s="54" t="s">
        <v>8</v>
      </c>
      <c r="H202" s="54"/>
      <c r="I202" s="14">
        <v>0.90681088712613755</v>
      </c>
      <c r="J202" s="14">
        <v>0.47422089070064377</v>
      </c>
      <c r="K202" s="14">
        <v>4.6112689222604697E-2</v>
      </c>
    </row>
    <row r="203" spans="1:14" ht="18.75" x14ac:dyDescent="0.3">
      <c r="A203" s="53" t="s">
        <v>7</v>
      </c>
      <c r="B203" s="53"/>
      <c r="C203" s="14">
        <v>1.1251322589217825</v>
      </c>
      <c r="D203" s="14">
        <v>0.6925422624962887</v>
      </c>
      <c r="E203" s="14">
        <v>0.26443406101824962</v>
      </c>
      <c r="G203" s="54" t="s">
        <v>7</v>
      </c>
      <c r="H203" s="54"/>
      <c r="I203" s="14">
        <v>1.1251322589217825</v>
      </c>
      <c r="J203" s="14">
        <v>0.6925422624962887</v>
      </c>
      <c r="K203" s="14">
        <v>0.26443406101824962</v>
      </c>
    </row>
    <row r="204" spans="1:14" ht="18.75" x14ac:dyDescent="0.3">
      <c r="A204" s="53" t="s">
        <v>9</v>
      </c>
      <c r="B204" s="53"/>
      <c r="C204" s="13">
        <v>0.90681088712613755</v>
      </c>
      <c r="D204" s="13">
        <v>0.70718446673721835</v>
      </c>
      <c r="E204" s="13">
        <v>-0.5902360557029267</v>
      </c>
      <c r="G204" s="54" t="s">
        <v>9</v>
      </c>
      <c r="H204" s="54"/>
      <c r="I204" s="14">
        <v>0.90681088712613755</v>
      </c>
      <c r="J204" s="14">
        <v>0.70718446673721835</v>
      </c>
      <c r="K204" s="14">
        <v>-0.5902360557029267</v>
      </c>
    </row>
    <row r="205" spans="1:14" ht="18.75" x14ac:dyDescent="0.3">
      <c r="A205" s="53" t="s">
        <v>6</v>
      </c>
      <c r="B205" s="53"/>
      <c r="C205" s="13">
        <v>0.27046214220060616</v>
      </c>
      <c r="D205" s="13">
        <v>-0.16212785422488762</v>
      </c>
      <c r="E205" s="13">
        <v>4.6112689222604697E-2</v>
      </c>
      <c r="G205" s="54" t="s">
        <v>6</v>
      </c>
      <c r="H205" s="54"/>
      <c r="I205" s="14">
        <v>0.27046214220060616</v>
      </c>
      <c r="J205" s="14">
        <v>-0.16212785422488762</v>
      </c>
      <c r="K205" s="14">
        <v>4.6112689222604697E-2</v>
      </c>
    </row>
    <row r="207" spans="1:14" x14ac:dyDescent="0.25">
      <c r="A207" s="67" t="s">
        <v>34</v>
      </c>
      <c r="B207" s="68"/>
      <c r="C207" s="68"/>
      <c r="D207" s="68"/>
      <c r="E207" s="68"/>
      <c r="F207" s="68"/>
      <c r="G207" s="68"/>
      <c r="H207" s="68"/>
      <c r="I207" s="68"/>
      <c r="J207" s="68"/>
      <c r="K207" s="68"/>
    </row>
    <row r="208" spans="1:14" ht="18.75" x14ac:dyDescent="0.3">
      <c r="A208" s="49" t="s">
        <v>2</v>
      </c>
      <c r="B208" s="49"/>
      <c r="C208" s="19" t="s">
        <v>3</v>
      </c>
      <c r="D208" s="19" t="s">
        <v>4</v>
      </c>
      <c r="E208" s="19" t="s">
        <v>5</v>
      </c>
      <c r="F208" s="2" t="s">
        <v>11</v>
      </c>
      <c r="G208" s="2" t="s">
        <v>12</v>
      </c>
      <c r="H208" s="2" t="s">
        <v>13</v>
      </c>
      <c r="I208" s="2" t="s">
        <v>16</v>
      </c>
      <c r="J208" s="2" t="s">
        <v>15</v>
      </c>
      <c r="K208" s="2" t="s">
        <v>17</v>
      </c>
      <c r="L208" s="2" t="s">
        <v>20</v>
      </c>
      <c r="M208" s="8" t="s">
        <v>12</v>
      </c>
      <c r="N208" s="8" t="s">
        <v>13</v>
      </c>
    </row>
    <row r="209" spans="1:14" ht="18.75" x14ac:dyDescent="0.3">
      <c r="A209" s="54" t="s">
        <v>10</v>
      </c>
      <c r="B209" s="54"/>
      <c r="C209" s="14">
        <v>0.72856509936624447</v>
      </c>
      <c r="D209" s="14">
        <v>0.29597510294075102</v>
      </c>
      <c r="E209" s="14">
        <v>-0.132133098537288</v>
      </c>
      <c r="F209" s="11">
        <v>6.1448412442191902E-2</v>
      </c>
      <c r="G209" s="11">
        <v>0.35121666317236844</v>
      </c>
      <c r="H209" s="11">
        <v>0.95914089593849583</v>
      </c>
      <c r="I209" s="11">
        <v>0.90095257572404308</v>
      </c>
      <c r="J209" s="18">
        <f>(C209/4)^2 + (D209/2)^2 + E209^2</f>
        <v>7.2534915120170809E-2</v>
      </c>
      <c r="K209" s="11">
        <f>(J209-$J$213)/($J$212-$J$213)</f>
        <v>0.11585878736373882</v>
      </c>
      <c r="L209" s="15">
        <f>IF(F209&lt;K209,1,0)</f>
        <v>1</v>
      </c>
      <c r="M209" s="15">
        <f>IF(G209&lt;$B$215,1,0)</f>
        <v>1</v>
      </c>
      <c r="N209" s="15">
        <f>IF(H209&lt;0.5,1,0)</f>
        <v>0</v>
      </c>
    </row>
    <row r="210" spans="1:14" ht="18.75" x14ac:dyDescent="0.3">
      <c r="A210" s="54" t="s">
        <v>8</v>
      </c>
      <c r="B210" s="54"/>
      <c r="C210" s="14">
        <v>0.90681088712613755</v>
      </c>
      <c r="D210" s="14">
        <v>0.47422089070064377</v>
      </c>
      <c r="E210" s="14">
        <v>4.6112689222604697E-2</v>
      </c>
      <c r="F210" s="11">
        <v>0.36144767964346047</v>
      </c>
      <c r="G210" s="11">
        <v>0.32666423564392177</v>
      </c>
      <c r="H210" s="11">
        <v>0.76488804075272221</v>
      </c>
      <c r="I210" s="11">
        <v>0.31186259578205333</v>
      </c>
      <c r="J210" s="18">
        <f t="shared" ref="J210:J213" si="34">(C210/4)^2 + (D210/2)^2 + E210^2</f>
        <v>0.10974186746472429</v>
      </c>
      <c r="K210" s="11">
        <f>(J210-$J$213)/($J$212-$J$213)</f>
        <v>0.18859530191034435</v>
      </c>
      <c r="L210" s="15">
        <f t="shared" ref="L210:L213" si="35">IF(F210&lt;K210,1,0)</f>
        <v>0</v>
      </c>
      <c r="M210" s="15">
        <f>IF(G210&lt;$B$215,1,0)</f>
        <v>1</v>
      </c>
      <c r="N210" s="15">
        <f t="shared" ref="N210:N213" si="36">IF(H210&lt;0.5,1,0)</f>
        <v>0</v>
      </c>
    </row>
    <row r="211" spans="1:14" ht="18.75" x14ac:dyDescent="0.3">
      <c r="A211" s="54" t="s">
        <v>7</v>
      </c>
      <c r="B211" s="54"/>
      <c r="C211" s="14">
        <v>1.1251322589217825</v>
      </c>
      <c r="D211" s="14">
        <v>0.6925422624962887</v>
      </c>
      <c r="E211" s="14">
        <v>0.26443406101825001</v>
      </c>
      <c r="F211" s="11">
        <v>0.91691131438296825</v>
      </c>
      <c r="G211" s="11">
        <v>0.34719111946993453</v>
      </c>
      <c r="H211" s="11">
        <v>0.3212130263115569</v>
      </c>
      <c r="I211" s="11">
        <v>0.93769305432126804</v>
      </c>
      <c r="J211" s="18">
        <f t="shared" si="34"/>
        <v>0.26894923146662525</v>
      </c>
      <c r="K211" s="11">
        <f>(J211-$J$213)/($J$212-$J$213)</f>
        <v>0.49983253092101726</v>
      </c>
      <c r="L211" s="15">
        <f t="shared" si="35"/>
        <v>0</v>
      </c>
      <c r="M211" s="15">
        <f>IF(G211&lt;$B$215,1,0)</f>
        <v>1</v>
      </c>
      <c r="N211" s="15">
        <f t="shared" si="36"/>
        <v>1</v>
      </c>
    </row>
    <row r="212" spans="1:14" ht="18.75" x14ac:dyDescent="0.3">
      <c r="A212" s="54" t="s">
        <v>9</v>
      </c>
      <c r="B212" s="54"/>
      <c r="C212" s="14">
        <v>0.90681088712613755</v>
      </c>
      <c r="D212" s="14">
        <v>0.70718446673721835</v>
      </c>
      <c r="E212" s="14">
        <v>-0.5902360557029267</v>
      </c>
      <c r="F212" s="11">
        <v>0.30225948315467244</v>
      </c>
      <c r="G212" s="11">
        <v>0.71147896649893927</v>
      </c>
      <c r="H212" s="11">
        <v>0.88598334385704136</v>
      </c>
      <c r="I212" s="11">
        <v>0.75928665155939745</v>
      </c>
      <c r="J212" s="18">
        <f t="shared" si="34"/>
        <v>0.52480019301350511</v>
      </c>
      <c r="K212" s="11">
        <f>(J212-$J$213)/($J$212-$J$213)</f>
        <v>1</v>
      </c>
      <c r="L212" s="15">
        <f t="shared" si="35"/>
        <v>1</v>
      </c>
      <c r="M212" s="15">
        <f>IF(G212&lt;$B$215,1,0)</f>
        <v>0</v>
      </c>
      <c r="N212" s="15">
        <f t="shared" si="36"/>
        <v>0</v>
      </c>
    </row>
    <row r="213" spans="1:14" ht="18.75" x14ac:dyDescent="0.3">
      <c r="A213" s="55" t="s">
        <v>6</v>
      </c>
      <c r="B213" s="55"/>
      <c r="C213" s="14">
        <v>0.27046214220060616</v>
      </c>
      <c r="D213" s="14">
        <v>-0.16212785422488762</v>
      </c>
      <c r="E213" s="14">
        <v>4.6112689222604697E-2</v>
      </c>
      <c r="F213" s="11">
        <v>0.17077423497984812</v>
      </c>
      <c r="G213" s="11">
        <v>0.71236923411168196</v>
      </c>
      <c r="H213" s="11">
        <v>0.70253853021880741</v>
      </c>
      <c r="I213" s="11">
        <v>0.18718836138492412</v>
      </c>
      <c r="J213" s="10">
        <f t="shared" si="34"/>
        <v>1.3269601033965933E-2</v>
      </c>
      <c r="K213" s="11">
        <f>(J213-$J$213)/($J$212-$J$213)</f>
        <v>0</v>
      </c>
      <c r="L213" s="15">
        <f t="shared" si="35"/>
        <v>0</v>
      </c>
      <c r="M213" s="15">
        <f>IF(G213&lt;$B$215,1,0)</f>
        <v>0</v>
      </c>
      <c r="N213" s="15">
        <f t="shared" si="36"/>
        <v>0</v>
      </c>
    </row>
    <row r="215" spans="1:14" x14ac:dyDescent="0.25">
      <c r="A215" s="7" t="s">
        <v>18</v>
      </c>
      <c r="B215" s="3">
        <f>0.2+(12/20)*(0.8-0.2)</f>
        <v>0.56000000000000005</v>
      </c>
    </row>
    <row r="216" spans="1:14" x14ac:dyDescent="0.25">
      <c r="A216" s="7" t="s">
        <v>19</v>
      </c>
      <c r="B216" s="3">
        <f>1-(12/20)</f>
        <v>0.4</v>
      </c>
    </row>
    <row r="218" spans="1:14" x14ac:dyDescent="0.25">
      <c r="A218" s="43" t="s">
        <v>21</v>
      </c>
      <c r="B218" s="43"/>
      <c r="C218" s="43"/>
      <c r="D218" s="43"/>
      <c r="E218" s="43"/>
    </row>
    <row r="219" spans="1:14" ht="18.75" x14ac:dyDescent="0.3">
      <c r="A219" s="52" t="s">
        <v>2</v>
      </c>
      <c r="B219" s="52"/>
      <c r="C219" s="2" t="s">
        <v>3</v>
      </c>
      <c r="D219" s="2" t="s">
        <v>4</v>
      </c>
      <c r="E219" s="2" t="s">
        <v>5</v>
      </c>
      <c r="G219" s="52" t="s">
        <v>2</v>
      </c>
      <c r="H219" s="52"/>
      <c r="I219" s="2" t="s">
        <v>3</v>
      </c>
      <c r="J219" s="2" t="s">
        <v>4</v>
      </c>
      <c r="K219" s="2" t="s">
        <v>5</v>
      </c>
    </row>
    <row r="220" spans="1:14" ht="18.75" x14ac:dyDescent="0.3">
      <c r="A220" s="53" t="s">
        <v>6</v>
      </c>
      <c r="B220" s="53"/>
      <c r="C220" s="14">
        <v>0.27046214220060599</v>
      </c>
      <c r="D220" s="14">
        <v>-0.16212785422488762</v>
      </c>
      <c r="E220" s="14">
        <v>4.6112689222604697E-2</v>
      </c>
      <c r="G220" s="53" t="s">
        <v>6</v>
      </c>
      <c r="H220" s="53"/>
      <c r="I220" s="14">
        <v>0.27046214220060599</v>
      </c>
      <c r="J220" s="14">
        <v>-0.16212785422488762</v>
      </c>
      <c r="K220" s="14">
        <v>4.6112689222604697E-2</v>
      </c>
    </row>
    <row r="221" spans="1:14" ht="18.75" x14ac:dyDescent="0.3">
      <c r="A221" s="53" t="s">
        <v>10</v>
      </c>
      <c r="B221" s="53"/>
      <c r="C221" s="13">
        <v>0.72856509936624447</v>
      </c>
      <c r="D221" s="13">
        <v>0.47422089070064377</v>
      </c>
      <c r="E221" s="13">
        <v>-0.5902360557029267</v>
      </c>
      <c r="G221" s="53" t="s">
        <v>10</v>
      </c>
      <c r="H221" s="53"/>
      <c r="I221" s="13">
        <v>-0.37106197895786286</v>
      </c>
      <c r="J221" s="13">
        <v>-0.80365197538335664</v>
      </c>
      <c r="K221" s="13">
        <v>-0.59541143193586432</v>
      </c>
    </row>
    <row r="222" spans="1:14" ht="18.75" x14ac:dyDescent="0.3">
      <c r="A222" s="53" t="s">
        <v>8</v>
      </c>
      <c r="B222" s="53"/>
      <c r="C222" s="14">
        <v>0.90681088712613755</v>
      </c>
      <c r="D222" s="14">
        <v>0.47422089070064377</v>
      </c>
      <c r="E222" s="14">
        <v>4.6112689222604697E-2</v>
      </c>
      <c r="G222" s="53" t="s">
        <v>8</v>
      </c>
      <c r="H222" s="53"/>
      <c r="I222" s="13">
        <v>-3.0557704548108522E-2</v>
      </c>
      <c r="J222" s="13">
        <v>-0.46314770097360231</v>
      </c>
      <c r="K222" s="13">
        <v>-0.25490715752610998</v>
      </c>
    </row>
    <row r="223" spans="1:14" ht="18.75" x14ac:dyDescent="0.3">
      <c r="A223" s="53" t="s">
        <v>7</v>
      </c>
      <c r="B223" s="53"/>
      <c r="C223" s="14">
        <v>1.1251322589217825</v>
      </c>
      <c r="D223" s="14">
        <v>0.6925422624962887</v>
      </c>
      <c r="E223" s="14">
        <v>0.26443406101824962</v>
      </c>
      <c r="G223" s="53" t="s">
        <v>7</v>
      </c>
      <c r="H223" s="53"/>
      <c r="I223" s="13">
        <v>0.97077102911463509</v>
      </c>
      <c r="J223" s="13">
        <v>0.5381810326891413</v>
      </c>
      <c r="K223" s="13">
        <v>0.74642157613663362</v>
      </c>
    </row>
    <row r="224" spans="1:14" ht="18.75" x14ac:dyDescent="0.3">
      <c r="A224" s="53" t="s">
        <v>9</v>
      </c>
      <c r="B224" s="53"/>
      <c r="C224" s="13">
        <v>0.27046214220060616</v>
      </c>
      <c r="D224" s="13">
        <v>0.29597510294075102</v>
      </c>
      <c r="E224" s="13">
        <v>0.26443406101825001</v>
      </c>
      <c r="G224" s="53" t="s">
        <v>9</v>
      </c>
      <c r="H224" s="53"/>
      <c r="I224" s="14">
        <v>0.27046214220060616</v>
      </c>
      <c r="J224" s="14">
        <v>0.29597510294075102</v>
      </c>
      <c r="K224" s="14">
        <v>0.26443406101825001</v>
      </c>
    </row>
    <row r="226" spans="1:14" x14ac:dyDescent="0.25">
      <c r="A226" s="67" t="s">
        <v>35</v>
      </c>
      <c r="B226" s="68"/>
      <c r="C226" s="68"/>
      <c r="D226" s="68"/>
      <c r="E226" s="68"/>
      <c r="F226" s="68"/>
      <c r="G226" s="68"/>
      <c r="H226" s="68"/>
      <c r="I226" s="68"/>
      <c r="J226" s="68"/>
      <c r="K226" s="68"/>
    </row>
    <row r="227" spans="1:14" ht="18.75" x14ac:dyDescent="0.3">
      <c r="A227" s="52" t="s">
        <v>2</v>
      </c>
      <c r="B227" s="52"/>
      <c r="C227" s="2" t="s">
        <v>3</v>
      </c>
      <c r="D227" s="2" t="s">
        <v>4</v>
      </c>
      <c r="E227" s="2" t="s">
        <v>5</v>
      </c>
      <c r="F227" s="2" t="s">
        <v>11</v>
      </c>
      <c r="G227" s="2" t="s">
        <v>12</v>
      </c>
      <c r="H227" s="2" t="s">
        <v>13</v>
      </c>
      <c r="I227" s="2" t="s">
        <v>16</v>
      </c>
      <c r="J227" s="2" t="s">
        <v>15</v>
      </c>
      <c r="K227" s="2" t="s">
        <v>17</v>
      </c>
      <c r="L227" s="2" t="s">
        <v>20</v>
      </c>
      <c r="M227" s="8" t="s">
        <v>12</v>
      </c>
      <c r="N227" s="8" t="s">
        <v>13</v>
      </c>
    </row>
    <row r="228" spans="1:14" ht="18.75" x14ac:dyDescent="0.3">
      <c r="A228" s="56" t="s">
        <v>6</v>
      </c>
      <c r="B228" s="56"/>
      <c r="C228" s="14">
        <v>0.27046214220060599</v>
      </c>
      <c r="D228" s="14">
        <v>-0.16212785422488762</v>
      </c>
      <c r="E228" s="14">
        <v>4.6112689222604697E-2</v>
      </c>
      <c r="F228" s="11">
        <v>0.35534463433331298</v>
      </c>
      <c r="G228" s="11">
        <v>0.61228877934037396</v>
      </c>
      <c r="H228" s="11">
        <v>0.96501980930680908</v>
      </c>
      <c r="I228" s="11">
        <v>0.22846319196743681</v>
      </c>
      <c r="J228" s="10">
        <f>(C228/4)^2 + (D228/2)^2 + E228^2</f>
        <v>1.3269601033965926E-2</v>
      </c>
      <c r="K228" s="11">
        <f>(J228-$J$213)/($J$231-$J$213)</f>
        <v>-1.0277025412751823E-17</v>
      </c>
      <c r="L228" s="15">
        <f>IF(F228&lt;K228,1,0)</f>
        <v>0</v>
      </c>
      <c r="M228" s="15">
        <f>IF(G228&lt;$B$234,1,0)</f>
        <v>0</v>
      </c>
      <c r="N228" s="15">
        <f>IF(H228&lt;0.5,1,0)</f>
        <v>0</v>
      </c>
    </row>
    <row r="229" spans="1:14" ht="18.75" x14ac:dyDescent="0.3">
      <c r="A229" s="53" t="s">
        <v>10</v>
      </c>
      <c r="B229" s="53"/>
      <c r="C229" s="14">
        <v>-0.37106197895786286</v>
      </c>
      <c r="D229" s="14">
        <v>-0.80365197538335664</v>
      </c>
      <c r="E229" s="14">
        <v>-0.59541143193586432</v>
      </c>
      <c r="F229" s="11">
        <v>0.70123859550464107</v>
      </c>
      <c r="G229" s="11">
        <v>0.18616019334044076</v>
      </c>
      <c r="H229" s="11">
        <v>0.43541861364659373</v>
      </c>
      <c r="I229" s="11">
        <v>0.60916068589782246</v>
      </c>
      <c r="J229" s="18">
        <f t="shared" ref="J229:J232" si="37">(C229/4)^2 + (D229/2)^2 + E229^2</f>
        <v>0.52458433467856702</v>
      </c>
      <c r="K229" s="11">
        <f>(J229-$J$213)/($J$231-$J$213)</f>
        <v>0.75729569933632612</v>
      </c>
      <c r="L229" s="15">
        <f t="shared" ref="L229:L232" si="38">IF(F229&lt;K229,1,0)</f>
        <v>1</v>
      </c>
      <c r="M229" s="15">
        <f>IF(G229&lt;$B$234,1,0)</f>
        <v>1</v>
      </c>
      <c r="N229" s="15">
        <f t="shared" ref="N229:N232" si="39">IF(H229&lt;0.5,1,0)</f>
        <v>1</v>
      </c>
    </row>
    <row r="230" spans="1:14" ht="18.75" x14ac:dyDescent="0.3">
      <c r="A230" s="53" t="s">
        <v>8</v>
      </c>
      <c r="B230" s="53"/>
      <c r="C230" s="14">
        <v>-3.0557704548108522E-2</v>
      </c>
      <c r="D230" s="14">
        <v>-0.46314770097360231</v>
      </c>
      <c r="E230" s="14">
        <v>-0.25490715752610998</v>
      </c>
      <c r="F230" s="11">
        <v>0.46797450612273073</v>
      </c>
      <c r="G230" s="11">
        <v>1.4582676940831485E-2</v>
      </c>
      <c r="H230" s="11">
        <v>0.35579716455223243</v>
      </c>
      <c r="I230" s="11">
        <v>0.41087710612005346</v>
      </c>
      <c r="J230" s="18">
        <f t="shared" si="37"/>
        <v>0.11866246801902749</v>
      </c>
      <c r="K230" s="11">
        <f>(J230-$J$213)/($J$231-$J$213)</f>
        <v>0.15609478791977957</v>
      </c>
      <c r="L230" s="15">
        <f t="shared" si="38"/>
        <v>0</v>
      </c>
      <c r="M230" s="15">
        <f>IF(G230&lt;$B$234,1,0)</f>
        <v>1</v>
      </c>
      <c r="N230" s="15">
        <f t="shared" si="39"/>
        <v>1</v>
      </c>
    </row>
    <row r="231" spans="1:14" ht="18.75" x14ac:dyDescent="0.3">
      <c r="A231" s="53" t="s">
        <v>7</v>
      </c>
      <c r="B231" s="53"/>
      <c r="C231" s="14">
        <v>0.97077102911463509</v>
      </c>
      <c r="D231" s="14">
        <v>0.5381810326891413</v>
      </c>
      <c r="E231" s="14">
        <v>0.74642157613663362</v>
      </c>
      <c r="F231" s="11">
        <v>0.44642640955717172</v>
      </c>
      <c r="G231" s="11">
        <v>0.46460164826235939</v>
      </c>
      <c r="H231" s="11">
        <v>0.4592517978162628</v>
      </c>
      <c r="I231" s="11">
        <v>0.1818256275372343</v>
      </c>
      <c r="J231" s="18">
        <f t="shared" si="37"/>
        <v>0.68845464974440196</v>
      </c>
      <c r="K231" s="11">
        <f>(J231-$J$213)/($J$231-$J$213)</f>
        <v>1</v>
      </c>
      <c r="L231" s="15">
        <f t="shared" si="38"/>
        <v>1</v>
      </c>
      <c r="M231" s="15">
        <f>IF(G231&lt;$B$234,1,0)</f>
        <v>1</v>
      </c>
      <c r="N231" s="15">
        <f t="shared" si="39"/>
        <v>1</v>
      </c>
    </row>
    <row r="232" spans="1:14" ht="18.75" x14ac:dyDescent="0.3">
      <c r="A232" s="53" t="s">
        <v>9</v>
      </c>
      <c r="B232" s="53"/>
      <c r="C232" s="14">
        <v>0.27046214220060616</v>
      </c>
      <c r="D232" s="14">
        <v>0.29597510294075102</v>
      </c>
      <c r="E232" s="14">
        <v>0.26443406101825001</v>
      </c>
      <c r="F232" s="11">
        <v>0.48632774296026271</v>
      </c>
      <c r="G232" s="11">
        <v>0.77012318345797137</v>
      </c>
      <c r="H232" s="11">
        <v>0.56429650583756807</v>
      </c>
      <c r="I232" s="11">
        <v>0.42808879070859662</v>
      </c>
      <c r="J232" s="18">
        <f t="shared" si="37"/>
        <v>9.6397548664534427E-2</v>
      </c>
      <c r="K232" s="11">
        <f>(J232-$J$213)/($J$231-$J$213)</f>
        <v>0.12311876246273228</v>
      </c>
      <c r="L232" s="15">
        <f t="shared" si="38"/>
        <v>0</v>
      </c>
      <c r="M232" s="15">
        <f>IF(G232&lt;$B$234,1,0)</f>
        <v>0</v>
      </c>
      <c r="N232" s="15">
        <f t="shared" si="39"/>
        <v>0</v>
      </c>
    </row>
    <row r="234" spans="1:14" x14ac:dyDescent="0.25">
      <c r="A234" s="7" t="s">
        <v>18</v>
      </c>
      <c r="B234" s="3">
        <f>0.2+(13/20)*(0.8-0.2)</f>
        <v>0.59000000000000008</v>
      </c>
    </row>
    <row r="235" spans="1:14" x14ac:dyDescent="0.25">
      <c r="A235" s="7" t="s">
        <v>19</v>
      </c>
      <c r="B235" s="3">
        <f>1-(13/20)</f>
        <v>0.35</v>
      </c>
    </row>
    <row r="237" spans="1:14" x14ac:dyDescent="0.25">
      <c r="A237" s="43" t="s">
        <v>21</v>
      </c>
      <c r="B237" s="43"/>
      <c r="C237" s="43"/>
      <c r="D237" s="43"/>
      <c r="E237" s="43"/>
    </row>
    <row r="238" spans="1:14" ht="18.75" x14ac:dyDescent="0.3">
      <c r="A238" s="52" t="s">
        <v>2</v>
      </c>
      <c r="B238" s="52"/>
      <c r="C238" s="2" t="s">
        <v>3</v>
      </c>
      <c r="D238" s="2" t="s">
        <v>4</v>
      </c>
      <c r="E238" s="2" t="s">
        <v>5</v>
      </c>
      <c r="G238" s="52" t="s">
        <v>2</v>
      </c>
      <c r="H238" s="52"/>
      <c r="I238" s="2" t="s">
        <v>3</v>
      </c>
      <c r="J238" s="2" t="s">
        <v>4</v>
      </c>
      <c r="K238" s="2" t="s">
        <v>5</v>
      </c>
    </row>
    <row r="239" spans="1:14" ht="18.75" x14ac:dyDescent="0.3">
      <c r="A239" s="53" t="s">
        <v>6</v>
      </c>
      <c r="B239" s="53"/>
      <c r="C239" s="14">
        <v>0.27046214220060599</v>
      </c>
      <c r="D239" s="14">
        <v>-0.16212785422488762</v>
      </c>
      <c r="E239" s="14">
        <v>4.6112689222604697E-2</v>
      </c>
      <c r="G239" s="53" t="s">
        <v>6</v>
      </c>
      <c r="H239" s="53"/>
      <c r="I239" s="14">
        <v>0.27046214220060599</v>
      </c>
      <c r="J239" s="14">
        <v>-0.16212785422488762</v>
      </c>
      <c r="K239" s="14">
        <v>4.6112689222604697E-2</v>
      </c>
    </row>
    <row r="240" spans="1:14" ht="18.75" x14ac:dyDescent="0.3">
      <c r="A240" s="53" t="s">
        <v>9</v>
      </c>
      <c r="B240" s="53"/>
      <c r="C240" s="14">
        <v>0.27046214220060616</v>
      </c>
      <c r="D240" s="14">
        <v>0.29597510294075102</v>
      </c>
      <c r="E240" s="14">
        <v>0.26443406101825001</v>
      </c>
      <c r="G240" s="53" t="s">
        <v>9</v>
      </c>
      <c r="H240" s="53"/>
      <c r="I240" s="14">
        <v>0.27046214220060616</v>
      </c>
      <c r="J240" s="14">
        <v>0.29597510294075102</v>
      </c>
      <c r="K240" s="14">
        <v>0.26443406101825001</v>
      </c>
    </row>
    <row r="241" spans="1:14" ht="18.75" x14ac:dyDescent="0.3">
      <c r="A241" s="53" t="s">
        <v>8</v>
      </c>
      <c r="B241" s="53"/>
      <c r="C241" s="14">
        <v>-3.0557704548108522E-2</v>
      </c>
      <c r="D241" s="14">
        <v>-0.46314770097360231</v>
      </c>
      <c r="E241" s="14">
        <v>-0.25490715752610998</v>
      </c>
      <c r="G241" s="53" t="s">
        <v>8</v>
      </c>
      <c r="H241" s="53"/>
      <c r="I241" s="20">
        <v>0.14569009076868084</v>
      </c>
      <c r="J241" s="20">
        <v>-0.28689990565681278</v>
      </c>
      <c r="K241" s="20">
        <v>-7.8659362209320446E-2</v>
      </c>
    </row>
    <row r="242" spans="1:14" ht="18.75" x14ac:dyDescent="0.3">
      <c r="A242" s="53" t="s">
        <v>10</v>
      </c>
      <c r="B242" s="53"/>
      <c r="C242" s="20">
        <v>-3.0557704548108522E-2</v>
      </c>
      <c r="D242" s="20">
        <v>-0.16212785422488762</v>
      </c>
      <c r="E242" s="20">
        <v>-0.25490715752610998</v>
      </c>
      <c r="G242" s="53" t="s">
        <v>10</v>
      </c>
      <c r="H242" s="53"/>
      <c r="I242" s="20">
        <v>0.42328710245755741</v>
      </c>
      <c r="J242" s="20">
        <v>-9.3028939679361822E-3</v>
      </c>
      <c r="K242" s="20">
        <v>0.19893764947955614</v>
      </c>
    </row>
    <row r="243" spans="1:14" ht="18.75" x14ac:dyDescent="0.3">
      <c r="A243" s="53" t="s">
        <v>7</v>
      </c>
      <c r="B243" s="53"/>
      <c r="C243" s="20">
        <v>0.27046214220060616</v>
      </c>
      <c r="D243" s="20">
        <v>0.29597510294075102</v>
      </c>
      <c r="E243" s="20">
        <v>0.26443406101825001</v>
      </c>
      <c r="G243" s="53" t="s">
        <v>7</v>
      </c>
      <c r="H243" s="53"/>
      <c r="I243" s="20">
        <v>-0.17498197924726594</v>
      </c>
      <c r="J243" s="20">
        <v>-0.60757197567275956</v>
      </c>
      <c r="K243" s="20">
        <v>-0.39933143222526724</v>
      </c>
    </row>
    <row r="245" spans="1:14" x14ac:dyDescent="0.25">
      <c r="A245" s="67" t="s">
        <v>36</v>
      </c>
      <c r="B245" s="68"/>
      <c r="C245" s="68"/>
      <c r="D245" s="68"/>
      <c r="E245" s="68"/>
      <c r="F245" s="68"/>
      <c r="G245" s="68"/>
      <c r="H245" s="68"/>
      <c r="I245" s="68"/>
      <c r="J245" s="68"/>
      <c r="K245" s="68"/>
    </row>
    <row r="246" spans="1:14" ht="18.75" x14ac:dyDescent="0.3">
      <c r="A246" s="52" t="s">
        <v>2</v>
      </c>
      <c r="B246" s="52"/>
      <c r="C246" s="2" t="s">
        <v>3</v>
      </c>
      <c r="D246" s="2" t="s">
        <v>4</v>
      </c>
      <c r="E246" s="2" t="s">
        <v>5</v>
      </c>
      <c r="F246" s="2" t="s">
        <v>11</v>
      </c>
      <c r="G246" s="2" t="s">
        <v>12</v>
      </c>
      <c r="H246" s="2" t="s">
        <v>13</v>
      </c>
      <c r="I246" s="2" t="s">
        <v>16</v>
      </c>
      <c r="J246" s="2" t="s">
        <v>15</v>
      </c>
      <c r="K246" s="2" t="s">
        <v>17</v>
      </c>
      <c r="L246" s="2" t="s">
        <v>20</v>
      </c>
      <c r="M246" s="8" t="s">
        <v>12</v>
      </c>
      <c r="N246" s="8" t="s">
        <v>13</v>
      </c>
    </row>
    <row r="247" spans="1:14" ht="18.75" x14ac:dyDescent="0.3">
      <c r="A247" s="56" t="s">
        <v>6</v>
      </c>
      <c r="B247" s="56"/>
      <c r="C247" s="14">
        <v>0.27046214220060599</v>
      </c>
      <c r="D247" s="14">
        <v>-0.16212785422488762</v>
      </c>
      <c r="E247" s="14">
        <v>4.6112689222604697E-2</v>
      </c>
      <c r="F247" s="11">
        <v>0.94316775046070422</v>
      </c>
      <c r="G247" s="11">
        <v>7.8152639649250566E-2</v>
      </c>
      <c r="H247" s="11">
        <v>0.5978060482738351</v>
      </c>
      <c r="I247" s="11">
        <v>0.62153382649483901</v>
      </c>
      <c r="J247" s="10">
        <f>(C247/4)^2 + (D247/2)^2 + E247^2</f>
        <v>1.3269601033965926E-2</v>
      </c>
      <c r="K247" s="11">
        <f>(J247-$J$213)/($J$251-$J$213)</f>
        <v>-2.8864481275809923E-17</v>
      </c>
      <c r="L247" s="15">
        <f>IF(F247&lt;K247,1,0)</f>
        <v>0</v>
      </c>
      <c r="M247" s="15">
        <f>IF(G247&lt;$B$253,1,0)</f>
        <v>1</v>
      </c>
      <c r="N247" s="15">
        <f>IF(H247&lt;0.5,1,0)</f>
        <v>0</v>
      </c>
    </row>
    <row r="248" spans="1:14" ht="18.75" x14ac:dyDescent="0.3">
      <c r="A248" s="53" t="s">
        <v>9</v>
      </c>
      <c r="B248" s="53"/>
      <c r="C248" s="14">
        <v>0.27046214220060616</v>
      </c>
      <c r="D248" s="14">
        <v>0.29597510294075102</v>
      </c>
      <c r="E248" s="14">
        <v>0.26443406101825001</v>
      </c>
      <c r="F248" s="11">
        <v>5.1892432399910815E-2</v>
      </c>
      <c r="G248" s="11">
        <v>0.77366335222720006</v>
      </c>
      <c r="H248" s="11">
        <v>0.55242959082997933</v>
      </c>
      <c r="I248" s="11">
        <v>0.99505471290346903</v>
      </c>
      <c r="J248" s="18">
        <f t="shared" ref="J248:J251" si="40">(C248/4)^2 + (D248/2)^2 + E248^2</f>
        <v>9.6397548664534427E-2</v>
      </c>
      <c r="K248" s="11">
        <f>(J248-$J$213)/($J$251-$J$213)</f>
        <v>0.34579648011737807</v>
      </c>
      <c r="L248" s="15">
        <f t="shared" ref="L248:L251" si="41">IF(F248&lt;K248,1,0)</f>
        <v>1</v>
      </c>
      <c r="M248" s="15">
        <f>IF(G248&lt;$B$253,1,0)</f>
        <v>0</v>
      </c>
      <c r="N248" s="15">
        <f t="shared" ref="N248:N251" si="42">IF(H248&lt;0.5,1,0)</f>
        <v>0</v>
      </c>
    </row>
    <row r="249" spans="1:14" ht="18.75" x14ac:dyDescent="0.3">
      <c r="A249" s="53" t="s">
        <v>8</v>
      </c>
      <c r="B249" s="53"/>
      <c r="C249" s="14">
        <v>0.14569009076868084</v>
      </c>
      <c r="D249" s="14">
        <v>-0.28689990565681278</v>
      </c>
      <c r="E249" s="14">
        <v>-7.8659362209320446E-2</v>
      </c>
      <c r="F249" s="11">
        <v>0.14219810014823397</v>
      </c>
      <c r="G249" s="11">
        <v>5.7173682421241323E-2</v>
      </c>
      <c r="H249" s="11">
        <v>0.55796265747424922</v>
      </c>
      <c r="I249" s="11">
        <v>1.811400011739972E-2</v>
      </c>
      <c r="J249" s="18">
        <f t="shared" si="40"/>
        <v>2.8091784388910742E-2</v>
      </c>
      <c r="K249" s="11">
        <f>(J249-$J$213)/($J$251-$J$213)</f>
        <v>6.1657468732086551E-2</v>
      </c>
      <c r="L249" s="15">
        <f t="shared" si="41"/>
        <v>0</v>
      </c>
      <c r="M249" s="15">
        <f>IF(G249&lt;$B$253,1,0)</f>
        <v>1</v>
      </c>
      <c r="N249" s="15">
        <f t="shared" si="42"/>
        <v>0</v>
      </c>
    </row>
    <row r="250" spans="1:14" ht="18.75" x14ac:dyDescent="0.3">
      <c r="A250" s="53" t="s">
        <v>10</v>
      </c>
      <c r="B250" s="53"/>
      <c r="C250" s="14">
        <v>0.42328710245755741</v>
      </c>
      <c r="D250" s="14">
        <v>-9.3028939679361822E-3</v>
      </c>
      <c r="E250" s="14">
        <v>0.19893764947955614</v>
      </c>
      <c r="F250" s="11">
        <v>8.3623630989732578E-2</v>
      </c>
      <c r="G250" s="11">
        <v>0.82486167393677456</v>
      </c>
      <c r="H250" s="11">
        <v>2.2035809767033343E-2</v>
      </c>
      <c r="I250" s="11">
        <v>0.87083764434317079</v>
      </c>
      <c r="J250" s="18">
        <f t="shared" si="40"/>
        <v>5.0796072533677579E-2</v>
      </c>
      <c r="K250" s="11">
        <f>(J250-$J$213)/($J$251-$J$213)</f>
        <v>0.15610299695470359</v>
      </c>
      <c r="L250" s="15">
        <f t="shared" si="41"/>
        <v>1</v>
      </c>
      <c r="M250" s="15">
        <f>IF(G250&lt;$B$253,1,0)</f>
        <v>0</v>
      </c>
      <c r="N250" s="15">
        <f t="shared" si="42"/>
        <v>1</v>
      </c>
    </row>
    <row r="251" spans="1:14" ht="18.75" x14ac:dyDescent="0.3">
      <c r="A251" s="53" t="s">
        <v>7</v>
      </c>
      <c r="B251" s="53"/>
      <c r="C251" s="14">
        <v>-0.17498197924726594</v>
      </c>
      <c r="D251" s="14">
        <v>-0.60757197567275956</v>
      </c>
      <c r="E251" s="14">
        <v>-0.39933143222526724</v>
      </c>
      <c r="F251" s="11">
        <v>0.48775758154667792</v>
      </c>
      <c r="G251" s="11">
        <v>0.59259714431764166</v>
      </c>
      <c r="H251" s="11">
        <v>5.2869119986131641E-2</v>
      </c>
      <c r="I251" s="11">
        <v>0.32067632024293458</v>
      </c>
      <c r="J251" s="18">
        <f t="shared" si="40"/>
        <v>0.25366518748513894</v>
      </c>
      <c r="K251" s="11">
        <f>(J251-$J$213)/($J$251-$J$213)</f>
        <v>1</v>
      </c>
      <c r="L251" s="15">
        <f t="shared" si="41"/>
        <v>1</v>
      </c>
      <c r="M251" s="15">
        <f>IF(G251&lt;$B$253,1,0)</f>
        <v>1</v>
      </c>
      <c r="N251" s="15">
        <f t="shared" si="42"/>
        <v>1</v>
      </c>
    </row>
    <row r="253" spans="1:14" x14ac:dyDescent="0.25">
      <c r="A253" s="7" t="s">
        <v>18</v>
      </c>
      <c r="B253" s="3">
        <f>0.2+(14/20)*(0.8-0.2)</f>
        <v>0.62000000000000011</v>
      </c>
    </row>
    <row r="254" spans="1:14" x14ac:dyDescent="0.25">
      <c r="A254" s="7" t="s">
        <v>19</v>
      </c>
      <c r="B254" s="3">
        <f>1-(14/20)</f>
        <v>0.30000000000000004</v>
      </c>
    </row>
    <row r="256" spans="1:14" x14ac:dyDescent="0.25">
      <c r="A256" s="43" t="s">
        <v>21</v>
      </c>
      <c r="B256" s="43"/>
      <c r="C256" s="43"/>
      <c r="D256" s="43"/>
      <c r="E256" s="43"/>
    </row>
    <row r="257" spans="1:14" ht="18.75" x14ac:dyDescent="0.3">
      <c r="A257" s="52" t="s">
        <v>2</v>
      </c>
      <c r="B257" s="52"/>
      <c r="C257" s="2" t="s">
        <v>3</v>
      </c>
      <c r="D257" s="2" t="s">
        <v>4</v>
      </c>
      <c r="E257" s="2" t="s">
        <v>5</v>
      </c>
      <c r="G257" s="52" t="s">
        <v>2</v>
      </c>
      <c r="H257" s="52"/>
      <c r="I257" s="2" t="s">
        <v>3</v>
      </c>
      <c r="J257" s="2" t="s">
        <v>4</v>
      </c>
      <c r="K257" s="2" t="s">
        <v>5</v>
      </c>
    </row>
    <row r="258" spans="1:14" ht="18.75" x14ac:dyDescent="0.3">
      <c r="A258" s="53" t="s">
        <v>6</v>
      </c>
      <c r="B258" s="53"/>
      <c r="C258" s="14">
        <v>0.27046214220060599</v>
      </c>
      <c r="D258" s="14">
        <v>-0.16212785422488762</v>
      </c>
      <c r="E258" s="14">
        <v>4.6112689222604697E-2</v>
      </c>
      <c r="G258" s="53" t="s">
        <v>6</v>
      </c>
      <c r="H258" s="53"/>
      <c r="I258" s="13">
        <v>0.12462155040679915</v>
      </c>
      <c r="J258" s="13">
        <v>-0.30796844601869444</v>
      </c>
      <c r="K258" s="13">
        <v>-9.9727902571202148E-2</v>
      </c>
    </row>
    <row r="259" spans="1:14" ht="18.75" x14ac:dyDescent="0.3">
      <c r="A259" s="53" t="s">
        <v>8</v>
      </c>
      <c r="B259" s="53"/>
      <c r="C259" s="14">
        <v>0.27046214220060616</v>
      </c>
      <c r="D259" s="14">
        <v>0.29597510294075102</v>
      </c>
      <c r="E259" s="14">
        <v>0.26443406101825001</v>
      </c>
      <c r="G259" s="53" t="s">
        <v>8</v>
      </c>
      <c r="H259" s="53"/>
      <c r="I259" s="13">
        <v>-0.30780105765851445</v>
      </c>
      <c r="J259" s="13">
        <v>-0.74039105408400807</v>
      </c>
      <c r="K259" s="13">
        <v>-0.53215051063651575</v>
      </c>
    </row>
    <row r="260" spans="1:14" ht="18.75" x14ac:dyDescent="0.3">
      <c r="A260" s="53" t="s">
        <v>10</v>
      </c>
      <c r="B260" s="53"/>
      <c r="C260" s="13">
        <v>-0.17498197924726594</v>
      </c>
      <c r="D260" s="13">
        <v>0.29597510294075102</v>
      </c>
      <c r="E260" s="13">
        <v>-7.8659362209320446E-2</v>
      </c>
      <c r="G260" s="53" t="s">
        <v>10</v>
      </c>
      <c r="H260" s="53"/>
      <c r="I260" s="14">
        <v>-0.17498197924726594</v>
      </c>
      <c r="J260" s="14">
        <v>0.29597510294075102</v>
      </c>
      <c r="K260" s="14">
        <v>-7.8659362209320446E-2</v>
      </c>
    </row>
    <row r="261" spans="1:14" ht="18.75" x14ac:dyDescent="0.3">
      <c r="A261" s="53" t="s">
        <v>9</v>
      </c>
      <c r="B261" s="53"/>
      <c r="C261" s="13">
        <v>0.42328710245755741</v>
      </c>
      <c r="D261" s="13">
        <v>-0.60757197567275956</v>
      </c>
      <c r="E261" s="13">
        <v>4.6112689222604697E-2</v>
      </c>
      <c r="G261" s="53" t="s">
        <v>9</v>
      </c>
      <c r="H261" s="53"/>
      <c r="I261" s="14">
        <v>0.42328710245755741</v>
      </c>
      <c r="J261" s="14">
        <v>-0.60757197567275956</v>
      </c>
      <c r="K261" s="14">
        <v>4.6112689222604697E-2</v>
      </c>
    </row>
    <row r="262" spans="1:14" ht="18.75" x14ac:dyDescent="0.3">
      <c r="A262" s="53" t="s">
        <v>7</v>
      </c>
      <c r="B262" s="53"/>
      <c r="C262" s="13">
        <v>0.27046214220060599</v>
      </c>
      <c r="D262" s="13">
        <v>-0.16212785422488762</v>
      </c>
      <c r="E262" s="13">
        <v>-7.8659362209320446E-2</v>
      </c>
      <c r="G262" s="53" t="s">
        <v>7</v>
      </c>
      <c r="H262" s="53"/>
      <c r="I262" s="13">
        <v>5.5273726492127445E-2</v>
      </c>
      <c r="J262" s="13">
        <v>-0.3773162699333662</v>
      </c>
      <c r="K262" s="13">
        <v>-0.16907572648587385</v>
      </c>
    </row>
    <row r="264" spans="1:14" x14ac:dyDescent="0.25">
      <c r="A264" s="67" t="s">
        <v>37</v>
      </c>
      <c r="B264" s="68"/>
      <c r="C264" s="68"/>
      <c r="D264" s="68"/>
      <c r="E264" s="68"/>
      <c r="F264" s="68"/>
      <c r="G264" s="68"/>
      <c r="H264" s="68"/>
      <c r="I264" s="68"/>
      <c r="J264" s="68"/>
      <c r="K264" s="68"/>
    </row>
    <row r="265" spans="1:14" ht="18.75" x14ac:dyDescent="0.3">
      <c r="A265" s="52" t="s">
        <v>2</v>
      </c>
      <c r="B265" s="52"/>
      <c r="C265" s="2" t="s">
        <v>3</v>
      </c>
      <c r="D265" s="2" t="s">
        <v>4</v>
      </c>
      <c r="E265" s="2" t="s">
        <v>5</v>
      </c>
      <c r="F265" s="2" t="s">
        <v>11</v>
      </c>
      <c r="G265" s="2" t="s">
        <v>12</v>
      </c>
      <c r="H265" s="2" t="s">
        <v>13</v>
      </c>
      <c r="I265" s="2" t="s">
        <v>16</v>
      </c>
      <c r="J265" s="2" t="s">
        <v>15</v>
      </c>
      <c r="K265" s="2" t="s">
        <v>17</v>
      </c>
      <c r="L265" s="2" t="s">
        <v>20</v>
      </c>
      <c r="M265" s="8" t="s">
        <v>12</v>
      </c>
      <c r="N265" s="8" t="s">
        <v>13</v>
      </c>
    </row>
    <row r="266" spans="1:14" ht="18.75" x14ac:dyDescent="0.3">
      <c r="A266" s="54" t="s">
        <v>6</v>
      </c>
      <c r="B266" s="54"/>
      <c r="C266" s="14">
        <v>0.12462155040679915</v>
      </c>
      <c r="D266" s="14">
        <v>-0.30796844601869444</v>
      </c>
      <c r="E266" s="14">
        <v>-9.9727902571202148E-2</v>
      </c>
      <c r="F266" s="11">
        <v>0.16009299129492305</v>
      </c>
      <c r="G266" s="11">
        <v>0.47103083171931748</v>
      </c>
      <c r="H266" s="11">
        <v>2.6174954580127974E-2</v>
      </c>
      <c r="I266" s="11">
        <v>0.7731500286724573</v>
      </c>
      <c r="J266" s="18">
        <f>(C266/4)^2 + (D266/2)^2 + E266^2</f>
        <v>3.4627453663655716E-2</v>
      </c>
      <c r="K266" s="11">
        <f>(J266-$J$268)/($J$267-$J$268)</f>
        <v>1.1677866609092181E-2</v>
      </c>
      <c r="L266" s="15">
        <f>IF(F266&lt;K266,1,0)</f>
        <v>0</v>
      </c>
      <c r="M266" s="15" t="e">
        <f>IF(G266&lt;#REF!,1,0)</f>
        <v>#REF!</v>
      </c>
      <c r="N266" s="15">
        <f>IF(H266&lt;0.5,1,0)</f>
        <v>1</v>
      </c>
    </row>
    <row r="267" spans="1:14" ht="18.75" x14ac:dyDescent="0.3">
      <c r="A267" s="54" t="s">
        <v>8</v>
      </c>
      <c r="B267" s="54"/>
      <c r="C267" s="14">
        <v>-0.30780105765851445</v>
      </c>
      <c r="D267" s="14">
        <v>-0.74039105408400807</v>
      </c>
      <c r="E267" s="14">
        <v>-0.53215051063651575</v>
      </c>
      <c r="F267" s="11">
        <v>0.3849960148186492</v>
      </c>
      <c r="G267" s="11">
        <v>0.39224678899846821</v>
      </c>
      <c r="H267" s="11">
        <v>0.29118958069448264</v>
      </c>
      <c r="I267" s="11">
        <v>0.43827759000712219</v>
      </c>
      <c r="J267" s="18">
        <f t="shared" ref="J267:J270" si="43">(C267/4)^2 + (D267/2)^2 + E267^2</f>
        <v>0.42615023740609281</v>
      </c>
      <c r="K267" s="11">
        <f>(J267-$J$268)/($J$267-$J$268)</f>
        <v>1</v>
      </c>
      <c r="L267" s="15">
        <f t="shared" ref="L267:L270" si="44">IF(F267&lt;K267,1,0)</f>
        <v>1</v>
      </c>
      <c r="M267" s="15" t="e">
        <f>IF(G267&lt;#REF!,1,0)</f>
        <v>#REF!</v>
      </c>
      <c r="N267" s="15">
        <f t="shared" ref="N267:N270" si="45">IF(H267&lt;0.5,1,0)</f>
        <v>1</v>
      </c>
    </row>
    <row r="268" spans="1:14" ht="18.75" x14ac:dyDescent="0.3">
      <c r="A268" s="55" t="s">
        <v>10</v>
      </c>
      <c r="B268" s="55"/>
      <c r="C268" s="14">
        <v>-0.17498197924726594</v>
      </c>
      <c r="D268" s="14">
        <v>0.29597510294075102</v>
      </c>
      <c r="E268" s="14">
        <v>-7.8659362209320446E-2</v>
      </c>
      <c r="F268" s="11">
        <v>0.40950979488945016</v>
      </c>
      <c r="G268" s="11">
        <v>0.62803331796547524</v>
      </c>
      <c r="H268" s="11">
        <v>0.68278545423707337</v>
      </c>
      <c r="I268" s="11">
        <v>0.19189878345109546</v>
      </c>
      <c r="J268" s="10">
        <f t="shared" si="43"/>
        <v>3.0001278969704774E-2</v>
      </c>
      <c r="K268" s="11">
        <f>(J268-$J$268)/($J$267-$J$268)</f>
        <v>0</v>
      </c>
      <c r="L268" s="15">
        <f t="shared" si="44"/>
        <v>0</v>
      </c>
      <c r="M268" s="15" t="e">
        <f>IF(G268&lt;#REF!,1,0)</f>
        <v>#REF!</v>
      </c>
      <c r="N268" s="15">
        <f t="shared" si="45"/>
        <v>0</v>
      </c>
    </row>
    <row r="269" spans="1:14" ht="18.75" x14ac:dyDescent="0.3">
      <c r="A269" s="54" t="s">
        <v>9</v>
      </c>
      <c r="B269" s="54"/>
      <c r="C269" s="14">
        <v>0.42328710245755741</v>
      </c>
      <c r="D269" s="14">
        <v>-0.60757197567275956</v>
      </c>
      <c r="E269" s="14">
        <v>4.6112689222604697E-2</v>
      </c>
      <c r="F269" s="11">
        <v>0.13169676022961407</v>
      </c>
      <c r="G269" s="11">
        <v>0.50426998377774923</v>
      </c>
      <c r="H269" s="11">
        <v>0.18619330565251524</v>
      </c>
      <c r="I269" s="11">
        <v>0.18978990864464351</v>
      </c>
      <c r="J269" s="18">
        <f t="shared" si="43"/>
        <v>0.10561055470724777</v>
      </c>
      <c r="K269" s="11">
        <f>(J269-$J$268)/($J$267-$J$268)</f>
        <v>0.1908607207651766</v>
      </c>
      <c r="L269" s="15">
        <f t="shared" si="44"/>
        <v>1</v>
      </c>
      <c r="M269" s="15" t="e">
        <f>IF(G269&lt;#REF!,1,0)</f>
        <v>#REF!</v>
      </c>
      <c r="N269" s="15">
        <f t="shared" si="45"/>
        <v>1</v>
      </c>
    </row>
    <row r="270" spans="1:14" ht="18.75" x14ac:dyDescent="0.3">
      <c r="A270" s="54" t="s">
        <v>7</v>
      </c>
      <c r="B270" s="54"/>
      <c r="C270" s="14">
        <v>5.5273726492127445E-2</v>
      </c>
      <c r="D270" s="14">
        <v>-0.3773162699333662</v>
      </c>
      <c r="E270" s="14">
        <v>-0.16907572648587385</v>
      </c>
      <c r="F270" s="11">
        <v>0.68777495770398345</v>
      </c>
      <c r="G270" s="11">
        <v>0.45723307215644182</v>
      </c>
      <c r="H270" s="11">
        <v>0.25526026435405214</v>
      </c>
      <c r="I270" s="11">
        <v>0.81760703007292623</v>
      </c>
      <c r="J270" s="18">
        <f t="shared" si="43"/>
        <v>6.4369442228353654E-2</v>
      </c>
      <c r="K270" s="11">
        <f>(J270-$J$268)/($J$267-$J$268)</f>
        <v>8.6755657251507273E-2</v>
      </c>
      <c r="L270" s="15">
        <f t="shared" si="44"/>
        <v>0</v>
      </c>
      <c r="M270" s="15" t="e">
        <f>IF(G270&lt;#REF!,1,0)</f>
        <v>#REF!</v>
      </c>
      <c r="N270" s="15">
        <f t="shared" si="45"/>
        <v>1</v>
      </c>
    </row>
    <row r="272" spans="1:14" x14ac:dyDescent="0.25">
      <c r="A272" s="7" t="s">
        <v>18</v>
      </c>
      <c r="B272" s="3">
        <f>0.2+(15/20)*(0.8-0.2)</f>
        <v>0.65000000000000013</v>
      </c>
    </row>
    <row r="273" spans="1:14" x14ac:dyDescent="0.25">
      <c r="A273" s="7" t="s">
        <v>19</v>
      </c>
      <c r="B273" s="3">
        <f>1-(15/20)</f>
        <v>0.25</v>
      </c>
    </row>
    <row r="274" spans="1:14" x14ac:dyDescent="0.25">
      <c r="A274" s="43" t="s">
        <v>21</v>
      </c>
      <c r="B274" s="43"/>
      <c r="C274" s="43"/>
      <c r="D274" s="43"/>
      <c r="E274" s="43"/>
    </row>
    <row r="275" spans="1:14" ht="18.75" x14ac:dyDescent="0.3">
      <c r="A275" s="52" t="s">
        <v>2</v>
      </c>
      <c r="B275" s="52"/>
      <c r="C275" s="2" t="s">
        <v>3</v>
      </c>
      <c r="D275" s="2" t="s">
        <v>4</v>
      </c>
      <c r="E275" s="2" t="s">
        <v>5</v>
      </c>
      <c r="G275" s="52" t="s">
        <v>2</v>
      </c>
      <c r="H275" s="52"/>
      <c r="I275" s="2" t="s">
        <v>3</v>
      </c>
      <c r="J275" s="2" t="s">
        <v>4</v>
      </c>
      <c r="K275" s="2" t="s">
        <v>5</v>
      </c>
    </row>
    <row r="276" spans="1:14" ht="18.75" x14ac:dyDescent="0.3">
      <c r="A276" s="41" t="s">
        <v>6</v>
      </c>
      <c r="B276" s="42"/>
      <c r="C276" s="14">
        <v>0.12462155040679915</v>
      </c>
      <c r="D276" s="14">
        <v>-0.30796844601869444</v>
      </c>
      <c r="E276" s="14">
        <v>-9.9727902571202148E-2</v>
      </c>
      <c r="G276" s="41" t="s">
        <v>6</v>
      </c>
      <c r="H276" s="42"/>
      <c r="I276" s="14">
        <v>0.12462155040679915</v>
      </c>
      <c r="J276" s="14">
        <v>-0.30796844601869444</v>
      </c>
      <c r="K276" s="14">
        <v>-9.9727902571202148E-2</v>
      </c>
    </row>
    <row r="277" spans="1:14" ht="18.75" x14ac:dyDescent="0.3">
      <c r="A277" s="41" t="s">
        <v>8</v>
      </c>
      <c r="B277" s="42"/>
      <c r="C277" s="13">
        <v>-0.17498197924726594</v>
      </c>
      <c r="D277" s="13">
        <v>-0.30796844601869444</v>
      </c>
      <c r="E277" s="13">
        <v>4.6112689222604697E-2</v>
      </c>
      <c r="G277" s="41" t="s">
        <v>8</v>
      </c>
      <c r="H277" s="42"/>
      <c r="I277" s="14">
        <v>-0.17498197924726594</v>
      </c>
      <c r="J277" s="14">
        <v>-0.30796844601869444</v>
      </c>
      <c r="K277" s="14">
        <v>4.6112689222604697E-2</v>
      </c>
    </row>
    <row r="278" spans="1:14" ht="18.75" x14ac:dyDescent="0.3">
      <c r="A278" s="41" t="s">
        <v>10</v>
      </c>
      <c r="B278" s="42"/>
      <c r="C278" s="14">
        <v>-0.17498197924726594</v>
      </c>
      <c r="D278" s="14">
        <v>0.29597510294075102</v>
      </c>
      <c r="E278" s="14">
        <v>-7.8659362209320446E-2</v>
      </c>
      <c r="G278" s="41" t="s">
        <v>10</v>
      </c>
      <c r="H278" s="42"/>
      <c r="I278" s="14">
        <v>-0.17498197924726594</v>
      </c>
      <c r="J278" s="14">
        <v>0.29597510294075102</v>
      </c>
      <c r="K278" s="14">
        <v>-7.8659362209320446E-2</v>
      </c>
    </row>
    <row r="279" spans="1:14" ht="18.75" x14ac:dyDescent="0.3">
      <c r="A279" s="41" t="s">
        <v>9</v>
      </c>
      <c r="B279" s="42"/>
      <c r="C279" s="13">
        <v>5.5273726492127397E-2</v>
      </c>
      <c r="D279" s="13">
        <v>-0.74039105408400796</v>
      </c>
      <c r="E279" s="13">
        <v>-0.53215051063651575</v>
      </c>
      <c r="G279" s="41" t="s">
        <v>9</v>
      </c>
      <c r="H279" s="42"/>
      <c r="I279" s="14">
        <v>5.5273726492127397E-2</v>
      </c>
      <c r="J279" s="14">
        <v>-0.74039105408400796</v>
      </c>
      <c r="K279" s="14">
        <v>-0.53215051063651575</v>
      </c>
    </row>
    <row r="280" spans="1:14" ht="18.75" x14ac:dyDescent="0.3">
      <c r="A280" s="41" t="s">
        <v>7</v>
      </c>
      <c r="B280" s="42"/>
      <c r="C280" s="14">
        <v>5.5273726492127445E-2</v>
      </c>
      <c r="D280" s="14">
        <v>-0.3773162699333662</v>
      </c>
      <c r="E280" s="14">
        <v>-0.16907572648587385</v>
      </c>
      <c r="G280" s="41" t="s">
        <v>7</v>
      </c>
      <c r="H280" s="42"/>
      <c r="I280" s="14">
        <v>5.5273726492127445E-2</v>
      </c>
      <c r="J280" s="14">
        <v>-0.3773162699333662</v>
      </c>
      <c r="K280" s="14">
        <v>-0.16907572648587385</v>
      </c>
    </row>
    <row r="282" spans="1:14" x14ac:dyDescent="0.25">
      <c r="A282" s="67" t="s">
        <v>38</v>
      </c>
      <c r="B282" s="68"/>
      <c r="C282" s="68"/>
      <c r="D282" s="68"/>
      <c r="E282" s="68"/>
      <c r="F282" s="68"/>
      <c r="G282" s="68"/>
      <c r="H282" s="68"/>
      <c r="I282" s="68"/>
      <c r="J282" s="68"/>
      <c r="K282" s="68"/>
    </row>
    <row r="283" spans="1:14" ht="18.75" x14ac:dyDescent="0.3">
      <c r="A283" s="52" t="s">
        <v>2</v>
      </c>
      <c r="B283" s="52"/>
      <c r="C283" s="2" t="s">
        <v>3</v>
      </c>
      <c r="D283" s="2" t="s">
        <v>4</v>
      </c>
      <c r="E283" s="2" t="s">
        <v>5</v>
      </c>
      <c r="F283" s="2" t="s">
        <v>11</v>
      </c>
      <c r="G283" s="2" t="s">
        <v>12</v>
      </c>
      <c r="H283" s="2" t="s">
        <v>13</v>
      </c>
      <c r="I283" s="2" t="s">
        <v>16</v>
      </c>
      <c r="J283" s="2" t="s">
        <v>15</v>
      </c>
      <c r="K283" s="2" t="s">
        <v>17</v>
      </c>
      <c r="L283" s="2" t="s">
        <v>20</v>
      </c>
      <c r="M283" s="8" t="s">
        <v>12</v>
      </c>
      <c r="N283" s="8" t="s">
        <v>13</v>
      </c>
    </row>
    <row r="284" spans="1:14" ht="18.75" x14ac:dyDescent="0.3">
      <c r="A284" s="41" t="s">
        <v>6</v>
      </c>
      <c r="B284" s="42"/>
      <c r="C284" s="14">
        <v>0.12462155040679915</v>
      </c>
      <c r="D284" s="14">
        <v>-0.30796844601869444</v>
      </c>
      <c r="E284" s="14">
        <v>-9.9727902571202148E-2</v>
      </c>
      <c r="F284" s="11">
        <v>0.16009299129492305</v>
      </c>
      <c r="G284" s="11">
        <v>0.47103083171931748</v>
      </c>
      <c r="H284" s="11">
        <v>2.6174954580127974E-2</v>
      </c>
      <c r="I284" s="11">
        <v>0.7731500286724573</v>
      </c>
      <c r="J284" s="18">
        <f>(C284/4)^2 + (D284/2)^2 + E284^2</f>
        <v>3.4627453663655716E-2</v>
      </c>
      <c r="K284" s="11">
        <f>(J284-$J$285)/($J$287-$J$285)</f>
        <v>1.751162013009587E-2</v>
      </c>
      <c r="L284" s="15">
        <f>IF(F284&lt;K284,1,0)</f>
        <v>0</v>
      </c>
      <c r="M284" s="15">
        <f>IF(G284&lt;$B$290,1,0)</f>
        <v>1</v>
      </c>
      <c r="N284" s="15">
        <f>IF(H284&lt;0.5,1,0)</f>
        <v>1</v>
      </c>
    </row>
    <row r="285" spans="1:14" ht="18.75" x14ac:dyDescent="0.3">
      <c r="A285" s="39" t="s">
        <v>8</v>
      </c>
      <c r="B285" s="40"/>
      <c r="C285" s="14">
        <v>-0.17498197924726594</v>
      </c>
      <c r="D285" s="14">
        <v>-0.30796844601869444</v>
      </c>
      <c r="E285" s="14">
        <v>4.6112689222604697E-2</v>
      </c>
      <c r="F285" s="11">
        <v>0.3849960148186492</v>
      </c>
      <c r="G285" s="11">
        <v>0.39224678899846821</v>
      </c>
      <c r="H285" s="11">
        <v>0.29118958069448264</v>
      </c>
      <c r="I285" s="11">
        <v>0.43827759000712219</v>
      </c>
      <c r="J285" s="10">
        <f t="shared" ref="J285:J288" si="46">(C285/4)^2 + (D285/2)^2 + E285^2</f>
        <v>2.7751189359463566E-2</v>
      </c>
      <c r="K285" s="11">
        <f>(J285-$J$285)/($J$287-$J$285)</f>
        <v>0</v>
      </c>
      <c r="L285" s="15">
        <f t="shared" ref="L285:L288" si="47">IF(F285&lt;K285,1,0)</f>
        <v>0</v>
      </c>
      <c r="M285" s="15">
        <f>IF(G285&lt;$B$290,1,0)</f>
        <v>1</v>
      </c>
      <c r="N285" s="15">
        <f t="shared" ref="N285:N288" si="48">IF(H285&lt;0.5,1,0)</f>
        <v>1</v>
      </c>
    </row>
    <row r="286" spans="1:14" ht="18.75" x14ac:dyDescent="0.3">
      <c r="A286" s="41" t="s">
        <v>10</v>
      </c>
      <c r="B286" s="42"/>
      <c r="C286" s="14">
        <v>-0.17498197924726594</v>
      </c>
      <c r="D286" s="14">
        <v>0.29597510294075102</v>
      </c>
      <c r="E286" s="14">
        <v>-7.8659362209320446E-2</v>
      </c>
      <c r="F286" s="11">
        <v>0.40950979488945016</v>
      </c>
      <c r="G286" s="11">
        <v>0.62803331796547524</v>
      </c>
      <c r="H286" s="11">
        <v>0.68278545423707337</v>
      </c>
      <c r="I286" s="11">
        <v>0.19189878345109546</v>
      </c>
      <c r="J286" s="18">
        <f t="shared" si="46"/>
        <v>3.0001278969704774E-2</v>
      </c>
      <c r="K286" s="11">
        <f>(J286-$J$285)/($J$287-$J$285)</f>
        <v>5.7302501431187643E-3</v>
      </c>
      <c r="L286" s="15">
        <f t="shared" si="47"/>
        <v>0</v>
      </c>
      <c r="M286" s="15">
        <f>IF(G286&lt;$B$290,1,0)</f>
        <v>1</v>
      </c>
      <c r="N286" s="15">
        <f t="shared" si="48"/>
        <v>0</v>
      </c>
    </row>
    <row r="287" spans="1:14" ht="18.75" x14ac:dyDescent="0.3">
      <c r="A287" s="41" t="s">
        <v>9</v>
      </c>
      <c r="B287" s="42"/>
      <c r="C287" s="14">
        <v>5.5273726492127397E-2</v>
      </c>
      <c r="D287" s="14">
        <v>-0.74039105408400796</v>
      </c>
      <c r="E287" s="14">
        <v>-0.53215051063651575</v>
      </c>
      <c r="F287" s="11">
        <v>0.13169676022961407</v>
      </c>
      <c r="G287" s="11">
        <v>0.50426998377774923</v>
      </c>
      <c r="H287" s="11">
        <v>0.18619330565251524</v>
      </c>
      <c r="I287" s="11">
        <v>0.18978990864464351</v>
      </c>
      <c r="J287" s="18">
        <f t="shared" si="46"/>
        <v>0.42041984326513193</v>
      </c>
      <c r="K287" s="11">
        <f>(J287-$J$285)/($J$287-$J$285)</f>
        <v>1</v>
      </c>
      <c r="L287" s="15">
        <f t="shared" si="47"/>
        <v>1</v>
      </c>
      <c r="M287" s="15">
        <f>IF(G287&lt;$B$290,1,0)</f>
        <v>1</v>
      </c>
      <c r="N287" s="15">
        <f t="shared" si="48"/>
        <v>1</v>
      </c>
    </row>
    <row r="288" spans="1:14" ht="18.75" x14ac:dyDescent="0.3">
      <c r="A288" s="41" t="s">
        <v>7</v>
      </c>
      <c r="B288" s="42"/>
      <c r="C288" s="14">
        <v>5.5273726492127445E-2</v>
      </c>
      <c r="D288" s="14">
        <v>-0.3773162699333662</v>
      </c>
      <c r="E288" s="14">
        <v>-0.16907572648587385</v>
      </c>
      <c r="F288" s="11">
        <v>0.68777495770398345</v>
      </c>
      <c r="G288" s="11">
        <v>0.45723307215644182</v>
      </c>
      <c r="H288" s="11">
        <v>0.25526026435405214</v>
      </c>
      <c r="I288" s="11">
        <v>0.81760703007292623</v>
      </c>
      <c r="J288" s="18">
        <f t="shared" si="46"/>
        <v>6.4369442228353654E-2</v>
      </c>
      <c r="K288" s="11">
        <f>(J288-$J$285)/($J$287-$J$285)</f>
        <v>9.3254840957299773E-2</v>
      </c>
      <c r="L288" s="15">
        <f t="shared" si="47"/>
        <v>0</v>
      </c>
      <c r="M288" s="15">
        <f>IF(G288&lt;$B$290,1,0)</f>
        <v>1</v>
      </c>
      <c r="N288" s="15">
        <f t="shared" si="48"/>
        <v>1</v>
      </c>
    </row>
    <row r="290" spans="1:14" x14ac:dyDescent="0.25">
      <c r="A290" s="7" t="s">
        <v>18</v>
      </c>
      <c r="B290" s="3">
        <f>0.2+(16/20)*(0.8-0.2)</f>
        <v>0.68000000000000016</v>
      </c>
    </row>
    <row r="291" spans="1:14" x14ac:dyDescent="0.25">
      <c r="A291" s="7" t="s">
        <v>19</v>
      </c>
      <c r="B291" s="3">
        <f>1-(16/20)</f>
        <v>0.19999999999999996</v>
      </c>
    </row>
    <row r="293" spans="1:14" x14ac:dyDescent="0.25">
      <c r="A293" s="43" t="s">
        <v>21</v>
      </c>
      <c r="B293" s="43"/>
      <c r="C293" s="43"/>
      <c r="D293" s="43"/>
      <c r="E293" s="43"/>
    </row>
    <row r="294" spans="1:14" ht="18.75" x14ac:dyDescent="0.3">
      <c r="A294" s="52" t="s">
        <v>2</v>
      </c>
      <c r="B294" s="52"/>
      <c r="C294" s="2" t="s">
        <v>3</v>
      </c>
      <c r="D294" s="2" t="s">
        <v>4</v>
      </c>
      <c r="E294" s="2" t="s">
        <v>5</v>
      </c>
      <c r="G294" s="52" t="s">
        <v>2</v>
      </c>
      <c r="H294" s="52"/>
      <c r="I294" s="2" t="s">
        <v>3</v>
      </c>
      <c r="J294" s="2" t="s">
        <v>4</v>
      </c>
      <c r="K294" s="2" t="s">
        <v>5</v>
      </c>
    </row>
    <row r="295" spans="1:14" ht="18.75" x14ac:dyDescent="0.3">
      <c r="A295" s="41" t="s">
        <v>8</v>
      </c>
      <c r="B295" s="42"/>
      <c r="C295" s="14">
        <v>-0.17498197924726594</v>
      </c>
      <c r="D295" s="14">
        <v>-0.30796844601869444</v>
      </c>
      <c r="E295" s="14">
        <v>4.6112689222604697E-2</v>
      </c>
      <c r="G295" s="41" t="s">
        <v>8</v>
      </c>
      <c r="H295" s="42"/>
      <c r="I295" s="13">
        <v>-0.22435990724156818</v>
      </c>
      <c r="J295" s="13">
        <v>-0.35734637401299668</v>
      </c>
      <c r="K295" s="13">
        <v>-3.2652387716975428E-3</v>
      </c>
    </row>
    <row r="296" spans="1:14" ht="18.75" x14ac:dyDescent="0.3">
      <c r="A296" s="41" t="s">
        <v>10</v>
      </c>
      <c r="B296" s="42"/>
      <c r="C296" s="14">
        <v>-0.17498197924726594</v>
      </c>
      <c r="D296" s="14">
        <v>0.29597510294075102</v>
      </c>
      <c r="E296" s="14">
        <v>-7.8659362209320446E-2</v>
      </c>
      <c r="G296" s="41" t="s">
        <v>10</v>
      </c>
      <c r="H296" s="42"/>
      <c r="I296" s="13">
        <v>7.1498993991857634E-2</v>
      </c>
      <c r="J296" s="13">
        <v>-6.1487472779570868E-2</v>
      </c>
      <c r="K296" s="13">
        <v>0.29259366246172824</v>
      </c>
    </row>
    <row r="297" spans="1:14" ht="18.75" x14ac:dyDescent="0.3">
      <c r="A297" s="41" t="s">
        <v>6</v>
      </c>
      <c r="B297" s="42"/>
      <c r="C297" s="14">
        <v>0.12462155040679915</v>
      </c>
      <c r="D297" s="14">
        <v>-0.30796844601869444</v>
      </c>
      <c r="E297" s="14">
        <v>-9.9727902571202148E-2</v>
      </c>
      <c r="G297" s="41" t="s">
        <v>6</v>
      </c>
      <c r="H297" s="42"/>
      <c r="I297" s="13">
        <v>4.3538043690699857E-2</v>
      </c>
      <c r="J297" s="13">
        <v>-8.9448423080728645E-2</v>
      </c>
      <c r="K297" s="13">
        <v>0.26463271216057049</v>
      </c>
    </row>
    <row r="298" spans="1:14" ht="18.75" x14ac:dyDescent="0.3">
      <c r="A298" s="41" t="s">
        <v>7</v>
      </c>
      <c r="B298" s="42"/>
      <c r="C298" s="14">
        <v>5.5273726492127445E-2</v>
      </c>
      <c r="D298" s="14">
        <v>-0.3773162699333662</v>
      </c>
      <c r="E298" s="14">
        <v>-0.16907572648587385</v>
      </c>
      <c r="G298" s="41" t="s">
        <v>7</v>
      </c>
      <c r="H298" s="42"/>
      <c r="I298" s="13">
        <v>7.9103644811075013E-2</v>
      </c>
      <c r="J298" s="13">
        <v>-5.3882821960353489E-2</v>
      </c>
      <c r="K298" s="13">
        <v>0.30019831328094565</v>
      </c>
    </row>
    <row r="299" spans="1:14" ht="18.75" x14ac:dyDescent="0.3">
      <c r="A299" s="41" t="s">
        <v>9</v>
      </c>
      <c r="B299" s="42"/>
      <c r="C299" s="13">
        <v>5.5273726492127397E-2</v>
      </c>
      <c r="D299" s="13">
        <v>-0.74039105408400796</v>
      </c>
      <c r="E299" s="13">
        <v>-0.53215051063651575</v>
      </c>
      <c r="G299" s="41" t="s">
        <v>9</v>
      </c>
      <c r="H299" s="42"/>
      <c r="I299" s="13">
        <v>-0.42315005233155106</v>
      </c>
      <c r="J299" s="13">
        <v>-0.55613651910297957</v>
      </c>
      <c r="K299" s="13">
        <v>-0.20205538386168043</v>
      </c>
    </row>
    <row r="301" spans="1:14" x14ac:dyDescent="0.25">
      <c r="A301" s="67" t="s">
        <v>39</v>
      </c>
      <c r="B301" s="68"/>
      <c r="C301" s="68"/>
      <c r="D301" s="68"/>
      <c r="E301" s="68"/>
      <c r="F301" s="68"/>
      <c r="G301" s="68"/>
      <c r="H301" s="68"/>
      <c r="I301" s="68"/>
      <c r="J301" s="68"/>
      <c r="K301" s="68"/>
    </row>
    <row r="302" spans="1:14" ht="18.75" x14ac:dyDescent="0.3">
      <c r="A302" s="37" t="s">
        <v>2</v>
      </c>
      <c r="B302" s="38"/>
      <c r="C302" s="2" t="s">
        <v>3</v>
      </c>
      <c r="D302" s="2" t="s">
        <v>4</v>
      </c>
      <c r="E302" s="2" t="s">
        <v>5</v>
      </c>
      <c r="F302" s="2" t="s">
        <v>11</v>
      </c>
      <c r="G302" s="2" t="s">
        <v>12</v>
      </c>
      <c r="H302" s="2" t="s">
        <v>13</v>
      </c>
      <c r="I302" s="2" t="s">
        <v>16</v>
      </c>
      <c r="J302" s="2" t="s">
        <v>15</v>
      </c>
      <c r="K302" s="2" t="s">
        <v>17</v>
      </c>
      <c r="L302" s="2" t="s">
        <v>20</v>
      </c>
      <c r="M302" s="8" t="s">
        <v>12</v>
      </c>
      <c r="N302" s="8" t="s">
        <v>13</v>
      </c>
    </row>
    <row r="303" spans="1:14" ht="18.75" x14ac:dyDescent="0.3">
      <c r="A303" s="39" t="s">
        <v>8</v>
      </c>
      <c r="B303" s="40"/>
      <c r="C303" s="14">
        <v>-0.22435990724156818</v>
      </c>
      <c r="D303" s="14">
        <v>-0.35734637401299668</v>
      </c>
      <c r="E303" s="14">
        <v>-3.2652387716975428E-3</v>
      </c>
      <c r="F303" s="11">
        <v>0.48056151260818081</v>
      </c>
      <c r="G303" s="11">
        <v>0.18222754332162217</v>
      </c>
      <c r="H303" s="11">
        <v>0.11700258067454694</v>
      </c>
      <c r="I303" s="11">
        <v>6.9022241910300375E-2</v>
      </c>
      <c r="J303" s="10">
        <f>(C303/4)^2 + (D303/2)^2 + E303^2</f>
        <v>3.508085503788564E-2</v>
      </c>
      <c r="K303" s="11">
        <f>(J303-$J$303)/($J$307-$J$303)</f>
        <v>0</v>
      </c>
      <c r="L303" s="15">
        <f>IF(F303&lt;K303,1,0)</f>
        <v>0</v>
      </c>
      <c r="M303" s="15">
        <f>IF(G303&lt;$B$309,1,0)</f>
        <v>1</v>
      </c>
      <c r="N303" s="15">
        <f>IF(H303&lt;0.5,1,0)</f>
        <v>1</v>
      </c>
    </row>
    <row r="304" spans="1:14" ht="18.75" x14ac:dyDescent="0.3">
      <c r="A304" s="41" t="s">
        <v>10</v>
      </c>
      <c r="B304" s="42"/>
      <c r="C304" s="14">
        <v>7.1498993991857634E-2</v>
      </c>
      <c r="D304" s="14">
        <v>-6.1487472779570868E-2</v>
      </c>
      <c r="E304" s="14">
        <v>0.29259366246172824</v>
      </c>
      <c r="F304" s="11">
        <v>0.74569412290141923</v>
      </c>
      <c r="G304" s="11">
        <v>0.53811311145636664</v>
      </c>
      <c r="H304" s="11">
        <v>0.91645485731133913</v>
      </c>
      <c r="I304" s="11">
        <v>0.80445859124322394</v>
      </c>
      <c r="J304" s="18">
        <f t="shared" ref="J304:J307" si="49">(C304/4)^2 + (D304/2)^2 + E304^2</f>
        <v>8.6875735273837865E-2</v>
      </c>
      <c r="K304" s="11">
        <f>(J304-$J$303)/($J$307-$J$303)</f>
        <v>0.54949837227193421</v>
      </c>
      <c r="L304" s="15">
        <f t="shared" ref="L304:L307" si="50">IF(F304&lt;K304,1,0)</f>
        <v>0</v>
      </c>
      <c r="M304" s="15">
        <f>IF(G304&lt;$B$309,1,0)</f>
        <v>1</v>
      </c>
      <c r="N304" s="15">
        <f t="shared" ref="N304:N307" si="51">IF(H304&lt;0.5,1,0)</f>
        <v>0</v>
      </c>
    </row>
    <row r="305" spans="1:14" ht="18.75" x14ac:dyDescent="0.3">
      <c r="A305" s="41" t="s">
        <v>6</v>
      </c>
      <c r="B305" s="42"/>
      <c r="C305" s="14">
        <v>4.3538043690699857E-2</v>
      </c>
      <c r="D305" s="14">
        <v>-8.9448423080728645E-2</v>
      </c>
      <c r="E305" s="14">
        <v>0.26463271216057049</v>
      </c>
      <c r="F305" s="11">
        <v>0.10686324185915996</v>
      </c>
      <c r="G305" s="11">
        <v>0.26805919896569241</v>
      </c>
      <c r="H305" s="11">
        <v>0.64889963893192382</v>
      </c>
      <c r="I305" s="11">
        <v>0.5510658025656322</v>
      </c>
      <c r="J305" s="18">
        <f t="shared" si="49"/>
        <v>7.214920002139244E-2</v>
      </c>
      <c r="K305" s="11">
        <f>(J305-$J$303)/($J$307-$J$303)</f>
        <v>0.39326271512667454</v>
      </c>
      <c r="L305" s="15">
        <f t="shared" si="50"/>
        <v>1</v>
      </c>
      <c r="M305" s="15">
        <f>IF(G305&lt;$B$309,1,0)</f>
        <v>1</v>
      </c>
      <c r="N305" s="15">
        <f t="shared" si="51"/>
        <v>0</v>
      </c>
    </row>
    <row r="306" spans="1:14" ht="18.75" x14ac:dyDescent="0.3">
      <c r="A306" s="41" t="s">
        <v>7</v>
      </c>
      <c r="B306" s="42"/>
      <c r="C306" s="14">
        <v>7.9103644811075013E-2</v>
      </c>
      <c r="D306" s="14">
        <v>-5.3882821960353489E-2</v>
      </c>
      <c r="E306" s="14">
        <v>0.30019831328094565</v>
      </c>
      <c r="F306" s="11">
        <v>0.62328914674287295</v>
      </c>
      <c r="G306" s="11">
        <v>0.12994293783601607</v>
      </c>
      <c r="H306" s="11">
        <v>0.52632691176908508</v>
      </c>
      <c r="I306" s="11">
        <v>0.67059906906707134</v>
      </c>
      <c r="J306" s="18">
        <f t="shared" si="49"/>
        <v>9.1235953586227367E-2</v>
      </c>
      <c r="K306" s="11">
        <f>(J306-$J$303)/($J$307-$J$303)</f>
        <v>0.59575647451087388</v>
      </c>
      <c r="L306" s="15">
        <f t="shared" si="50"/>
        <v>0</v>
      </c>
      <c r="M306" s="15">
        <f>IF(G306&lt;$B$309,1,0)</f>
        <v>1</v>
      </c>
      <c r="N306" s="15">
        <f t="shared" si="51"/>
        <v>0</v>
      </c>
    </row>
    <row r="307" spans="1:14" ht="18.75" x14ac:dyDescent="0.3">
      <c r="A307" s="41" t="s">
        <v>9</v>
      </c>
      <c r="B307" s="42"/>
      <c r="C307" s="14">
        <v>-0.42315005233155106</v>
      </c>
      <c r="D307" s="14">
        <v>-0.55613651910297957</v>
      </c>
      <c r="E307" s="14">
        <v>-0.20205538386168043</v>
      </c>
      <c r="F307" s="11">
        <v>0.28194314214505445</v>
      </c>
      <c r="G307" s="11">
        <v>0.78992020386609385</v>
      </c>
      <c r="H307" s="11">
        <v>0.70984890508988974</v>
      </c>
      <c r="I307" s="11">
        <v>0.93605377306727011</v>
      </c>
      <c r="J307" s="18">
        <f t="shared" si="49"/>
        <v>0.12933933304174788</v>
      </c>
      <c r="K307" s="11">
        <f>(J307-$J$303)/($J$307-$J$303)</f>
        <v>1</v>
      </c>
      <c r="L307" s="15">
        <f t="shared" si="50"/>
        <v>1</v>
      </c>
      <c r="M307" s="15">
        <f>IF(G307&lt;$B$309,1,0)</f>
        <v>0</v>
      </c>
      <c r="N307" s="15">
        <f t="shared" si="51"/>
        <v>0</v>
      </c>
    </row>
    <row r="309" spans="1:14" x14ac:dyDescent="0.25">
      <c r="A309" s="7" t="s">
        <v>18</v>
      </c>
      <c r="B309" s="3">
        <f>0.2+(17/20)*(0.8-0.2)</f>
        <v>0.71</v>
      </c>
    </row>
    <row r="310" spans="1:14" x14ac:dyDescent="0.25">
      <c r="A310" s="7" t="s">
        <v>19</v>
      </c>
      <c r="B310" s="3">
        <f>1-(17/20)</f>
        <v>0.15000000000000002</v>
      </c>
    </row>
    <row r="312" spans="1:14" x14ac:dyDescent="0.25">
      <c r="A312" s="43" t="s">
        <v>21</v>
      </c>
      <c r="B312" s="43"/>
      <c r="C312" s="43"/>
      <c r="D312" s="43"/>
      <c r="E312" s="43"/>
    </row>
    <row r="313" spans="1:14" ht="18.75" x14ac:dyDescent="0.3">
      <c r="A313" s="52" t="s">
        <v>2</v>
      </c>
      <c r="B313" s="52"/>
      <c r="C313" s="2" t="s">
        <v>3</v>
      </c>
      <c r="D313" s="2" t="s">
        <v>4</v>
      </c>
      <c r="E313" s="2" t="s">
        <v>5</v>
      </c>
      <c r="G313" s="52" t="s">
        <v>2</v>
      </c>
      <c r="H313" s="52"/>
      <c r="I313" s="2" t="s">
        <v>3</v>
      </c>
      <c r="J313" s="2" t="s">
        <v>4</v>
      </c>
      <c r="K313" s="2" t="s">
        <v>5</v>
      </c>
    </row>
    <row r="314" spans="1:14" ht="18.75" x14ac:dyDescent="0.3">
      <c r="A314" s="41" t="s">
        <v>8</v>
      </c>
      <c r="B314" s="42"/>
      <c r="C314" s="14">
        <v>-0.22435990724156818</v>
      </c>
      <c r="D314" s="14">
        <v>-0.35734637401299668</v>
      </c>
      <c r="E314" s="14">
        <v>-3.2652387716975428E-3</v>
      </c>
      <c r="G314" s="41" t="s">
        <v>8</v>
      </c>
      <c r="H314" s="42"/>
      <c r="I314" s="13">
        <v>-0.482946562095388</v>
      </c>
      <c r="J314" s="13">
        <v>-0.61593302886681656</v>
      </c>
      <c r="K314" s="13">
        <v>-0.26185189362551736</v>
      </c>
    </row>
    <row r="315" spans="1:14" ht="18.75" x14ac:dyDescent="0.3">
      <c r="A315" s="41" t="s">
        <v>6</v>
      </c>
      <c r="B315" s="42"/>
      <c r="C315" s="13">
        <v>5.5273726492127445E-2</v>
      </c>
      <c r="D315" s="13">
        <v>-6.1487472779570868E-2</v>
      </c>
      <c r="E315" s="13">
        <v>-3.2652387716975428E-3</v>
      </c>
      <c r="G315" s="41" t="s">
        <v>6</v>
      </c>
      <c r="H315" s="42"/>
      <c r="I315" s="13">
        <v>-0.25499938878094752</v>
      </c>
      <c r="J315" s="13">
        <v>-0.38798585555237602</v>
      </c>
      <c r="K315" s="13">
        <v>-3.3904720311076872E-2</v>
      </c>
    </row>
    <row r="316" spans="1:14" ht="18.75" x14ac:dyDescent="0.3">
      <c r="A316" s="41" t="s">
        <v>10</v>
      </c>
      <c r="B316" s="42"/>
      <c r="C316" s="14">
        <v>7.1498993991857634E-2</v>
      </c>
      <c r="D316" s="14">
        <v>-6.1487472779570868E-2</v>
      </c>
      <c r="E316" s="14">
        <v>0.29259366246172824</v>
      </c>
      <c r="G316" s="41" t="s">
        <v>10</v>
      </c>
      <c r="H316" s="42"/>
      <c r="I316" s="13">
        <v>-0.40703506198750261</v>
      </c>
      <c r="J316" s="13">
        <v>-0.54002152875893106</v>
      </c>
      <c r="K316" s="13">
        <v>-0.18594039351763195</v>
      </c>
    </row>
    <row r="317" spans="1:14" ht="18.75" x14ac:dyDescent="0.3">
      <c r="A317" s="41" t="s">
        <v>7</v>
      </c>
      <c r="B317" s="42"/>
      <c r="C317" s="14">
        <v>7.9103644811075013E-2</v>
      </c>
      <c r="D317" s="14">
        <v>-5.3882821960353489E-2</v>
      </c>
      <c r="E317" s="14">
        <v>0.30019831328094565</v>
      </c>
      <c r="G317" s="41" t="s">
        <v>7</v>
      </c>
      <c r="H317" s="42"/>
      <c r="I317" s="13">
        <v>-0.32671934868181102</v>
      </c>
      <c r="J317" s="13">
        <v>-0.45970581545323952</v>
      </c>
      <c r="K317" s="13">
        <v>-0.10562468021194037</v>
      </c>
    </row>
    <row r="318" spans="1:14" ht="18.75" x14ac:dyDescent="0.3">
      <c r="A318" s="41" t="s">
        <v>9</v>
      </c>
      <c r="B318" s="42"/>
      <c r="C318" s="13">
        <v>0.12462155040679915</v>
      </c>
      <c r="D318" s="13">
        <v>-8.9448423080728645E-2</v>
      </c>
      <c r="E318" s="13">
        <v>-0.20205538386168043</v>
      </c>
      <c r="G318" s="41" t="s">
        <v>9</v>
      </c>
      <c r="H318" s="42"/>
      <c r="I318" s="14">
        <v>0.12462155040679915</v>
      </c>
      <c r="J318" s="14">
        <v>-8.9448423080728645E-2</v>
      </c>
      <c r="K318" s="14">
        <v>-0.20205538386168043</v>
      </c>
    </row>
    <row r="320" spans="1:14" x14ac:dyDescent="0.25">
      <c r="A320" s="67" t="s">
        <v>40</v>
      </c>
      <c r="B320" s="68"/>
      <c r="C320" s="68"/>
      <c r="D320" s="68"/>
      <c r="E320" s="68"/>
      <c r="F320" s="68"/>
      <c r="G320" s="68"/>
      <c r="H320" s="68"/>
      <c r="I320" s="68"/>
      <c r="J320" s="68"/>
      <c r="K320" s="68"/>
    </row>
    <row r="321" spans="1:14" ht="18.75" x14ac:dyDescent="0.3">
      <c r="A321" s="52" t="s">
        <v>2</v>
      </c>
      <c r="B321" s="52"/>
      <c r="C321" s="2" t="s">
        <v>3</v>
      </c>
      <c r="D321" s="2" t="s">
        <v>4</v>
      </c>
      <c r="E321" s="2" t="s">
        <v>5</v>
      </c>
      <c r="F321" s="2" t="s">
        <v>11</v>
      </c>
      <c r="G321" s="2" t="s">
        <v>12</v>
      </c>
      <c r="H321" s="2" t="s">
        <v>13</v>
      </c>
      <c r="I321" s="2" t="s">
        <v>16</v>
      </c>
      <c r="J321" s="2" t="s">
        <v>15</v>
      </c>
      <c r="K321" s="2" t="s">
        <v>17</v>
      </c>
      <c r="L321" s="2" t="s">
        <v>20</v>
      </c>
      <c r="M321" s="8" t="s">
        <v>12</v>
      </c>
      <c r="N321" s="8" t="s">
        <v>13</v>
      </c>
    </row>
    <row r="322" spans="1:14" ht="18.75" x14ac:dyDescent="0.3">
      <c r="A322" s="41" t="s">
        <v>8</v>
      </c>
      <c r="B322" s="42"/>
      <c r="C322" s="14">
        <v>-0.482946562095388</v>
      </c>
      <c r="D322" s="14">
        <v>-0.61593302886681656</v>
      </c>
      <c r="E322" s="14">
        <v>-0.26185189362551736</v>
      </c>
      <c r="F322" s="11">
        <v>0.33159558662130195</v>
      </c>
      <c r="G322" s="11">
        <v>0.17278757363064834</v>
      </c>
      <c r="H322" s="11">
        <v>0.36253699246509352</v>
      </c>
      <c r="I322" s="11">
        <v>0.30506714495845888</v>
      </c>
      <c r="J322" s="18">
        <f>(C322/4)^2 + (D322/2)^2 + E322^2</f>
        <v>0.17798712457251659</v>
      </c>
      <c r="K322" s="11">
        <f>(J322-$J$323)/($J$322-$J$323)</f>
        <v>1</v>
      </c>
      <c r="L322" s="15">
        <f>IF(F322&lt;K322,1,0)</f>
        <v>1</v>
      </c>
      <c r="M322" s="15">
        <f>IF(G322&lt;$B$328,1,0)</f>
        <v>1</v>
      </c>
      <c r="N322" s="15">
        <f>IF(H322&lt;0.5,1,0)</f>
        <v>1</v>
      </c>
    </row>
    <row r="323" spans="1:14" ht="18.75" x14ac:dyDescent="0.3">
      <c r="A323" s="39" t="s">
        <v>6</v>
      </c>
      <c r="B323" s="40"/>
      <c r="C323" s="14">
        <v>-0.25499938878094752</v>
      </c>
      <c r="D323" s="14">
        <v>-0.38798585555237602</v>
      </c>
      <c r="E323" s="14">
        <v>-3.3904720311076872E-2</v>
      </c>
      <c r="F323" s="11">
        <v>9.2079991615908741E-2</v>
      </c>
      <c r="G323" s="11">
        <v>0.34332852723800433</v>
      </c>
      <c r="H323" s="11">
        <v>0.52209022639992708</v>
      </c>
      <c r="I323" s="11">
        <v>0.39667866711170907</v>
      </c>
      <c r="J323" s="10">
        <f t="shared" ref="J323:J326" si="52">(C323/4)^2 + (D323/2)^2 + E323^2</f>
        <v>4.28468291039657E-2</v>
      </c>
      <c r="K323" s="11">
        <f>(J323-$J$323)/($J$322-$J$323)</f>
        <v>0</v>
      </c>
      <c r="L323" s="15">
        <f t="shared" ref="L323:L326" si="53">IF(F323&lt;K323,1,0)</f>
        <v>0</v>
      </c>
      <c r="M323" s="15">
        <f>IF(G323&lt;$B$328,1,0)</f>
        <v>1</v>
      </c>
      <c r="N323" s="15">
        <f t="shared" ref="N323:N326" si="54">IF(H323&lt;0.5,1,0)</f>
        <v>0</v>
      </c>
    </row>
    <row r="324" spans="1:14" ht="18.75" x14ac:dyDescent="0.3">
      <c r="A324" s="41" t="s">
        <v>10</v>
      </c>
      <c r="B324" s="42"/>
      <c r="C324" s="14">
        <v>-0.40703506198750261</v>
      </c>
      <c r="D324" s="14">
        <v>-0.54002152875893106</v>
      </c>
      <c r="E324" s="14">
        <v>-0.18594039351763195</v>
      </c>
      <c r="F324" s="11">
        <v>1.4520965649225337E-2</v>
      </c>
      <c r="G324" s="11">
        <v>0.88541306109147944</v>
      </c>
      <c r="H324" s="11">
        <v>0.74849904034596115</v>
      </c>
      <c r="I324" s="11">
        <v>0.22067060081004775</v>
      </c>
      <c r="J324" s="18">
        <f t="shared" si="52"/>
        <v>0.11783448917772321</v>
      </c>
      <c r="K324" s="11">
        <f>(J324-$J$323)/($J$322-$J$323)</f>
        <v>0.55488749535262216</v>
      </c>
      <c r="L324" s="15">
        <f t="shared" si="53"/>
        <v>1</v>
      </c>
      <c r="M324" s="15">
        <f>IF(G324&lt;$B$328,1,0)</f>
        <v>0</v>
      </c>
      <c r="N324" s="15">
        <f t="shared" si="54"/>
        <v>0</v>
      </c>
    </row>
    <row r="325" spans="1:14" ht="18.75" x14ac:dyDescent="0.3">
      <c r="A325" s="41" t="s">
        <v>7</v>
      </c>
      <c r="B325" s="42"/>
      <c r="C325" s="14">
        <v>-0.32671934868181102</v>
      </c>
      <c r="D325" s="14">
        <v>-0.45970581545323952</v>
      </c>
      <c r="E325" s="14">
        <v>-0.10562468021194037</v>
      </c>
      <c r="F325" s="11">
        <v>0.93477794708823292</v>
      </c>
      <c r="G325" s="11">
        <v>1.1262176328123319E-2</v>
      </c>
      <c r="H325" s="11">
        <v>0.3523415459607141</v>
      </c>
      <c r="I325" s="11">
        <v>0.37107206766571488</v>
      </c>
      <c r="J325" s="18">
        <f t="shared" si="52"/>
        <v>7.0660528060448313E-2</v>
      </c>
      <c r="K325" s="11">
        <f>(J325-$J$323)/($J$322-$J$323)</f>
        <v>0.20581351298699258</v>
      </c>
      <c r="L325" s="15">
        <f t="shared" si="53"/>
        <v>0</v>
      </c>
      <c r="M325" s="15">
        <f>IF(G325&lt;$B$328,1,0)</f>
        <v>1</v>
      </c>
      <c r="N325" s="15">
        <f t="shared" si="54"/>
        <v>1</v>
      </c>
    </row>
    <row r="326" spans="1:14" ht="18.75" x14ac:dyDescent="0.3">
      <c r="A326" s="41" t="s">
        <v>9</v>
      </c>
      <c r="B326" s="42"/>
      <c r="C326" s="14">
        <v>0.12462155040679915</v>
      </c>
      <c r="D326" s="14">
        <v>-8.9448423080728645E-2</v>
      </c>
      <c r="E326" s="14">
        <v>-0.20205538386168043</v>
      </c>
      <c r="F326" s="11">
        <v>0.75351776271018767</v>
      </c>
      <c r="G326" s="11">
        <v>0.78836212492045321</v>
      </c>
      <c r="H326" s="11">
        <v>0.57690377117052649</v>
      </c>
      <c r="I326" s="11">
        <v>0.4886237133757616</v>
      </c>
      <c r="J326" s="18">
        <f t="shared" si="52"/>
        <v>4.3797291422010436E-2</v>
      </c>
      <c r="K326" s="11">
        <f>(J326-$J$323)/($J$322-$J$323)</f>
        <v>7.0331525822801087E-3</v>
      </c>
      <c r="L326" s="15">
        <f t="shared" si="53"/>
        <v>0</v>
      </c>
      <c r="M326" s="15">
        <f>IF(G326&lt;$B$328,1,0)</f>
        <v>0</v>
      </c>
      <c r="N326" s="15">
        <f t="shared" si="54"/>
        <v>0</v>
      </c>
    </row>
    <row r="328" spans="1:14" x14ac:dyDescent="0.25">
      <c r="A328" s="7" t="s">
        <v>18</v>
      </c>
      <c r="B328" s="3">
        <f>0.2+(18/20)*(0.8-0.2)</f>
        <v>0.74000000000000021</v>
      </c>
    </row>
    <row r="329" spans="1:14" x14ac:dyDescent="0.25">
      <c r="A329" s="7" t="s">
        <v>19</v>
      </c>
      <c r="B329" s="3">
        <f>1-(18/20)</f>
        <v>9.9999999999999978E-2</v>
      </c>
    </row>
    <row r="331" spans="1:14" x14ac:dyDescent="0.25">
      <c r="A331" s="43" t="s">
        <v>21</v>
      </c>
      <c r="B331" s="43"/>
      <c r="C331" s="43"/>
      <c r="D331" s="43"/>
      <c r="E331" s="43"/>
    </row>
    <row r="332" spans="1:14" ht="18.75" x14ac:dyDescent="0.3">
      <c r="A332" s="52" t="s">
        <v>2</v>
      </c>
      <c r="B332" s="52"/>
      <c r="C332" s="2" t="s">
        <v>3</v>
      </c>
      <c r="D332" s="2" t="s">
        <v>4</v>
      </c>
      <c r="E332" s="2" t="s">
        <v>5</v>
      </c>
      <c r="G332" s="52" t="s">
        <v>2</v>
      </c>
      <c r="H332" s="52"/>
      <c r="I332" s="2" t="s">
        <v>3</v>
      </c>
      <c r="J332" s="2" t="s">
        <v>4</v>
      </c>
      <c r="K332" s="2" t="s">
        <v>5</v>
      </c>
    </row>
    <row r="333" spans="1:14" ht="18.75" x14ac:dyDescent="0.3">
      <c r="A333" s="41" t="s">
        <v>6</v>
      </c>
      <c r="B333" s="42"/>
      <c r="C333" s="14">
        <v>-0.25499938878094752</v>
      </c>
      <c r="D333" s="14">
        <v>-0.38798585555237602</v>
      </c>
      <c r="E333" s="14">
        <v>-3.3904720311076872E-2</v>
      </c>
      <c r="G333" s="41" t="s">
        <v>6</v>
      </c>
      <c r="H333" s="42"/>
      <c r="I333" s="13">
        <v>-0.21367085562563115</v>
      </c>
      <c r="J333" s="13">
        <v>-0.34665732239705965</v>
      </c>
      <c r="K333" s="13">
        <v>7.4238128442394927E-3</v>
      </c>
    </row>
    <row r="334" spans="1:14" ht="18.75" x14ac:dyDescent="0.3">
      <c r="A334" s="41" t="s">
        <v>9</v>
      </c>
      <c r="B334" s="42"/>
      <c r="C334" s="14">
        <v>0.12462155040679915</v>
      </c>
      <c r="D334" s="14">
        <v>-8.9448423080728645E-2</v>
      </c>
      <c r="E334" s="14">
        <v>-0.20205538386168043</v>
      </c>
      <c r="G334" s="41" t="s">
        <v>9</v>
      </c>
      <c r="H334" s="42"/>
      <c r="I334" s="14">
        <v>0.12462155040679915</v>
      </c>
      <c r="J334" s="14">
        <v>-8.9448423080728645E-2</v>
      </c>
      <c r="K334" s="14">
        <v>-0.20205538386168043</v>
      </c>
    </row>
    <row r="335" spans="1:14" ht="18.75" x14ac:dyDescent="0.3">
      <c r="A335" s="41" t="s">
        <v>7</v>
      </c>
      <c r="B335" s="42"/>
      <c r="C335" s="14">
        <v>-0.32671934868181102</v>
      </c>
      <c r="D335" s="14">
        <v>-0.45970581545323952</v>
      </c>
      <c r="E335" s="14">
        <v>-0.10562468021194037</v>
      </c>
      <c r="G335" s="41" t="s">
        <v>7</v>
      </c>
      <c r="H335" s="42"/>
      <c r="I335" s="13">
        <v>-0.30657056171466157</v>
      </c>
      <c r="J335" s="13">
        <v>-0.43955702848609007</v>
      </c>
      <c r="K335" s="13">
        <v>-8.5475893244790907E-2</v>
      </c>
    </row>
    <row r="336" spans="1:14" ht="18.75" x14ac:dyDescent="0.3">
      <c r="A336" s="41" t="s">
        <v>10</v>
      </c>
      <c r="B336" s="42"/>
      <c r="C336" s="13">
        <v>-0.17498197924726594</v>
      </c>
      <c r="D336" s="13">
        <v>-0.38798585555237602</v>
      </c>
      <c r="E336" s="13">
        <v>-0.20205538386168043</v>
      </c>
      <c r="G336" s="41" t="s">
        <v>10</v>
      </c>
      <c r="H336" s="42"/>
      <c r="I336" s="14">
        <v>-0.17498197924726594</v>
      </c>
      <c r="J336" s="14">
        <v>-0.38798585555237602</v>
      </c>
      <c r="K336" s="14">
        <v>-0.20205538386168043</v>
      </c>
    </row>
    <row r="337" spans="1:14" ht="18.75" x14ac:dyDescent="0.3">
      <c r="A337" s="41" t="s">
        <v>8</v>
      </c>
      <c r="B337" s="42"/>
      <c r="C337" s="13">
        <v>-0.17498197924726594</v>
      </c>
      <c r="D337" s="13">
        <v>-0.45970581545323952</v>
      </c>
      <c r="E337" s="13">
        <v>-3.3904720311076872E-2</v>
      </c>
      <c r="G337" s="41" t="s">
        <v>8</v>
      </c>
      <c r="H337" s="42"/>
      <c r="I337" s="13">
        <v>-0.33297253079756395</v>
      </c>
      <c r="J337" s="13">
        <v>-0.46595899756899245</v>
      </c>
      <c r="K337" s="13">
        <v>-0.1118778623276933</v>
      </c>
    </row>
    <row r="339" spans="1:14" x14ac:dyDescent="0.25">
      <c r="A339" s="67" t="s">
        <v>41</v>
      </c>
      <c r="B339" s="68"/>
      <c r="C339" s="68"/>
      <c r="D339" s="68"/>
      <c r="E339" s="68"/>
      <c r="F339" s="68"/>
      <c r="G339" s="68"/>
      <c r="H339" s="68"/>
      <c r="I339" s="68"/>
      <c r="J339" s="68"/>
      <c r="K339" s="68"/>
    </row>
    <row r="340" spans="1:14" ht="18.75" x14ac:dyDescent="0.3">
      <c r="A340" s="52" t="s">
        <v>2</v>
      </c>
      <c r="B340" s="52"/>
      <c r="C340" s="2" t="s">
        <v>3</v>
      </c>
      <c r="D340" s="2" t="s">
        <v>4</v>
      </c>
      <c r="E340" s="2" t="s">
        <v>5</v>
      </c>
      <c r="F340" s="2" t="s">
        <v>11</v>
      </c>
      <c r="G340" s="2" t="s">
        <v>12</v>
      </c>
      <c r="H340" s="2" t="s">
        <v>13</v>
      </c>
      <c r="I340" s="2" t="s">
        <v>16</v>
      </c>
      <c r="J340" s="2" t="s">
        <v>15</v>
      </c>
      <c r="K340" s="2" t="s">
        <v>17</v>
      </c>
      <c r="L340" s="2" t="s">
        <v>20</v>
      </c>
      <c r="M340" s="8" t="s">
        <v>12</v>
      </c>
      <c r="N340" s="8" t="s">
        <v>13</v>
      </c>
    </row>
    <row r="341" spans="1:14" ht="18.75" x14ac:dyDescent="0.3">
      <c r="A341" s="39" t="s">
        <v>6</v>
      </c>
      <c r="B341" s="40"/>
      <c r="C341" s="14">
        <v>-0.21367085562563115</v>
      </c>
      <c r="D341" s="14">
        <v>-0.34665732239705965</v>
      </c>
      <c r="E341" s="14">
        <v>7.4238128442394927E-3</v>
      </c>
      <c r="F341" s="11">
        <v>0.441791123253096</v>
      </c>
      <c r="G341" s="11">
        <v>0.75089265698942709</v>
      </c>
      <c r="H341" s="11">
        <v>0.13212362454245818</v>
      </c>
      <c r="I341" s="11">
        <v>5.838277343072007E-2</v>
      </c>
      <c r="J341" s="10">
        <f>(C341/4)^2 + (D341/2)^2 + E341^2</f>
        <v>3.2951389949007863E-2</v>
      </c>
      <c r="K341" s="11">
        <f>(J341-$J$341)/($J$344-$J$341)</f>
        <v>0</v>
      </c>
      <c r="L341" s="15">
        <f>IF(F341&lt;K341,1,0)</f>
        <v>0</v>
      </c>
      <c r="M341" s="15">
        <f>IF(G341&lt;$B$328,1,0)</f>
        <v>0</v>
      </c>
      <c r="N341" s="15">
        <f>IF(H341&lt;0.5,1,0)</f>
        <v>1</v>
      </c>
    </row>
    <row r="342" spans="1:14" ht="18.75" x14ac:dyDescent="0.3">
      <c r="A342" s="41" t="s">
        <v>9</v>
      </c>
      <c r="B342" s="42"/>
      <c r="C342" s="14">
        <v>0.12462155040679915</v>
      </c>
      <c r="D342" s="14">
        <v>-8.9448423080728645E-2</v>
      </c>
      <c r="E342" s="14">
        <v>-0.20205538386168043</v>
      </c>
      <c r="F342" s="11">
        <v>0.67345079123078389</v>
      </c>
      <c r="G342" s="11">
        <v>0.80525086151272418</v>
      </c>
      <c r="H342" s="11">
        <v>0.66747147614496505</v>
      </c>
      <c r="I342" s="11">
        <v>0.15112457456567252</v>
      </c>
      <c r="J342" s="18">
        <f t="shared" ref="J342:J345" si="55">(C342/4)^2 + (D342/2)^2 + E342^2</f>
        <v>4.3797291422010436E-2</v>
      </c>
      <c r="K342" s="11">
        <f>(J342-$J$341)/($J$344-$J$341)</f>
        <v>0.22871075609611377</v>
      </c>
      <c r="L342" s="15">
        <f t="shared" ref="L342:L345" si="56">IF(F342&lt;K342,1,0)</f>
        <v>0</v>
      </c>
      <c r="M342" s="15">
        <f>IF(G342&lt;$B$328,1,0)</f>
        <v>0</v>
      </c>
      <c r="N342" s="15">
        <f t="shared" ref="N342:N345" si="57">IF(H342&lt;0.5,1,0)</f>
        <v>0</v>
      </c>
    </row>
    <row r="343" spans="1:14" ht="18.75" x14ac:dyDescent="0.3">
      <c r="A343" s="41" t="s">
        <v>7</v>
      </c>
      <c r="B343" s="42"/>
      <c r="C343" s="14">
        <v>-0.30657056171466157</v>
      </c>
      <c r="D343" s="14">
        <v>-0.43955702848609007</v>
      </c>
      <c r="E343" s="14">
        <v>-8.5475893244790907E-2</v>
      </c>
      <c r="F343" s="11">
        <v>0.56320142862225442</v>
      </c>
      <c r="G343" s="11">
        <v>0.35052913717238599</v>
      </c>
      <c r="H343" s="11">
        <v>0.24702321803122251</v>
      </c>
      <c r="I343" s="11">
        <v>0.63241023020843967</v>
      </c>
      <c r="J343" s="18">
        <f t="shared" si="55"/>
        <v>6.1482817980752939E-2</v>
      </c>
      <c r="K343" s="11">
        <f>(J343-$J$341)/($J$344-$J$341)</f>
        <v>0.60165072436673828</v>
      </c>
      <c r="L343" s="15">
        <f t="shared" si="56"/>
        <v>1</v>
      </c>
      <c r="M343" s="15">
        <f>IF(G343&lt;$B$328,1,0)</f>
        <v>1</v>
      </c>
      <c r="N343" s="15">
        <f t="shared" si="57"/>
        <v>1</v>
      </c>
    </row>
    <row r="344" spans="1:14" ht="18.75" x14ac:dyDescent="0.3">
      <c r="A344" s="41" t="s">
        <v>10</v>
      </c>
      <c r="B344" s="42"/>
      <c r="C344" s="14">
        <v>-0.17498197924726594</v>
      </c>
      <c r="D344" s="14">
        <v>-0.38798585555237602</v>
      </c>
      <c r="E344" s="14">
        <v>-0.20205538386168043</v>
      </c>
      <c r="F344" s="11">
        <v>5.5963294054046542E-2</v>
      </c>
      <c r="G344" s="11">
        <v>0.36170272857240249</v>
      </c>
      <c r="H344" s="11">
        <v>0.69440983062194506</v>
      </c>
      <c r="I344" s="11">
        <v>0.79859369006385716</v>
      </c>
      <c r="J344" s="18">
        <f t="shared" si="55"/>
        <v>8.0373302490998999E-2</v>
      </c>
      <c r="K344" s="11">
        <f>(J344-$J$341)/($J$344-$J$341)</f>
        <v>1</v>
      </c>
      <c r="L344" s="15">
        <f t="shared" si="56"/>
        <v>1</v>
      </c>
      <c r="M344" s="15">
        <f>IF(G344&lt;$B$328,1,0)</f>
        <v>1</v>
      </c>
      <c r="N344" s="15">
        <f t="shared" si="57"/>
        <v>0</v>
      </c>
    </row>
    <row r="345" spans="1:14" ht="18.75" x14ac:dyDescent="0.3">
      <c r="A345" s="41" t="s">
        <v>8</v>
      </c>
      <c r="B345" s="42"/>
      <c r="C345" s="14">
        <v>-0.33297253079756395</v>
      </c>
      <c r="D345" s="14">
        <v>-0.46595899756899245</v>
      </c>
      <c r="E345" s="14">
        <v>-0.1118778623276933</v>
      </c>
      <c r="F345" s="11">
        <v>0.89874373659465212</v>
      </c>
      <c r="G345" s="11">
        <v>0.12516907441578962</v>
      </c>
      <c r="H345" s="11">
        <v>0.4853144483440327</v>
      </c>
      <c r="I345" s="11">
        <v>0.96353285439200054</v>
      </c>
      <c r="J345" s="18">
        <f t="shared" si="55"/>
        <v>7.3725522074497785E-2</v>
      </c>
      <c r="K345" s="11">
        <f>(J345-$J$341)/($J$344-$J$341)</f>
        <v>0.85981627352935752</v>
      </c>
      <c r="L345" s="15">
        <f t="shared" si="56"/>
        <v>0</v>
      </c>
      <c r="M345" s="15">
        <f>IF(G345&lt;$B$328,1,0)</f>
        <v>1</v>
      </c>
      <c r="N345" s="15">
        <f t="shared" si="57"/>
        <v>1</v>
      </c>
    </row>
    <row r="347" spans="1:14" x14ac:dyDescent="0.25">
      <c r="A347" s="7" t="s">
        <v>18</v>
      </c>
      <c r="B347" s="3">
        <f>0.2+(19/20)*(0.8-0.2)</f>
        <v>0.77</v>
      </c>
    </row>
    <row r="348" spans="1:14" x14ac:dyDescent="0.25">
      <c r="A348" s="7" t="s">
        <v>19</v>
      </c>
      <c r="B348" s="3">
        <f>1-(19/20)</f>
        <v>5.0000000000000044E-2</v>
      </c>
    </row>
    <row r="350" spans="1:14" x14ac:dyDescent="0.25">
      <c r="A350" s="43" t="s">
        <v>21</v>
      </c>
      <c r="B350" s="43"/>
      <c r="C350" s="43"/>
      <c r="D350" s="43"/>
      <c r="E350" s="43"/>
    </row>
    <row r="351" spans="1:14" ht="18.75" x14ac:dyDescent="0.3">
      <c r="A351" s="37" t="s">
        <v>2</v>
      </c>
      <c r="B351" s="38"/>
      <c r="C351" s="2" t="s">
        <v>3</v>
      </c>
      <c r="D351" s="2" t="s">
        <v>4</v>
      </c>
      <c r="E351" s="2" t="s">
        <v>5</v>
      </c>
      <c r="G351" s="44" t="s">
        <v>2</v>
      </c>
      <c r="H351" s="45"/>
      <c r="I351" s="19" t="s">
        <v>3</v>
      </c>
      <c r="J351" s="19" t="s">
        <v>4</v>
      </c>
      <c r="K351" s="19" t="s">
        <v>5</v>
      </c>
    </row>
    <row r="352" spans="1:14" ht="18.75" x14ac:dyDescent="0.3">
      <c r="A352" s="41" t="s">
        <v>6</v>
      </c>
      <c r="B352" s="42"/>
      <c r="C352" s="14">
        <v>-0.25499938878094752</v>
      </c>
      <c r="D352" s="14">
        <v>-0.38798585555237602</v>
      </c>
      <c r="E352" s="14">
        <v>-3.3904720311076872E-2</v>
      </c>
      <c r="G352" s="47" t="s">
        <v>6</v>
      </c>
      <c r="H352" s="48"/>
      <c r="I352" s="14">
        <v>-0.25499938878094752</v>
      </c>
      <c r="J352" s="14">
        <v>-0.38798585555237602</v>
      </c>
      <c r="K352" s="14">
        <v>-3.3904720311076872E-2</v>
      </c>
    </row>
    <row r="353" spans="1:14" ht="18.75" x14ac:dyDescent="0.3">
      <c r="A353" s="41" t="s">
        <v>9</v>
      </c>
      <c r="B353" s="42"/>
      <c r="C353" s="14">
        <v>0.12462155040679915</v>
      </c>
      <c r="D353" s="14">
        <v>-8.9448423080728645E-2</v>
      </c>
      <c r="E353" s="14">
        <v>-0.20205538386168043</v>
      </c>
      <c r="G353" s="47" t="s">
        <v>9</v>
      </c>
      <c r="H353" s="48"/>
      <c r="I353" s="14">
        <v>0.12462155040679915</v>
      </c>
      <c r="J353" s="14">
        <v>-8.9448423080728645E-2</v>
      </c>
      <c r="K353" s="14">
        <v>-0.20205538386168043</v>
      </c>
    </row>
    <row r="354" spans="1:14" ht="18.75" x14ac:dyDescent="0.3">
      <c r="A354" s="41" t="s">
        <v>7</v>
      </c>
      <c r="B354" s="42"/>
      <c r="C354" s="13">
        <v>5.5273726492127445E-2</v>
      </c>
      <c r="D354" s="13">
        <v>-0.43955702848609007</v>
      </c>
      <c r="E354" s="13">
        <v>-0.1118778623276933</v>
      </c>
      <c r="G354" s="47" t="s">
        <v>7</v>
      </c>
      <c r="H354" s="48"/>
      <c r="I354" s="20">
        <v>-0.22851734273925955</v>
      </c>
      <c r="J354" s="20">
        <v>-0.36150380951068806</v>
      </c>
      <c r="K354" s="20">
        <v>-7.4226742693889146E-3</v>
      </c>
    </row>
    <row r="355" spans="1:14" ht="18.75" x14ac:dyDescent="0.3">
      <c r="A355" s="41" t="s">
        <v>8</v>
      </c>
      <c r="B355" s="42"/>
      <c r="C355" s="14">
        <v>-0.17498197924726594</v>
      </c>
      <c r="D355" s="14">
        <v>-0.38798585555237602</v>
      </c>
      <c r="E355" s="14">
        <v>-0.20205538386168043</v>
      </c>
      <c r="G355" s="47" t="s">
        <v>8</v>
      </c>
      <c r="H355" s="48"/>
      <c r="I355" s="20">
        <v>-0.16229281790254735</v>
      </c>
      <c r="J355" s="20">
        <v>-0.29527928467397585</v>
      </c>
      <c r="K355" s="20">
        <v>5.8801850567323316E-2</v>
      </c>
    </row>
    <row r="356" spans="1:14" ht="18.75" x14ac:dyDescent="0.3">
      <c r="A356" s="41" t="s">
        <v>10</v>
      </c>
      <c r="B356" s="42"/>
      <c r="C356" s="13">
        <v>5.5273726492127397E-2</v>
      </c>
      <c r="D356" s="13">
        <v>-0.34665732239705965</v>
      </c>
      <c r="E356" s="13">
        <v>-3.3904720311076872E-2</v>
      </c>
      <c r="G356" s="47" t="s">
        <v>10</v>
      </c>
      <c r="H356" s="48"/>
      <c r="I356" s="20">
        <v>-0.31471812679371902</v>
      </c>
      <c r="J356" s="20">
        <v>-0.44770459356514752</v>
      </c>
      <c r="K356" s="20">
        <v>-9.3623458323848358E-2</v>
      </c>
    </row>
    <row r="358" spans="1:14" x14ac:dyDescent="0.25">
      <c r="A358" s="67" t="s">
        <v>41</v>
      </c>
      <c r="B358" s="68"/>
      <c r="C358" s="68"/>
      <c r="D358" s="68"/>
      <c r="E358" s="68"/>
      <c r="F358" s="68"/>
      <c r="G358" s="68"/>
      <c r="H358" s="68"/>
      <c r="I358" s="68"/>
      <c r="J358" s="68"/>
      <c r="K358" s="68"/>
    </row>
    <row r="359" spans="1:14" ht="18.75" x14ac:dyDescent="0.3">
      <c r="A359" s="49" t="s">
        <v>2</v>
      </c>
      <c r="B359" s="49"/>
      <c r="C359" s="19" t="s">
        <v>3</v>
      </c>
      <c r="D359" s="19" t="s">
        <v>4</v>
      </c>
      <c r="E359" s="19" t="s">
        <v>5</v>
      </c>
      <c r="F359" s="2" t="s">
        <v>11</v>
      </c>
      <c r="G359" s="2" t="s">
        <v>12</v>
      </c>
      <c r="H359" s="2" t="s">
        <v>13</v>
      </c>
      <c r="I359" s="2" t="s">
        <v>16</v>
      </c>
      <c r="J359" s="2" t="s">
        <v>15</v>
      </c>
      <c r="K359" s="2" t="s">
        <v>17</v>
      </c>
      <c r="L359" s="2" t="s">
        <v>20</v>
      </c>
      <c r="M359" s="8" t="s">
        <v>12</v>
      </c>
      <c r="N359" s="8" t="s">
        <v>13</v>
      </c>
    </row>
    <row r="360" spans="1:14" ht="18.75" x14ac:dyDescent="0.3">
      <c r="A360" s="47" t="s">
        <v>6</v>
      </c>
      <c r="B360" s="48"/>
      <c r="C360" s="14">
        <v>-0.25499938878094752</v>
      </c>
      <c r="D360" s="14">
        <v>-0.38798585555237602</v>
      </c>
      <c r="E360" s="14">
        <v>-3.3904720311076872E-2</v>
      </c>
      <c r="F360" s="11">
        <v>0.441791123253096</v>
      </c>
      <c r="G360" s="11">
        <v>0.75089265698942709</v>
      </c>
      <c r="H360" s="11">
        <v>0.13212362454245818</v>
      </c>
      <c r="I360" s="11">
        <v>5.838277343072007E-2</v>
      </c>
      <c r="J360" s="18">
        <f>(C360/4)^2 + (D360/2)^2 + E360^2</f>
        <v>4.28468291039657E-2</v>
      </c>
      <c r="K360" s="11">
        <f>(J360-$J$363)/($J$364-$J$363)</f>
        <v>0.41781181499245384</v>
      </c>
      <c r="L360" s="15">
        <f>IF(F360&lt;K360,1,0)</f>
        <v>0</v>
      </c>
      <c r="M360" s="15">
        <f>IF(G360&lt;$B$378,1,0)</f>
        <v>0</v>
      </c>
      <c r="N360" s="15">
        <f>IF(H360&lt;0.5,1,0)</f>
        <v>1</v>
      </c>
    </row>
    <row r="361" spans="1:14" ht="18.75" x14ac:dyDescent="0.3">
      <c r="A361" s="47" t="s">
        <v>9</v>
      </c>
      <c r="B361" s="48"/>
      <c r="C361" s="14">
        <v>0.12462155040679915</v>
      </c>
      <c r="D361" s="14">
        <v>-8.9448423080728645E-2</v>
      </c>
      <c r="E361" s="14">
        <v>-0.20205538386168043</v>
      </c>
      <c r="F361" s="11">
        <v>0.67345079123078389</v>
      </c>
      <c r="G361" s="11">
        <v>0.80525086151272418</v>
      </c>
      <c r="H361" s="11">
        <v>0.66747147614496505</v>
      </c>
      <c r="I361" s="11">
        <v>0.15112457456567252</v>
      </c>
      <c r="J361" s="18">
        <f t="shared" ref="J361:J364" si="58">(C361/4)^2 + (D361/2)^2 + E361^2</f>
        <v>4.3797291422010436E-2</v>
      </c>
      <c r="K361" s="11">
        <f>(J361-$J$363)/($J$364-$J$363)</f>
        <v>0.44271625977405432</v>
      </c>
      <c r="L361" s="15">
        <f t="shared" ref="L361:L364" si="59">IF(F361&lt;K361,1,0)</f>
        <v>0</v>
      </c>
      <c r="M361" s="15">
        <f t="shared" ref="M361:M364" si="60">IF(G361&lt;$B$378,1,0)</f>
        <v>0</v>
      </c>
      <c r="N361" s="15">
        <f t="shared" ref="N361:N364" si="61">IF(H361&lt;0.5,1,0)</f>
        <v>0</v>
      </c>
    </row>
    <row r="362" spans="1:14" ht="18.75" x14ac:dyDescent="0.3">
      <c r="A362" s="47" t="s">
        <v>7</v>
      </c>
      <c r="B362" s="48"/>
      <c r="C362" s="14">
        <v>-0.22851734273925955</v>
      </c>
      <c r="D362" s="14">
        <v>-0.36150380951068806</v>
      </c>
      <c r="E362" s="14">
        <v>-7.4226742693889146E-3</v>
      </c>
      <c r="F362" s="11">
        <v>0.56320142862225442</v>
      </c>
      <c r="G362" s="11">
        <v>0.35052913717238599</v>
      </c>
      <c r="H362" s="11">
        <v>0.24702321803122251</v>
      </c>
      <c r="I362" s="11">
        <v>0.63241023020843967</v>
      </c>
      <c r="J362" s="18">
        <f t="shared" si="58"/>
        <v>3.599010816178267E-2</v>
      </c>
      <c r="K362" s="11">
        <f>(J362-$J$363)/($J$364-$J$363)</f>
        <v>0.23814890269654129</v>
      </c>
      <c r="L362" s="15">
        <f t="shared" si="59"/>
        <v>0</v>
      </c>
      <c r="M362" s="15">
        <f t="shared" si="60"/>
        <v>0</v>
      </c>
      <c r="N362" s="15">
        <f t="shared" si="61"/>
        <v>1</v>
      </c>
    </row>
    <row r="363" spans="1:14" ht="18.75" x14ac:dyDescent="0.3">
      <c r="A363" s="50" t="s">
        <v>8</v>
      </c>
      <c r="B363" s="51"/>
      <c r="C363" s="14">
        <v>-0.16229281790254735</v>
      </c>
      <c r="D363" s="14">
        <v>-0.29527928467397585</v>
      </c>
      <c r="E363" s="14">
        <v>5.8801850567323316E-2</v>
      </c>
      <c r="F363" s="11">
        <v>5.5963294054046542E-2</v>
      </c>
      <c r="G363" s="11">
        <v>0.36170272857240249</v>
      </c>
      <c r="H363" s="11">
        <v>0.69440983062194506</v>
      </c>
      <c r="I363" s="11">
        <v>0.79859369006385716</v>
      </c>
      <c r="J363" s="10">
        <f t="shared" si="58"/>
        <v>2.6901306540957372E-2</v>
      </c>
      <c r="K363" s="11">
        <f>(J363-$J$363)/($J$364-$J$363)</f>
        <v>0</v>
      </c>
      <c r="L363" s="15">
        <f t="shared" si="59"/>
        <v>0</v>
      </c>
      <c r="M363" s="15">
        <f t="shared" si="60"/>
        <v>0</v>
      </c>
      <c r="N363" s="15">
        <f t="shared" si="61"/>
        <v>0</v>
      </c>
    </row>
    <row r="364" spans="1:14" ht="18.75" x14ac:dyDescent="0.3">
      <c r="A364" s="47" t="s">
        <v>10</v>
      </c>
      <c r="B364" s="48"/>
      <c r="C364" s="14">
        <v>-0.31471812679371902</v>
      </c>
      <c r="D364" s="14">
        <v>-0.44770459356514752</v>
      </c>
      <c r="E364" s="14">
        <v>-9.3623458323848358E-2</v>
      </c>
      <c r="F364" s="11">
        <v>0.89874373659465212</v>
      </c>
      <c r="G364" s="11">
        <v>0.12516907441578962</v>
      </c>
      <c r="H364" s="11">
        <v>0.4853144483440327</v>
      </c>
      <c r="I364" s="11">
        <v>0.96353285439200054</v>
      </c>
      <c r="J364" s="18">
        <f t="shared" si="58"/>
        <v>6.5065671431635067E-2</v>
      </c>
      <c r="K364" s="11">
        <f>(J364-$J$363)/($J$364-$J$363)</f>
        <v>1</v>
      </c>
      <c r="L364" s="15">
        <f t="shared" si="59"/>
        <v>1</v>
      </c>
      <c r="M364" s="15">
        <f t="shared" si="60"/>
        <v>0</v>
      </c>
      <c r="N364" s="15">
        <f t="shared" si="61"/>
        <v>1</v>
      </c>
    </row>
    <row r="366" spans="1:14" x14ac:dyDescent="0.25">
      <c r="A366" s="7" t="s">
        <v>18</v>
      </c>
      <c r="B366" s="3">
        <f>0.2+(20/20)*(0.8-0.2)</f>
        <v>0.8</v>
      </c>
    </row>
    <row r="367" spans="1:14" x14ac:dyDescent="0.25">
      <c r="A367" s="7" t="s">
        <v>19</v>
      </c>
      <c r="B367" s="3">
        <f>1-(20/20)</f>
        <v>0</v>
      </c>
    </row>
    <row r="369" spans="1:12" ht="18.75" x14ac:dyDescent="0.3">
      <c r="A369" s="43" t="s">
        <v>21</v>
      </c>
      <c r="B369" s="43"/>
      <c r="C369" s="43"/>
      <c r="D369" s="43"/>
      <c r="E369" s="43"/>
      <c r="G369" s="71" t="s">
        <v>49</v>
      </c>
      <c r="H369" s="71"/>
      <c r="I369" s="71"/>
      <c r="J369" s="71"/>
      <c r="K369" s="71"/>
      <c r="L369" s="71"/>
    </row>
    <row r="370" spans="1:12" ht="18.75" x14ac:dyDescent="0.3">
      <c r="A370" s="52" t="s">
        <v>2</v>
      </c>
      <c r="B370" s="52"/>
      <c r="C370" s="2" t="s">
        <v>3</v>
      </c>
      <c r="D370" s="2" t="s">
        <v>4</v>
      </c>
      <c r="E370" s="2" t="s">
        <v>5</v>
      </c>
      <c r="G370" s="49" t="s">
        <v>2</v>
      </c>
      <c r="H370" s="49"/>
      <c r="I370" s="19" t="s">
        <v>3</v>
      </c>
      <c r="J370" s="19" t="s">
        <v>4</v>
      </c>
      <c r="K370" s="19" t="s">
        <v>5</v>
      </c>
      <c r="L370" s="2" t="s">
        <v>15</v>
      </c>
    </row>
    <row r="371" spans="1:12" ht="18.75" x14ac:dyDescent="0.3">
      <c r="A371" s="41" t="s">
        <v>8</v>
      </c>
      <c r="B371" s="42"/>
      <c r="C371" s="14">
        <v>-0.16229281790254735</v>
      </c>
      <c r="D371" s="14">
        <v>-0.29527928467397585</v>
      </c>
      <c r="E371" s="14">
        <v>5.8801850567323316E-2</v>
      </c>
      <c r="G371" s="47" t="s">
        <v>8</v>
      </c>
      <c r="H371" s="48"/>
      <c r="I371" s="14">
        <v>-0.16229281790254735</v>
      </c>
      <c r="J371" s="14">
        <v>-0.29527928467397585</v>
      </c>
      <c r="K371" s="14">
        <v>5.8801850567323316E-2</v>
      </c>
      <c r="L371" s="70">
        <f>(I371/4)^2 + (J371/2)^2 + K371^2</f>
        <v>2.6901306540957372E-2</v>
      </c>
    </row>
    <row r="372" spans="1:12" ht="18.75" x14ac:dyDescent="0.3">
      <c r="A372" s="41" t="s">
        <v>7</v>
      </c>
      <c r="B372" s="42"/>
      <c r="C372" s="14">
        <v>-0.22851734273925955</v>
      </c>
      <c r="D372" s="14">
        <v>-0.36150380951068806</v>
      </c>
      <c r="E372" s="14">
        <v>-7.4226742693889146E-3</v>
      </c>
      <c r="G372" s="47" t="s">
        <v>7</v>
      </c>
      <c r="H372" s="48"/>
      <c r="I372" s="14">
        <v>-0.22851734273925955</v>
      </c>
      <c r="J372" s="14">
        <v>-0.36150380951068806</v>
      </c>
      <c r="K372" s="14">
        <v>-7.4226742693889146E-3</v>
      </c>
      <c r="L372" s="69">
        <f t="shared" ref="L372:L375" si="62">(I372/4)^2 + (J372/2)^2 + K372^2</f>
        <v>3.599010816178267E-2</v>
      </c>
    </row>
    <row r="373" spans="1:12" ht="18.75" x14ac:dyDescent="0.3">
      <c r="A373" s="41" t="s">
        <v>6</v>
      </c>
      <c r="B373" s="42"/>
      <c r="C373" s="14">
        <v>-0.25499938878094752</v>
      </c>
      <c r="D373" s="14">
        <v>-0.38798585555237602</v>
      </c>
      <c r="E373" s="14">
        <v>-3.3904720311076872E-2</v>
      </c>
      <c r="G373" s="47" t="s">
        <v>6</v>
      </c>
      <c r="H373" s="48"/>
      <c r="I373" s="14">
        <v>-0.25499938878094752</v>
      </c>
      <c r="J373" s="14">
        <v>-0.38798585555237602</v>
      </c>
      <c r="K373" s="14">
        <v>-3.3904720311076872E-2</v>
      </c>
      <c r="L373" s="69">
        <f t="shared" si="62"/>
        <v>4.28468291039657E-2</v>
      </c>
    </row>
    <row r="374" spans="1:12" ht="18.75" x14ac:dyDescent="0.3">
      <c r="A374" s="41" t="s">
        <v>9</v>
      </c>
      <c r="B374" s="42"/>
      <c r="C374" s="14">
        <v>0.12462155040679915</v>
      </c>
      <c r="D374" s="14">
        <v>-8.9448423080728645E-2</v>
      </c>
      <c r="E374" s="14">
        <v>-0.20205538386168043</v>
      </c>
      <c r="G374" s="47" t="s">
        <v>9</v>
      </c>
      <c r="H374" s="48"/>
      <c r="I374" s="14">
        <v>0.12462155040679915</v>
      </c>
      <c r="J374" s="14">
        <v>-8.9448423080728645E-2</v>
      </c>
      <c r="K374" s="14">
        <v>-0.20205538386168043</v>
      </c>
      <c r="L374" s="69">
        <f t="shared" si="62"/>
        <v>4.3797291422010436E-2</v>
      </c>
    </row>
    <row r="375" spans="1:12" ht="18.75" x14ac:dyDescent="0.3">
      <c r="A375" s="41" t="s">
        <v>10</v>
      </c>
      <c r="B375" s="42"/>
      <c r="C375" s="13">
        <v>0.12462155040679915</v>
      </c>
      <c r="D375" s="13">
        <v>-0.38798585555237602</v>
      </c>
      <c r="E375" s="13">
        <v>-9.3623458323848358E-2</v>
      </c>
      <c r="G375" s="47" t="s">
        <v>10</v>
      </c>
      <c r="H375" s="48"/>
      <c r="I375" s="14">
        <v>0.12462155040679915</v>
      </c>
      <c r="J375" s="14">
        <v>-0.38798585555237602</v>
      </c>
      <c r="K375" s="14">
        <v>-9.3623458323848358E-2</v>
      </c>
      <c r="L375" s="69">
        <f t="shared" si="62"/>
        <v>4.7369266152306813E-2</v>
      </c>
    </row>
  </sheetData>
  <mergeCells count="404">
    <mergeCell ref="A301:K301"/>
    <mergeCell ref="A320:K320"/>
    <mergeCell ref="A339:K339"/>
    <mergeCell ref="A358:K358"/>
    <mergeCell ref="G369:L369"/>
    <mergeCell ref="A355:B355"/>
    <mergeCell ref="A356:B356"/>
    <mergeCell ref="G352:H352"/>
    <mergeCell ref="G353:H353"/>
    <mergeCell ref="G354:H354"/>
    <mergeCell ref="G355:H355"/>
    <mergeCell ref="G356:H356"/>
    <mergeCell ref="G19:K19"/>
    <mergeCell ref="A1:K1"/>
    <mergeCell ref="A20:K20"/>
    <mergeCell ref="A38:K38"/>
    <mergeCell ref="A56:K56"/>
    <mergeCell ref="A74:K74"/>
    <mergeCell ref="A93:K93"/>
    <mergeCell ref="A112:K112"/>
    <mergeCell ref="A131:K131"/>
    <mergeCell ref="A150:K150"/>
    <mergeCell ref="A169:K169"/>
    <mergeCell ref="A188:K188"/>
    <mergeCell ref="A207:K207"/>
    <mergeCell ref="A226:K226"/>
    <mergeCell ref="A245:K245"/>
    <mergeCell ref="A264:K264"/>
    <mergeCell ref="A282:K282"/>
    <mergeCell ref="A341:B341"/>
    <mergeCell ref="A342:B342"/>
    <mergeCell ref="A343:B343"/>
    <mergeCell ref="A344:B344"/>
    <mergeCell ref="A345:B345"/>
    <mergeCell ref="A352:B352"/>
    <mergeCell ref="A353:B353"/>
    <mergeCell ref="A354:B354"/>
    <mergeCell ref="A336:B336"/>
    <mergeCell ref="A337:B337"/>
    <mergeCell ref="G332:H332"/>
    <mergeCell ref="G333:H333"/>
    <mergeCell ref="G334:H334"/>
    <mergeCell ref="G335:H335"/>
    <mergeCell ref="G336:H336"/>
    <mergeCell ref="G337:H337"/>
    <mergeCell ref="A340:B340"/>
    <mergeCell ref="A324:B324"/>
    <mergeCell ref="A325:B325"/>
    <mergeCell ref="A326:B326"/>
    <mergeCell ref="A331:E331"/>
    <mergeCell ref="A332:B332"/>
    <mergeCell ref="A333:B333"/>
    <mergeCell ref="A334:B334"/>
    <mergeCell ref="A335:B335"/>
    <mergeCell ref="G313:H313"/>
    <mergeCell ref="G314:H314"/>
    <mergeCell ref="G315:H315"/>
    <mergeCell ref="G316:H316"/>
    <mergeCell ref="G317:H317"/>
    <mergeCell ref="G318:H318"/>
    <mergeCell ref="A321:B321"/>
    <mergeCell ref="A322:B322"/>
    <mergeCell ref="A323:B323"/>
    <mergeCell ref="A306:B306"/>
    <mergeCell ref="A307:B307"/>
    <mergeCell ref="A312:E312"/>
    <mergeCell ref="A313:B313"/>
    <mergeCell ref="A314:B314"/>
    <mergeCell ref="A315:B315"/>
    <mergeCell ref="A316:B316"/>
    <mergeCell ref="A317:B317"/>
    <mergeCell ref="A318:B318"/>
    <mergeCell ref="A293:E293"/>
    <mergeCell ref="A294:B294"/>
    <mergeCell ref="A295:B295"/>
    <mergeCell ref="A296:B296"/>
    <mergeCell ref="A297:B297"/>
    <mergeCell ref="A298:B298"/>
    <mergeCell ref="A299:B299"/>
    <mergeCell ref="G294:H294"/>
    <mergeCell ref="G295:H295"/>
    <mergeCell ref="G296:H296"/>
    <mergeCell ref="G297:H297"/>
    <mergeCell ref="G298:H298"/>
    <mergeCell ref="G299:H299"/>
    <mergeCell ref="G275:H275"/>
    <mergeCell ref="G276:H276"/>
    <mergeCell ref="G277:H277"/>
    <mergeCell ref="G278:H278"/>
    <mergeCell ref="G279:H279"/>
    <mergeCell ref="G280:H280"/>
    <mergeCell ref="A283:B283"/>
    <mergeCell ref="A284:B284"/>
    <mergeCell ref="A285:B285"/>
    <mergeCell ref="A277:B277"/>
    <mergeCell ref="A278:B278"/>
    <mergeCell ref="A279:B279"/>
    <mergeCell ref="G257:H257"/>
    <mergeCell ref="G258:H258"/>
    <mergeCell ref="G259:H259"/>
    <mergeCell ref="G260:H260"/>
    <mergeCell ref="G261:H261"/>
    <mergeCell ref="G262:H262"/>
    <mergeCell ref="A265:B265"/>
    <mergeCell ref="A249:B249"/>
    <mergeCell ref="A250:B250"/>
    <mergeCell ref="A251:B251"/>
    <mergeCell ref="A261:B261"/>
    <mergeCell ref="A262:B262"/>
    <mergeCell ref="A7:B7"/>
    <mergeCell ref="A3:B3"/>
    <mergeCell ref="A4:B4"/>
    <mergeCell ref="A5:B5"/>
    <mergeCell ref="A6:B6"/>
    <mergeCell ref="A16:B16"/>
    <mergeCell ref="A17:B17"/>
    <mergeCell ref="A18:B18"/>
    <mergeCell ref="A8:B8"/>
    <mergeCell ref="A13:B13"/>
    <mergeCell ref="A14:B14"/>
    <mergeCell ref="A15:B15"/>
    <mergeCell ref="A25:B25"/>
    <mergeCell ref="A26:B26"/>
    <mergeCell ref="A27:B27"/>
    <mergeCell ref="G18:H18"/>
    <mergeCell ref="A12:E12"/>
    <mergeCell ref="A23:B23"/>
    <mergeCell ref="A24:B24"/>
    <mergeCell ref="G13:H13"/>
    <mergeCell ref="G14:H14"/>
    <mergeCell ref="G15:H15"/>
    <mergeCell ref="G16:H16"/>
    <mergeCell ref="G17:H17"/>
    <mergeCell ref="G33:H33"/>
    <mergeCell ref="G34:H34"/>
    <mergeCell ref="G35:H35"/>
    <mergeCell ref="A33:B33"/>
    <mergeCell ref="A34:B34"/>
    <mergeCell ref="A35:B35"/>
    <mergeCell ref="A43:B43"/>
    <mergeCell ref="A44:B44"/>
    <mergeCell ref="G52:H52"/>
    <mergeCell ref="G53:H53"/>
    <mergeCell ref="A52:B52"/>
    <mergeCell ref="A53:B53"/>
    <mergeCell ref="A54:B54"/>
    <mergeCell ref="A61:B61"/>
    <mergeCell ref="A62:B62"/>
    <mergeCell ref="G36:H36"/>
    <mergeCell ref="A42:B42"/>
    <mergeCell ref="A36:B36"/>
    <mergeCell ref="A40:B40"/>
    <mergeCell ref="A39:B39"/>
    <mergeCell ref="A41:B41"/>
    <mergeCell ref="A48:E48"/>
    <mergeCell ref="A49:B49"/>
    <mergeCell ref="A50:B50"/>
    <mergeCell ref="A51:B51"/>
    <mergeCell ref="G49:H49"/>
    <mergeCell ref="G50:H50"/>
    <mergeCell ref="G51:H51"/>
    <mergeCell ref="G54:H54"/>
    <mergeCell ref="A58:B58"/>
    <mergeCell ref="A59:B59"/>
    <mergeCell ref="A60:B60"/>
    <mergeCell ref="G68:H68"/>
    <mergeCell ref="A57:B57"/>
    <mergeCell ref="A66:E66"/>
    <mergeCell ref="A67:B67"/>
    <mergeCell ref="G67:H67"/>
    <mergeCell ref="G69:H69"/>
    <mergeCell ref="G70:H70"/>
    <mergeCell ref="G71:H71"/>
    <mergeCell ref="A68:B68"/>
    <mergeCell ref="A69:B69"/>
    <mergeCell ref="A70:B70"/>
    <mergeCell ref="A71:B71"/>
    <mergeCell ref="A79:B79"/>
    <mergeCell ref="A80:B80"/>
    <mergeCell ref="A86:B86"/>
    <mergeCell ref="G72:H72"/>
    <mergeCell ref="A75:B75"/>
    <mergeCell ref="A76:B76"/>
    <mergeCell ref="A77:B77"/>
    <mergeCell ref="A78:B78"/>
    <mergeCell ref="A72:B72"/>
    <mergeCell ref="G86:H86"/>
    <mergeCell ref="A85:E85"/>
    <mergeCell ref="G87:H87"/>
    <mergeCell ref="G88:H88"/>
    <mergeCell ref="G89:H89"/>
    <mergeCell ref="G90:H90"/>
    <mergeCell ref="A87:B87"/>
    <mergeCell ref="A88:B88"/>
    <mergeCell ref="A89:B89"/>
    <mergeCell ref="A90:B90"/>
    <mergeCell ref="A98:B98"/>
    <mergeCell ref="A99:B99"/>
    <mergeCell ref="A104:E104"/>
    <mergeCell ref="A105:B105"/>
    <mergeCell ref="G91:H91"/>
    <mergeCell ref="A94:B94"/>
    <mergeCell ref="A95:B95"/>
    <mergeCell ref="A96:B96"/>
    <mergeCell ref="A97:B97"/>
    <mergeCell ref="A91:B91"/>
    <mergeCell ref="G105:H105"/>
    <mergeCell ref="G106:H106"/>
    <mergeCell ref="G107:H107"/>
    <mergeCell ref="G108:H108"/>
    <mergeCell ref="G109:H109"/>
    <mergeCell ref="A106:B106"/>
    <mergeCell ref="A107:B107"/>
    <mergeCell ref="A108:B108"/>
    <mergeCell ref="A109:B109"/>
    <mergeCell ref="A117:B117"/>
    <mergeCell ref="A118:B118"/>
    <mergeCell ref="A123:E123"/>
    <mergeCell ref="A124:B124"/>
    <mergeCell ref="G110:H110"/>
    <mergeCell ref="A113:B113"/>
    <mergeCell ref="A114:B114"/>
    <mergeCell ref="A115:B115"/>
    <mergeCell ref="A116:B116"/>
    <mergeCell ref="A110:B110"/>
    <mergeCell ref="G124:H124"/>
    <mergeCell ref="G125:H125"/>
    <mergeCell ref="G126:H126"/>
    <mergeCell ref="G127:H127"/>
    <mergeCell ref="G128:H128"/>
    <mergeCell ref="A125:B125"/>
    <mergeCell ref="A126:B126"/>
    <mergeCell ref="A127:B127"/>
    <mergeCell ref="A128:B128"/>
    <mergeCell ref="A136:B136"/>
    <mergeCell ref="A137:B137"/>
    <mergeCell ref="A142:E142"/>
    <mergeCell ref="A143:B143"/>
    <mergeCell ref="G129:H129"/>
    <mergeCell ref="A132:B132"/>
    <mergeCell ref="A133:B133"/>
    <mergeCell ref="A134:B134"/>
    <mergeCell ref="A135:B135"/>
    <mergeCell ref="A129:B129"/>
    <mergeCell ref="G143:H143"/>
    <mergeCell ref="G144:H144"/>
    <mergeCell ref="G145:H145"/>
    <mergeCell ref="G146:H146"/>
    <mergeCell ref="G147:H147"/>
    <mergeCell ref="A144:B144"/>
    <mergeCell ref="A145:B145"/>
    <mergeCell ref="A146:B146"/>
    <mergeCell ref="A147:B147"/>
    <mergeCell ref="A155:B155"/>
    <mergeCell ref="A156:B156"/>
    <mergeCell ref="A161:E161"/>
    <mergeCell ref="A162:B162"/>
    <mergeCell ref="G148:H148"/>
    <mergeCell ref="A151:B151"/>
    <mergeCell ref="A152:B152"/>
    <mergeCell ref="A153:B153"/>
    <mergeCell ref="A154:B154"/>
    <mergeCell ref="A148:B148"/>
    <mergeCell ref="G162:H162"/>
    <mergeCell ref="G163:H163"/>
    <mergeCell ref="G164:H164"/>
    <mergeCell ref="G165:H165"/>
    <mergeCell ref="G166:H166"/>
    <mergeCell ref="A163:B163"/>
    <mergeCell ref="A164:B164"/>
    <mergeCell ref="A165:B165"/>
    <mergeCell ref="A166:B166"/>
    <mergeCell ref="A173:B173"/>
    <mergeCell ref="A174:B174"/>
    <mergeCell ref="A175:B175"/>
    <mergeCell ref="A180:E180"/>
    <mergeCell ref="A181:B181"/>
    <mergeCell ref="G167:H167"/>
    <mergeCell ref="A170:B170"/>
    <mergeCell ref="A171:B171"/>
    <mergeCell ref="A172:B172"/>
    <mergeCell ref="A167:B167"/>
    <mergeCell ref="G181:H181"/>
    <mergeCell ref="G182:H182"/>
    <mergeCell ref="G183:H183"/>
    <mergeCell ref="G184:H184"/>
    <mergeCell ref="G185:H185"/>
    <mergeCell ref="A182:B182"/>
    <mergeCell ref="A183:B183"/>
    <mergeCell ref="A184:B184"/>
    <mergeCell ref="A185:B185"/>
    <mergeCell ref="A192:B192"/>
    <mergeCell ref="A193:B193"/>
    <mergeCell ref="A194:B194"/>
    <mergeCell ref="A199:E199"/>
    <mergeCell ref="A200:B200"/>
    <mergeCell ref="G186:H186"/>
    <mergeCell ref="A189:B189"/>
    <mergeCell ref="A190:B190"/>
    <mergeCell ref="A191:B191"/>
    <mergeCell ref="A186:B186"/>
    <mergeCell ref="G200:H200"/>
    <mergeCell ref="G201:H201"/>
    <mergeCell ref="G202:H202"/>
    <mergeCell ref="G203:H203"/>
    <mergeCell ref="G204:H204"/>
    <mergeCell ref="A201:B201"/>
    <mergeCell ref="A202:B202"/>
    <mergeCell ref="A203:B203"/>
    <mergeCell ref="A204:B204"/>
    <mergeCell ref="A212:B212"/>
    <mergeCell ref="A213:B213"/>
    <mergeCell ref="A218:E218"/>
    <mergeCell ref="A219:B219"/>
    <mergeCell ref="G205:H205"/>
    <mergeCell ref="A208:B208"/>
    <mergeCell ref="A209:B209"/>
    <mergeCell ref="A210:B210"/>
    <mergeCell ref="A211:B211"/>
    <mergeCell ref="A205:B205"/>
    <mergeCell ref="G219:H219"/>
    <mergeCell ref="G220:H220"/>
    <mergeCell ref="G221:H221"/>
    <mergeCell ref="G222:H222"/>
    <mergeCell ref="G223:H223"/>
    <mergeCell ref="A220:B220"/>
    <mergeCell ref="A221:B221"/>
    <mergeCell ref="A222:B222"/>
    <mergeCell ref="A223:B223"/>
    <mergeCell ref="A359:B359"/>
    <mergeCell ref="A360:B360"/>
    <mergeCell ref="A361:B361"/>
    <mergeCell ref="A362:B362"/>
    <mergeCell ref="G224:H224"/>
    <mergeCell ref="A227:B227"/>
    <mergeCell ref="A228:B228"/>
    <mergeCell ref="A229:B229"/>
    <mergeCell ref="A230:B230"/>
    <mergeCell ref="A224:B224"/>
    <mergeCell ref="A256:E256"/>
    <mergeCell ref="A257:B257"/>
    <mergeCell ref="A258:B258"/>
    <mergeCell ref="A259:B259"/>
    <mergeCell ref="A260:B260"/>
    <mergeCell ref="G238:H238"/>
    <mergeCell ref="G239:H239"/>
    <mergeCell ref="G240:H240"/>
    <mergeCell ref="G241:H241"/>
    <mergeCell ref="G242:H242"/>
    <mergeCell ref="G243:H243"/>
    <mergeCell ref="A246:B246"/>
    <mergeCell ref="A276:B276"/>
    <mergeCell ref="A274:E274"/>
    <mergeCell ref="A280:B280"/>
    <mergeCell ref="A286:B286"/>
    <mergeCell ref="A287:B287"/>
    <mergeCell ref="A288:B288"/>
    <mergeCell ref="A237:E237"/>
    <mergeCell ref="A238:B238"/>
    <mergeCell ref="A247:B247"/>
    <mergeCell ref="A248:B248"/>
    <mergeCell ref="A239:B239"/>
    <mergeCell ref="A240:B240"/>
    <mergeCell ref="A241:B241"/>
    <mergeCell ref="A242:B242"/>
    <mergeCell ref="A243:B243"/>
    <mergeCell ref="A375:B375"/>
    <mergeCell ref="G370:H370"/>
    <mergeCell ref="G371:H371"/>
    <mergeCell ref="G372:H372"/>
    <mergeCell ref="G373:H373"/>
    <mergeCell ref="G374:H374"/>
    <mergeCell ref="G375:H375"/>
    <mergeCell ref="A363:B363"/>
    <mergeCell ref="A364:B364"/>
    <mergeCell ref="A369:E369"/>
    <mergeCell ref="A370:B370"/>
    <mergeCell ref="A371:B371"/>
    <mergeCell ref="A372:B372"/>
    <mergeCell ref="A373:B373"/>
    <mergeCell ref="A374:B374"/>
    <mergeCell ref="A302:B302"/>
    <mergeCell ref="A303:B303"/>
    <mergeCell ref="A304:B304"/>
    <mergeCell ref="A305:B305"/>
    <mergeCell ref="A350:E350"/>
    <mergeCell ref="A351:B351"/>
    <mergeCell ref="G351:H351"/>
    <mergeCell ref="L2:N2"/>
    <mergeCell ref="G12:K12"/>
    <mergeCell ref="A28:B28"/>
    <mergeCell ref="A30:E30"/>
    <mergeCell ref="A31:B31"/>
    <mergeCell ref="A32:B32"/>
    <mergeCell ref="G31:H31"/>
    <mergeCell ref="G32:H32"/>
    <mergeCell ref="A231:B231"/>
    <mergeCell ref="A232:B232"/>
    <mergeCell ref="A266:B266"/>
    <mergeCell ref="A267:B267"/>
    <mergeCell ref="A268:B268"/>
    <mergeCell ref="A269:B269"/>
    <mergeCell ref="A270:B270"/>
    <mergeCell ref="A275:B275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95B9-7690-4EEE-A3D5-E0090206C8C1}">
  <dimension ref="A1"/>
  <sheetViews>
    <sheetView tabSelected="1"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5931D-4467-4AC5-BFD4-A5BAC34CC52A}">
  <dimension ref="A1"/>
  <sheetViews>
    <sheetView topLeftCell="A7" workbookViewId="0">
      <selection activeCell="J15" sqref="J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Tính</vt:lpstr>
      <vt:lpstr>Công thức</vt:lpstr>
      <vt:lpstr>Bước chạy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Goi Cuon</dc:creator>
  <cp:lastModifiedBy>Goi Cuon</cp:lastModifiedBy>
  <dcterms:created xsi:type="dcterms:W3CDTF">2024-08-08T05:18:13Z</dcterms:created>
  <dcterms:modified xsi:type="dcterms:W3CDTF">2024-10-04T13:42:38Z</dcterms:modified>
</cp:coreProperties>
</file>